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a87f973740ffce/Documents/Personal/Finance/Models/"/>
    </mc:Choice>
  </mc:AlternateContent>
  <xr:revisionPtr revIDLastSave="1956" documentId="8_{69748F80-F00F-7B4A-9A9F-ABAC2C9D56BD}" xr6:coauthVersionLast="47" xr6:coauthVersionMax="47" xr10:uidLastSave="{52D5F36B-E485-426B-B5BB-F8F51C607FD8}"/>
  <bookViews>
    <workbookView xWindow="-120" yWindow="-120" windowWidth="29040" windowHeight="15840" activeTab="1" xr2:uid="{EF113539-BCB3-2A46-AFED-BF7C34A91979}"/>
  </bookViews>
  <sheets>
    <sheet name="Main" sheetId="1" r:id="rId1"/>
    <sheet name="Model" sheetId="5" r:id="rId2"/>
    <sheet name="MM" sheetId="6" r:id="rId3"/>
    <sheet name="WACC" sheetId="7" r:id="rId4"/>
    <sheet name="FCF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5" l="1"/>
  <c r="K20" i="5"/>
  <c r="L20" i="5" s="1"/>
  <c r="M20" i="5" s="1"/>
  <c r="N20" i="5" s="1"/>
  <c r="O20" i="5" s="1"/>
  <c r="P20" i="5" s="1"/>
  <c r="Q20" i="5" s="1"/>
  <c r="M39" i="5"/>
  <c r="H29" i="5"/>
  <c r="J29" i="5"/>
  <c r="I29" i="5"/>
  <c r="C3" i="7"/>
  <c r="C10" i="7"/>
  <c r="C11" i="7"/>
  <c r="C5" i="7"/>
  <c r="D13" i="6"/>
  <c r="E13" i="6"/>
  <c r="E6" i="6"/>
  <c r="E10" i="6" s="1"/>
  <c r="I6" i="6"/>
  <c r="I10" i="6" s="1"/>
  <c r="I13" i="6" s="1"/>
  <c r="I15" i="6" s="1"/>
  <c r="I11" i="1"/>
  <c r="I9" i="1"/>
  <c r="C6" i="5"/>
  <c r="D6" i="5"/>
  <c r="E6" i="5"/>
  <c r="F6" i="5"/>
  <c r="G6" i="5"/>
  <c r="H6" i="5"/>
  <c r="H10" i="5" s="1"/>
  <c r="I6" i="5"/>
  <c r="J6" i="5"/>
  <c r="D13" i="5"/>
  <c r="D15" i="5" s="1"/>
  <c r="D18" i="5" s="1"/>
  <c r="E13" i="5"/>
  <c r="E15" i="5" s="1"/>
  <c r="E18" i="5" s="1"/>
  <c r="F13" i="5"/>
  <c r="G13" i="5"/>
  <c r="G15" i="5" s="1"/>
  <c r="G18" i="5" s="1"/>
  <c r="F14" i="5"/>
  <c r="C15" i="5"/>
  <c r="C18" i="5" s="1"/>
  <c r="H17" i="5"/>
  <c r="I17" i="5"/>
  <c r="J17" i="5"/>
  <c r="E27" i="5"/>
  <c r="F27" i="5"/>
  <c r="G27" i="5"/>
  <c r="H27" i="5"/>
  <c r="I27" i="5"/>
  <c r="J27" i="5"/>
  <c r="D27" i="5"/>
  <c r="R20" i="5" l="1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AM20" i="5" s="1"/>
  <c r="AN20" i="5" s="1"/>
  <c r="AO20" i="5" s="1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BE20" i="5" s="1"/>
  <c r="BF20" i="5" s="1"/>
  <c r="BG20" i="5" s="1"/>
  <c r="BH20" i="5" s="1"/>
  <c r="BI20" i="5" s="1"/>
  <c r="BJ20" i="5" s="1"/>
  <c r="BK20" i="5" s="1"/>
  <c r="BL20" i="5" s="1"/>
  <c r="BM20" i="5" s="1"/>
  <c r="BN20" i="5" s="1"/>
  <c r="BO20" i="5" s="1"/>
  <c r="BP20" i="5" s="1"/>
  <c r="BQ20" i="5" s="1"/>
  <c r="BR20" i="5" s="1"/>
  <c r="BS20" i="5" s="1"/>
  <c r="BT20" i="5" s="1"/>
  <c r="BU20" i="5" s="1"/>
  <c r="BV20" i="5" s="1"/>
  <c r="BW20" i="5" s="1"/>
  <c r="BX20" i="5" s="1"/>
  <c r="BY20" i="5" s="1"/>
  <c r="BZ20" i="5" s="1"/>
  <c r="CA20" i="5" s="1"/>
  <c r="CB20" i="5" s="1"/>
  <c r="CC20" i="5" s="1"/>
  <c r="CD20" i="5" s="1"/>
  <c r="CE20" i="5" s="1"/>
  <c r="CF20" i="5" s="1"/>
  <c r="CG20" i="5" s="1"/>
  <c r="CH20" i="5" s="1"/>
  <c r="CI20" i="5" s="1"/>
  <c r="CJ20" i="5" s="1"/>
  <c r="CK20" i="5" s="1"/>
  <c r="CL20" i="5" s="1"/>
  <c r="CM20" i="5" s="1"/>
  <c r="CN20" i="5" s="1"/>
  <c r="CO20" i="5" s="1"/>
  <c r="CP20" i="5" s="1"/>
  <c r="CQ20" i="5" s="1"/>
  <c r="CR20" i="5" s="1"/>
  <c r="CS20" i="5" s="1"/>
  <c r="CT20" i="5" s="1"/>
  <c r="CU20" i="5" s="1"/>
  <c r="CV20" i="5" s="1"/>
  <c r="CW20" i="5" s="1"/>
  <c r="CX20" i="5" s="1"/>
  <c r="CY20" i="5" s="1"/>
  <c r="CZ20" i="5" s="1"/>
  <c r="DA20" i="5" s="1"/>
  <c r="DB20" i="5" s="1"/>
  <c r="DC20" i="5" s="1"/>
  <c r="DD20" i="5" s="1"/>
  <c r="DE20" i="5" s="1"/>
  <c r="DF20" i="5" s="1"/>
  <c r="DG20" i="5" s="1"/>
  <c r="DH20" i="5" s="1"/>
  <c r="DI20" i="5" s="1"/>
  <c r="DJ20" i="5" s="1"/>
  <c r="DK20" i="5" s="1"/>
  <c r="DL20" i="5" s="1"/>
  <c r="DM20" i="5" s="1"/>
  <c r="DN20" i="5" s="1"/>
  <c r="DO20" i="5" s="1"/>
  <c r="DP20" i="5" s="1"/>
  <c r="DQ20" i="5" s="1"/>
  <c r="DR20" i="5" s="1"/>
  <c r="DS20" i="5" s="1"/>
  <c r="DT20" i="5" s="1"/>
  <c r="DU20" i="5" s="1"/>
  <c r="DV20" i="5" s="1"/>
  <c r="DW20" i="5" s="1"/>
  <c r="DX20" i="5" s="1"/>
  <c r="DY20" i="5" s="1"/>
  <c r="DZ20" i="5" s="1"/>
  <c r="EA20" i="5" s="1"/>
  <c r="EB20" i="5" s="1"/>
  <c r="EC20" i="5" s="1"/>
  <c r="ED20" i="5" s="1"/>
  <c r="EE20" i="5" s="1"/>
  <c r="EF20" i="5" s="1"/>
  <c r="EG20" i="5" s="1"/>
  <c r="EH20" i="5" s="1"/>
  <c r="EI20" i="5" s="1"/>
  <c r="EJ20" i="5" s="1"/>
  <c r="EK20" i="5" s="1"/>
  <c r="EL20" i="5" s="1"/>
  <c r="EM20" i="5" s="1"/>
  <c r="EN20" i="5" s="1"/>
  <c r="EO20" i="5" s="1"/>
  <c r="EP20" i="5" s="1"/>
  <c r="EQ20" i="5" s="1"/>
  <c r="ER20" i="5" s="1"/>
  <c r="ES20" i="5" s="1"/>
  <c r="ET20" i="5" s="1"/>
  <c r="EU20" i="5" s="1"/>
  <c r="EV20" i="5" s="1"/>
  <c r="E15" i="6"/>
  <c r="I10" i="5"/>
  <c r="J10" i="5"/>
  <c r="H13" i="5"/>
  <c r="H15" i="5" s="1"/>
  <c r="H18" i="5" s="1"/>
  <c r="F15" i="5"/>
  <c r="F18" i="5" s="1"/>
  <c r="H6" i="6"/>
  <c r="H10" i="6" s="1"/>
  <c r="H13" i="6" s="1"/>
  <c r="H15" i="6" s="1"/>
  <c r="D6" i="6"/>
  <c r="D10" i="6" s="1"/>
  <c r="D15" i="6" s="1"/>
  <c r="G35" i="5"/>
  <c r="H35" i="5"/>
  <c r="D32" i="5"/>
  <c r="D31" i="5"/>
  <c r="F35" i="5"/>
  <c r="E32" i="5"/>
  <c r="E31" i="5"/>
  <c r="F32" i="5"/>
  <c r="F31" i="5"/>
  <c r="C32" i="5"/>
  <c r="J35" i="5"/>
  <c r="I35" i="5"/>
  <c r="M42" i="5" l="1"/>
  <c r="J13" i="5"/>
  <c r="J15" i="5" s="1"/>
  <c r="J18" i="5" s="1"/>
  <c r="I13" i="5"/>
  <c r="I15" i="5" s="1"/>
  <c r="I18" i="5" s="1"/>
  <c r="G34" i="5"/>
  <c r="D33" i="5"/>
  <c r="D22" i="5"/>
  <c r="D28" i="5"/>
  <c r="E33" i="5"/>
  <c r="E22" i="5"/>
  <c r="F33" i="5"/>
  <c r="F22" i="5"/>
  <c r="C31" i="5"/>
  <c r="G31" i="5"/>
  <c r="H31" i="5"/>
  <c r="J31" i="5"/>
  <c r="E51" i="1"/>
  <c r="C33" i="1"/>
  <c r="C35" i="1"/>
  <c r="C32" i="1"/>
  <c r="C31" i="1"/>
  <c r="C30" i="1"/>
  <c r="I7" i="1"/>
  <c r="J34" i="5" l="1"/>
  <c r="I34" i="5"/>
  <c r="I28" i="5"/>
  <c r="F34" i="5"/>
  <c r="F28" i="5"/>
  <c r="H34" i="5"/>
  <c r="H28" i="5"/>
  <c r="E28" i="5"/>
  <c r="G28" i="5"/>
  <c r="J28" i="5"/>
  <c r="F23" i="5"/>
  <c r="C24" i="5"/>
  <c r="G24" i="5"/>
  <c r="H24" i="5"/>
  <c r="F24" i="5"/>
  <c r="E24" i="5"/>
  <c r="D24" i="5"/>
  <c r="D34" i="5"/>
  <c r="D23" i="5"/>
  <c r="E34" i="5"/>
  <c r="E23" i="5"/>
  <c r="C33" i="5"/>
  <c r="C22" i="5"/>
  <c r="I31" i="5"/>
  <c r="I10" i="1"/>
  <c r="C36" i="1"/>
  <c r="D33" i="1" s="1"/>
  <c r="G32" i="5" l="1"/>
  <c r="G23" i="5"/>
  <c r="J32" i="5"/>
  <c r="H23" i="5"/>
  <c r="H32" i="5"/>
  <c r="I23" i="5"/>
  <c r="I32" i="5"/>
  <c r="D34" i="1"/>
  <c r="D35" i="1"/>
  <c r="D32" i="1"/>
  <c r="D31" i="1"/>
  <c r="D30" i="1"/>
  <c r="M44" i="5" l="1"/>
  <c r="J22" i="5"/>
  <c r="J23" i="5"/>
  <c r="D36" i="1"/>
  <c r="H22" i="5"/>
  <c r="I24" i="5"/>
  <c r="I22" i="5"/>
  <c r="G33" i="5"/>
  <c r="G22" i="5"/>
  <c r="I33" i="5"/>
  <c r="J33" i="5" l="1"/>
  <c r="J24" i="5"/>
  <c r="H33" i="5"/>
  <c r="C23" i="5"/>
  <c r="C34" i="5"/>
</calcChain>
</file>

<file path=xl/sharedStrings.xml><?xml version="1.0" encoding="utf-8"?>
<sst xmlns="http://schemas.openxmlformats.org/spreadsheetml/2006/main" count="194" uniqueCount="161">
  <si>
    <t>NYSE:</t>
  </si>
  <si>
    <t>FLUT</t>
  </si>
  <si>
    <t xml:space="preserve">Price </t>
  </si>
  <si>
    <t>Shares</t>
  </si>
  <si>
    <t xml:space="preserve">MC </t>
  </si>
  <si>
    <t>Cash</t>
  </si>
  <si>
    <t>Debt</t>
  </si>
  <si>
    <t xml:space="preserve">EV </t>
  </si>
  <si>
    <t>Flutter Entertainment PLC</t>
  </si>
  <si>
    <t>Founded in 1958</t>
  </si>
  <si>
    <t xml:space="preserve">IPO in 2000 </t>
  </si>
  <si>
    <t>Q125</t>
  </si>
  <si>
    <t xml:space="preserve">Cash </t>
  </si>
  <si>
    <t>Cash and Cash Equivalents</t>
  </si>
  <si>
    <t xml:space="preserve">Debt </t>
  </si>
  <si>
    <t>Operating lease liabilities</t>
  </si>
  <si>
    <t>Long-term debt due within one year</t>
  </si>
  <si>
    <t>Operating lease liabilities – non-current</t>
  </si>
  <si>
    <t>Long-term debt</t>
  </si>
  <si>
    <t>Flutter is the world’s leading online sports betting and iGaming operator based on revenue</t>
  </si>
  <si>
    <t>Sky Betting &amp; Gaming</t>
  </si>
  <si>
    <t>iGaming</t>
  </si>
  <si>
    <t xml:space="preserve">Sportsbook </t>
  </si>
  <si>
    <t xml:space="preserve">P2B - Betting against the house </t>
  </si>
  <si>
    <t>P2P -  Poker and rummy</t>
  </si>
  <si>
    <t>Lottery (Italy, Turkey, Morroco)</t>
  </si>
  <si>
    <t xml:space="preserve">U.S. </t>
  </si>
  <si>
    <t xml:space="preserve">U.K. </t>
  </si>
  <si>
    <t>Ireland</t>
  </si>
  <si>
    <t>Italy</t>
  </si>
  <si>
    <t>Rest of the world</t>
  </si>
  <si>
    <t xml:space="preserve">Total </t>
  </si>
  <si>
    <t xml:space="preserve">Australia </t>
  </si>
  <si>
    <t>Other products</t>
  </si>
  <si>
    <t>P2P Betting (commission)</t>
  </si>
  <si>
    <t xml:space="preserve">Horse racing wagering </t>
  </si>
  <si>
    <t>B2B Pricing and risk management</t>
  </si>
  <si>
    <t>Sport betting</t>
  </si>
  <si>
    <t>(We generate revenue by setting odds in a manner that includes a theoretical spread to be</t>
  </si>
  <si>
    <t xml:space="preserve">earned on each contest less winnings paid and expenses associated with promotional activity). </t>
  </si>
  <si>
    <t xml:space="preserve">Brands </t>
  </si>
  <si>
    <t>Total</t>
  </si>
  <si>
    <t>User base</t>
  </si>
  <si>
    <t>Average Monthly Players</t>
  </si>
  <si>
    <t>Total User Base (approx.)</t>
  </si>
  <si>
    <t xml:space="preserve">(iGaming consists of a full suite of casino games, such as roulette, blackjack, slot games, </t>
  </si>
  <si>
    <t>bingo and rummy, along with poker and lottery products).</t>
  </si>
  <si>
    <t>Region</t>
  </si>
  <si>
    <t>US</t>
  </si>
  <si>
    <t>UK</t>
  </si>
  <si>
    <t>AU</t>
  </si>
  <si>
    <t>World</t>
  </si>
  <si>
    <t>UK, IE</t>
  </si>
  <si>
    <t>IN</t>
  </si>
  <si>
    <t>GE</t>
  </si>
  <si>
    <t>Adjarabet</t>
  </si>
  <si>
    <t>Junglee Games</t>
  </si>
  <si>
    <t>Tombola</t>
  </si>
  <si>
    <t>Sisal</t>
  </si>
  <si>
    <t>Paddy Power</t>
  </si>
  <si>
    <t>PokerStars</t>
  </si>
  <si>
    <t xml:space="preserve">Sportsbet </t>
  </si>
  <si>
    <t xml:space="preserve">FanDuel </t>
  </si>
  <si>
    <t>Sportsbook</t>
  </si>
  <si>
    <t>Other</t>
  </si>
  <si>
    <t>AMPs</t>
  </si>
  <si>
    <t>EV/E</t>
  </si>
  <si>
    <t>Sector: iGaming (Hotels, Restaurants &amp; Leisure)</t>
  </si>
  <si>
    <t>CEO</t>
  </si>
  <si>
    <t>CFO</t>
  </si>
  <si>
    <t>COO</t>
  </si>
  <si>
    <t>Jeremy Peter Jackson</t>
  </si>
  <si>
    <t>Phil Bishop</t>
  </si>
  <si>
    <t>Rob Coldrake</t>
  </si>
  <si>
    <t>Main</t>
  </si>
  <si>
    <t>Revenue</t>
  </si>
  <si>
    <t>Gross Profit</t>
  </si>
  <si>
    <t>R&amp;D</t>
  </si>
  <si>
    <t xml:space="preserve">S&amp;M </t>
  </si>
  <si>
    <t>G&amp;A</t>
  </si>
  <si>
    <t>EPS</t>
  </si>
  <si>
    <t>P/E</t>
  </si>
  <si>
    <t>Q124</t>
  </si>
  <si>
    <t>Q424</t>
  </si>
  <si>
    <t>Q224</t>
  </si>
  <si>
    <t>Q324</t>
  </si>
  <si>
    <t>COGS</t>
  </si>
  <si>
    <t>Gross Margin</t>
  </si>
  <si>
    <t>Operating Margin</t>
  </si>
  <si>
    <t>Net Margin</t>
  </si>
  <si>
    <t>AMP Growth</t>
  </si>
  <si>
    <t>AMP (in thousands)</t>
  </si>
  <si>
    <t>revenue</t>
  </si>
  <si>
    <t>Operating Profit</t>
  </si>
  <si>
    <t>Other Income</t>
  </si>
  <si>
    <t>Interest Expense</t>
  </si>
  <si>
    <t>Income Before Taxes</t>
  </si>
  <si>
    <t>Net Income</t>
  </si>
  <si>
    <t>FLTR</t>
  </si>
  <si>
    <t xml:space="preserve">LSE: </t>
  </si>
  <si>
    <t>Sector</t>
  </si>
  <si>
    <t xml:space="preserve">Sports betting, fantasy sports, iGaming	</t>
  </si>
  <si>
    <t xml:space="preserve">Sports betting, casino, poker, bingo	</t>
  </si>
  <si>
    <t xml:space="preserve">Sports betting	</t>
  </si>
  <si>
    <t xml:space="preserve">Online poker, casino, sports betting	</t>
  </si>
  <si>
    <t xml:space="preserve">Lottery, betting, online gaming	</t>
  </si>
  <si>
    <t xml:space="preserve">Online bingo	</t>
  </si>
  <si>
    <t xml:space="preserve">Betting exchange, sportsbook, casino	</t>
  </si>
  <si>
    <t xml:space="preserve">Horse racing betting &amp; broadcasting	</t>
  </si>
  <si>
    <t xml:space="preserve">Online skill gaming (rummy, fantasy)	</t>
  </si>
  <si>
    <t xml:space="preserve">Sports betting, casino, poker	</t>
  </si>
  <si>
    <t>Revenue by region</t>
  </si>
  <si>
    <t xml:space="preserve">IT </t>
  </si>
  <si>
    <t>TVG</t>
  </si>
  <si>
    <t xml:space="preserve">Betfair </t>
  </si>
  <si>
    <t>Net Income Adjusted</t>
  </si>
  <si>
    <t>EPS Adjusted</t>
  </si>
  <si>
    <t>Separately Disclosed Items</t>
  </si>
  <si>
    <t>Separately Disclosed Items (Non-Recurring Expenses)</t>
  </si>
  <si>
    <t xml:space="preserve">Net Margin Adjusted </t>
  </si>
  <si>
    <t>Revenue y/y</t>
  </si>
  <si>
    <t>Net Income Adjusted y/y</t>
  </si>
  <si>
    <t xml:space="preserve">Income Taxes </t>
  </si>
  <si>
    <t>Operating Profit (EBIT)</t>
  </si>
  <si>
    <t xml:space="preserve">Income Before Taxes (EBT) </t>
  </si>
  <si>
    <t>Maturity</t>
  </si>
  <si>
    <t xml:space="preserve">Discount  </t>
  </si>
  <si>
    <t>NPV</t>
  </si>
  <si>
    <t>Share</t>
  </si>
  <si>
    <t>Q225</t>
  </si>
  <si>
    <t>Income Benefit</t>
  </si>
  <si>
    <t xml:space="preserve">WACC </t>
  </si>
  <si>
    <t xml:space="preserve">Cost of Equity </t>
  </si>
  <si>
    <t xml:space="preserve">Risk free rate </t>
  </si>
  <si>
    <t xml:space="preserve">Beta </t>
  </si>
  <si>
    <t xml:space="preserve">Market return </t>
  </si>
  <si>
    <t xml:space="preserve">Cost of Debt </t>
  </si>
  <si>
    <t>Total Debt = Short-Term Debt + Long-Term Debt</t>
  </si>
  <si>
    <t>Total Debt</t>
  </si>
  <si>
    <t xml:space="preserve">Interest Expense </t>
  </si>
  <si>
    <t>Cost of Debt = (Total Interest Expense / Total Debt) x (1 - Tax Rate)</t>
  </si>
  <si>
    <t xml:space="preserve">Effective Tax Rate = Income Tax Expense / Earnings Before Taxes </t>
  </si>
  <si>
    <t>Pre-tax Cost of Debt = Interest Expense / Total Debt</t>
  </si>
  <si>
    <t xml:space="preserve">WACC = (E/V * Re) + (D/V * Rd * (1-Tc) </t>
  </si>
  <si>
    <t xml:space="preserve">V = E + D </t>
  </si>
  <si>
    <t xml:space="preserve">Re = Cost of Equity </t>
  </si>
  <si>
    <t xml:space="preserve">Rd = Cost of Debt </t>
  </si>
  <si>
    <t xml:space="preserve">Tc = Tax Rate </t>
  </si>
  <si>
    <t xml:space="preserve">D = total value of a debt = Total Debt </t>
  </si>
  <si>
    <t xml:space="preserve">E = total value of company's equity = market cap </t>
  </si>
  <si>
    <t>Tax Rate (avarage)</t>
  </si>
  <si>
    <t>Free cash flow (FCF) = Net cash from operating activities – Capital expenditures</t>
  </si>
  <si>
    <t>Capital expenditures = Purchases of property and equipment + Purchases of intangible assets + Capitalized software.</t>
  </si>
  <si>
    <t xml:space="preserve">Free cash flow </t>
  </si>
  <si>
    <t xml:space="preserve">Net cash </t>
  </si>
  <si>
    <t>Property and Euipment</t>
  </si>
  <si>
    <t xml:space="preserve">Capitalized Software </t>
  </si>
  <si>
    <t>Intengible Assets</t>
  </si>
  <si>
    <t>Free Cash Flow</t>
  </si>
  <si>
    <t>Free Cash Flow y/y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</si>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</sst>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9" fontId="1" fillId="0" borderId="0" xfId="0" applyNumberFormat="1" applyFont="1"/>
    <xf numFmtId="9" fontId="3" fillId="0" borderId="0" xfId="0" applyNumberFormat="1" applyFont="1"/>
    <xf numFmtId="3" fontId="1" fillId="0" borderId="0" xfId="0" applyNumberFormat="1" applyFont="1"/>
    <xf numFmtId="3" fontId="4" fillId="0" borderId="0" xfId="0" applyNumberFormat="1" applyFont="1"/>
    <xf numFmtId="3" fontId="3" fillId="0" borderId="0" xfId="0" applyNumberFormat="1" applyFont="1"/>
    <xf numFmtId="0" fontId="2" fillId="0" borderId="0" xfId="1"/>
    <xf numFmtId="3" fontId="1" fillId="0" borderId="0" xfId="0" applyNumberFormat="1" applyFont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3" fontId="5" fillId="0" borderId="0" xfId="0" applyNumberFormat="1" applyFont="1"/>
    <xf numFmtId="3" fontId="0" fillId="0" borderId="0" xfId="0" applyNumberFormat="1"/>
    <xf numFmtId="10" fontId="5" fillId="0" borderId="0" xfId="0" applyNumberFormat="1" applyFont="1"/>
    <xf numFmtId="1" fontId="6" fillId="0" borderId="0" xfId="0" applyNumberFormat="1" applyFont="1"/>
    <xf numFmtId="3" fontId="6" fillId="0" borderId="0" xfId="0" applyNumberFormat="1" applyFont="1"/>
    <xf numFmtId="0" fontId="6" fillId="0" borderId="0" xfId="0" applyFont="1"/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0" fontId="7" fillId="0" borderId="0" xfId="0" applyFont="1"/>
    <xf numFmtId="3" fontId="7" fillId="0" borderId="0" xfId="0" applyNumberFormat="1" applyFont="1"/>
    <xf numFmtId="4" fontId="6" fillId="0" borderId="0" xfId="0" applyNumberFormat="1" applyFont="1"/>
    <xf numFmtId="1" fontId="7" fillId="0" borderId="0" xfId="0" applyNumberFormat="1" applyFont="1"/>
    <xf numFmtId="10" fontId="6" fillId="0" borderId="0" xfId="0" applyNumberFormat="1" applyFont="1"/>
    <xf numFmtId="9" fontId="6" fillId="0" borderId="0" xfId="0" applyNumberFormat="1" applyFont="1"/>
    <xf numFmtId="3" fontId="8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6773</xdr:colOff>
      <xdr:row>0</xdr:row>
      <xdr:rowOff>11160</xdr:rowOff>
    </xdr:from>
    <xdr:to>
      <xdr:col>10</xdr:col>
      <xdr:colOff>7133</xdr:colOff>
      <xdr:row>0</xdr:row>
      <xdr:rowOff>11520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DB24231-E587-B22A-E034-E1EC5C7FA468}"/>
                </a:ext>
              </a:extLst>
            </xdr14:cNvPr>
            <xdr14:cNvContentPartPr/>
          </xdr14:nvContentPartPr>
          <xdr14:nvPr macro=""/>
          <xdr14:xfrm>
            <a:off x="4206240" y="111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DB24231-E587-B22A-E034-E1EC5C7FA46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00120" y="50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0</xdr:colOff>
      <xdr:row>0</xdr:row>
      <xdr:rowOff>131703</xdr:rowOff>
    </xdr:from>
    <xdr:to>
      <xdr:col>10</xdr:col>
      <xdr:colOff>9408</xdr:colOff>
      <xdr:row>68</xdr:row>
      <xdr:rowOff>94074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EDE8220-654C-53CF-0C84-4892306A1BC1}"/>
            </a:ext>
          </a:extLst>
        </xdr:cNvPr>
        <xdr:cNvCxnSpPr/>
      </xdr:nvCxnSpPr>
      <xdr:spPr>
        <a:xfrm>
          <a:off x="8457259" y="131703"/>
          <a:ext cx="9408" cy="1049866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6773</xdr:colOff>
      <xdr:row>0</xdr:row>
      <xdr:rowOff>11160</xdr:rowOff>
    </xdr:from>
    <xdr:to>
      <xdr:col>2</xdr:col>
      <xdr:colOff>7133</xdr:colOff>
      <xdr:row>0</xdr:row>
      <xdr:rowOff>11520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0307079-3FBB-1049-9859-1D9EC5782913}"/>
                </a:ext>
              </a:extLst>
            </xdr14:cNvPr>
            <xdr14:cNvContentPartPr/>
          </xdr14:nvContentPartPr>
          <xdr14:nvPr macro=""/>
          <xdr14:xfrm>
            <a:off x="4206240" y="111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0307079-3FBB-1049-9859-1D9EC578291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00120" y="50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4T22:36:30.15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6T00:36:28.43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90A-0FD9-C04D-A8EC-8AD7467CFB75}">
  <dimension ref="B2:M52"/>
  <sheetViews>
    <sheetView zoomScale="115" zoomScaleNormal="115" workbookViewId="0">
      <selection activeCell="G21" sqref="G21"/>
    </sheetView>
  </sheetViews>
  <sheetFormatPr defaultColWidth="10.875" defaultRowHeight="12.75" x14ac:dyDescent="0.2"/>
  <cols>
    <col min="1" max="1" width="6.875" style="1" customWidth="1"/>
    <col min="2" max="2" width="27.125" style="1" customWidth="1"/>
    <col min="3" max="3" width="30.875" style="1" bestFit="1" customWidth="1"/>
    <col min="4" max="16384" width="10.875" style="1"/>
  </cols>
  <sheetData>
    <row r="2" spans="2:13" x14ac:dyDescent="0.2">
      <c r="B2" s="1" t="s">
        <v>8</v>
      </c>
      <c r="H2" s="1" t="s">
        <v>0</v>
      </c>
      <c r="I2" s="6" t="s">
        <v>1</v>
      </c>
      <c r="L2" s="1" t="s">
        <v>12</v>
      </c>
      <c r="M2" s="1" t="s">
        <v>13</v>
      </c>
    </row>
    <row r="3" spans="2:13" x14ac:dyDescent="0.2">
      <c r="B3" s="1" t="s">
        <v>9</v>
      </c>
      <c r="H3" s="1" t="s">
        <v>99</v>
      </c>
      <c r="I3" s="1" t="s">
        <v>98</v>
      </c>
      <c r="L3" s="1" t="s">
        <v>14</v>
      </c>
      <c r="M3" s="1" t="s">
        <v>15</v>
      </c>
    </row>
    <row r="4" spans="2:13" x14ac:dyDescent="0.2">
      <c r="B4" s="1" t="s">
        <v>10</v>
      </c>
      <c r="M4" s="1" t="s">
        <v>17</v>
      </c>
    </row>
    <row r="5" spans="2:13" x14ac:dyDescent="0.2">
      <c r="H5" s="1" t="s">
        <v>2</v>
      </c>
      <c r="I5" s="2">
        <v>243</v>
      </c>
      <c r="M5" s="1" t="s">
        <v>16</v>
      </c>
    </row>
    <row r="6" spans="2:13" x14ac:dyDescent="0.2">
      <c r="H6" s="1" t="s">
        <v>3</v>
      </c>
      <c r="I6" s="3">
        <v>176</v>
      </c>
      <c r="J6" s="6" t="s">
        <v>129</v>
      </c>
      <c r="M6" s="1" t="s">
        <v>18</v>
      </c>
    </row>
    <row r="7" spans="2:13" x14ac:dyDescent="0.2">
      <c r="B7" s="1" t="s">
        <v>67</v>
      </c>
      <c r="H7" s="1" t="s">
        <v>4</v>
      </c>
      <c r="I7" s="4">
        <f>I5*I6</f>
        <v>42768</v>
      </c>
      <c r="J7" s="6"/>
    </row>
    <row r="8" spans="2:13" x14ac:dyDescent="0.2">
      <c r="B8" s="1" t="s">
        <v>19</v>
      </c>
      <c r="H8" s="1" t="s">
        <v>5</v>
      </c>
      <c r="I8" s="3">
        <v>1691</v>
      </c>
      <c r="J8" s="6" t="s">
        <v>129</v>
      </c>
    </row>
    <row r="9" spans="2:13" x14ac:dyDescent="0.2">
      <c r="H9" s="1" t="s">
        <v>6</v>
      </c>
      <c r="I9" s="3">
        <f>122+486+70+9882</f>
        <v>10560</v>
      </c>
      <c r="J9" s="6" t="s">
        <v>129</v>
      </c>
    </row>
    <row r="10" spans="2:13" x14ac:dyDescent="0.2">
      <c r="H10" s="1" t="s">
        <v>7</v>
      </c>
      <c r="I10" s="3">
        <f>I7-I8+I9</f>
        <v>51637</v>
      </c>
      <c r="J10" s="6"/>
    </row>
    <row r="11" spans="2:13" s="7" customFormat="1" x14ac:dyDescent="0.2">
      <c r="B11" s="7" t="s">
        <v>22</v>
      </c>
      <c r="C11" s="9">
        <v>0.56000000000000005</v>
      </c>
      <c r="D11" s="7" t="s">
        <v>92</v>
      </c>
      <c r="H11" s="1" t="s">
        <v>66</v>
      </c>
      <c r="I11" s="3">
        <f>I10/MM!H15</f>
        <v>154.14029850746269</v>
      </c>
      <c r="J11" s="6" t="s">
        <v>11</v>
      </c>
    </row>
    <row r="12" spans="2:13" x14ac:dyDescent="0.2">
      <c r="B12" s="1" t="s">
        <v>37</v>
      </c>
      <c r="C12" s="9"/>
      <c r="H12" s="7"/>
      <c r="I12" s="7"/>
      <c r="J12" s="7"/>
    </row>
    <row r="13" spans="2:13" x14ac:dyDescent="0.2">
      <c r="B13" s="1" t="s">
        <v>38</v>
      </c>
    </row>
    <row r="14" spans="2:13" x14ac:dyDescent="0.2">
      <c r="B14" s="1" t="s">
        <v>39</v>
      </c>
    </row>
    <row r="16" spans="2:13" s="7" customFormat="1" x14ac:dyDescent="0.2">
      <c r="B16" s="7" t="s">
        <v>21</v>
      </c>
      <c r="C16" s="9">
        <v>0.4</v>
      </c>
      <c r="D16" s="7" t="s">
        <v>92</v>
      </c>
      <c r="H16" s="1" t="s">
        <v>68</v>
      </c>
      <c r="I16" s="1" t="s">
        <v>71</v>
      </c>
      <c r="J16" s="1"/>
    </row>
    <row r="17" spans="2:10" x14ac:dyDescent="0.2">
      <c r="B17" s="1" t="s">
        <v>23</v>
      </c>
      <c r="H17" s="1" t="s">
        <v>70</v>
      </c>
      <c r="I17" s="1" t="s">
        <v>72</v>
      </c>
      <c r="J17" s="7"/>
    </row>
    <row r="18" spans="2:10" x14ac:dyDescent="0.2">
      <c r="B18" s="1" t="s">
        <v>24</v>
      </c>
      <c r="H18" s="1" t="s">
        <v>69</v>
      </c>
      <c r="I18" s="1" t="s">
        <v>73</v>
      </c>
    </row>
    <row r="19" spans="2:10" x14ac:dyDescent="0.2">
      <c r="B19" s="1" t="s">
        <v>25</v>
      </c>
    </row>
    <row r="20" spans="2:10" x14ac:dyDescent="0.2">
      <c r="B20" s="1" t="s">
        <v>45</v>
      </c>
    </row>
    <row r="21" spans="2:10" x14ac:dyDescent="0.2">
      <c r="B21" s="1" t="s">
        <v>46</v>
      </c>
    </row>
    <row r="23" spans="2:10" s="7" customFormat="1" x14ac:dyDescent="0.2">
      <c r="B23" s="7" t="s">
        <v>33</v>
      </c>
      <c r="C23" s="9">
        <v>0.04</v>
      </c>
      <c r="D23" s="7" t="s">
        <v>92</v>
      </c>
      <c r="H23" s="1"/>
      <c r="I23" s="1"/>
      <c r="J23" s="1"/>
    </row>
    <row r="24" spans="2:10" x14ac:dyDescent="0.2">
      <c r="B24" s="1" t="s">
        <v>34</v>
      </c>
      <c r="H24" s="7"/>
      <c r="I24" s="7"/>
      <c r="J24" s="7"/>
    </row>
    <row r="25" spans="2:10" x14ac:dyDescent="0.2">
      <c r="B25" s="1" t="s">
        <v>35</v>
      </c>
      <c r="C25" s="8"/>
    </row>
    <row r="26" spans="2:10" x14ac:dyDescent="0.2">
      <c r="B26" s="1" t="s">
        <v>36</v>
      </c>
      <c r="C26" s="8"/>
    </row>
    <row r="27" spans="2:10" x14ac:dyDescent="0.2">
      <c r="C27" s="8"/>
    </row>
    <row r="28" spans="2:10" x14ac:dyDescent="0.2">
      <c r="C28" s="8"/>
    </row>
    <row r="29" spans="2:10" x14ac:dyDescent="0.2">
      <c r="B29" s="7" t="s">
        <v>111</v>
      </c>
      <c r="C29" s="7"/>
    </row>
    <row r="30" spans="2:10" x14ac:dyDescent="0.2">
      <c r="B30" s="1" t="s">
        <v>26</v>
      </c>
      <c r="C30" s="10">
        <f>5729</f>
        <v>5729</v>
      </c>
      <c r="D30" s="8">
        <f>C30/C36</f>
        <v>0.40781605922551251</v>
      </c>
    </row>
    <row r="31" spans="2:10" x14ac:dyDescent="0.2">
      <c r="B31" s="1" t="s">
        <v>27</v>
      </c>
      <c r="C31" s="10">
        <f>3279</f>
        <v>3279</v>
      </c>
      <c r="D31" s="8">
        <f>C31/C36</f>
        <v>0.2334140091116173</v>
      </c>
    </row>
    <row r="32" spans="2:10" x14ac:dyDescent="0.2">
      <c r="B32" s="1" t="s">
        <v>28</v>
      </c>
      <c r="C32" s="10">
        <f>304</f>
        <v>304</v>
      </c>
      <c r="D32" s="8">
        <f>C32/C36</f>
        <v>2.164009111617312E-2</v>
      </c>
    </row>
    <row r="33" spans="2:11" x14ac:dyDescent="0.2">
      <c r="B33" s="1" t="s">
        <v>32</v>
      </c>
      <c r="C33" s="10">
        <f>1397</f>
        <v>1397</v>
      </c>
      <c r="D33" s="8">
        <f>C33/C36</f>
        <v>9.9444760820045552E-2</v>
      </c>
    </row>
    <row r="34" spans="2:11" x14ac:dyDescent="0.2">
      <c r="B34" s="1" t="s">
        <v>29</v>
      </c>
      <c r="C34" s="10">
        <v>1484</v>
      </c>
      <c r="D34" s="8">
        <f>C34/C36</f>
        <v>0.10563781321184511</v>
      </c>
    </row>
    <row r="35" spans="2:11" x14ac:dyDescent="0.2">
      <c r="B35" s="1" t="s">
        <v>30</v>
      </c>
      <c r="C35" s="10">
        <f>1855</f>
        <v>1855</v>
      </c>
      <c r="D35" s="8">
        <f>C35/C36</f>
        <v>0.13204726651480639</v>
      </c>
    </row>
    <row r="36" spans="2:11" x14ac:dyDescent="0.2">
      <c r="B36" s="7" t="s">
        <v>31</v>
      </c>
      <c r="C36" s="12">
        <f>SUM(C30:C35)</f>
        <v>14048</v>
      </c>
      <c r="D36" s="9">
        <f>SUM(D30:D35)</f>
        <v>1</v>
      </c>
    </row>
    <row r="39" spans="2:11" x14ac:dyDescent="0.2">
      <c r="B39" s="7" t="s">
        <v>40</v>
      </c>
      <c r="C39" s="7" t="s">
        <v>100</v>
      </c>
      <c r="D39" s="7" t="s">
        <v>47</v>
      </c>
      <c r="E39" s="7" t="s">
        <v>42</v>
      </c>
      <c r="G39" s="7" t="s">
        <v>65</v>
      </c>
      <c r="H39" s="7">
        <v>2022</v>
      </c>
      <c r="I39" s="7">
        <v>2023</v>
      </c>
      <c r="J39" s="7">
        <v>2024</v>
      </c>
    </row>
    <row r="40" spans="2:11" x14ac:dyDescent="0.2">
      <c r="B40" s="1" t="s">
        <v>62</v>
      </c>
      <c r="C40" s="1" t="s">
        <v>101</v>
      </c>
      <c r="D40" s="1" t="s">
        <v>48</v>
      </c>
      <c r="E40" s="10">
        <v>18000</v>
      </c>
      <c r="G40" s="1" t="s">
        <v>63</v>
      </c>
      <c r="H40" s="10">
        <v>6817</v>
      </c>
      <c r="I40" s="10">
        <v>7383</v>
      </c>
      <c r="J40" s="10">
        <v>8365</v>
      </c>
      <c r="K40" s="7"/>
    </row>
    <row r="41" spans="2:11" x14ac:dyDescent="0.2">
      <c r="B41" s="1" t="s">
        <v>20</v>
      </c>
      <c r="C41" s="1" t="s">
        <v>102</v>
      </c>
      <c r="D41" s="1" t="s">
        <v>49</v>
      </c>
      <c r="E41" s="10">
        <v>1000</v>
      </c>
      <c r="G41" s="1" t="s">
        <v>21</v>
      </c>
      <c r="H41" s="10">
        <v>4583</v>
      </c>
      <c r="I41" s="10">
        <v>5718</v>
      </c>
      <c r="J41" s="10">
        <v>6697</v>
      </c>
    </row>
    <row r="42" spans="2:11" x14ac:dyDescent="0.2">
      <c r="B42" s="1" t="s">
        <v>61</v>
      </c>
      <c r="C42" s="1" t="s">
        <v>103</v>
      </c>
      <c r="D42" s="1" t="s">
        <v>50</v>
      </c>
      <c r="E42" s="11">
        <v>2000</v>
      </c>
      <c r="G42" s="1" t="s">
        <v>64</v>
      </c>
      <c r="H42" s="10">
        <v>1275</v>
      </c>
      <c r="I42" s="10">
        <v>1413</v>
      </c>
      <c r="J42" s="10">
        <v>1366</v>
      </c>
    </row>
    <row r="43" spans="2:11" x14ac:dyDescent="0.2">
      <c r="B43" s="1" t="s">
        <v>60</v>
      </c>
      <c r="C43" s="1" t="s">
        <v>104</v>
      </c>
      <c r="D43" s="1" t="s">
        <v>51</v>
      </c>
      <c r="E43" s="10">
        <v>3400</v>
      </c>
      <c r="G43" s="7" t="s">
        <v>41</v>
      </c>
      <c r="H43" s="12">
        <v>10245</v>
      </c>
      <c r="I43" s="12">
        <v>12325</v>
      </c>
      <c r="J43" s="12">
        <v>13898</v>
      </c>
    </row>
    <row r="44" spans="2:11" x14ac:dyDescent="0.2">
      <c r="B44" s="1" t="s">
        <v>59</v>
      </c>
      <c r="C44" s="1" t="s">
        <v>102</v>
      </c>
      <c r="D44" s="1" t="s">
        <v>52</v>
      </c>
      <c r="E44" s="10">
        <v>2000</v>
      </c>
    </row>
    <row r="45" spans="2:11" x14ac:dyDescent="0.2">
      <c r="B45" s="1" t="s">
        <v>58</v>
      </c>
      <c r="C45" s="1" t="s">
        <v>105</v>
      </c>
      <c r="D45" s="1" t="s">
        <v>112</v>
      </c>
      <c r="E45" s="11">
        <v>30000</v>
      </c>
    </row>
    <row r="46" spans="2:11" x14ac:dyDescent="0.2">
      <c r="B46" s="1" t="s">
        <v>57</v>
      </c>
      <c r="C46" s="1" t="s">
        <v>106</v>
      </c>
      <c r="D46" s="1" t="s">
        <v>49</v>
      </c>
      <c r="E46" s="10"/>
    </row>
    <row r="47" spans="2:11" x14ac:dyDescent="0.2">
      <c r="B47" s="1" t="s">
        <v>114</v>
      </c>
      <c r="C47" s="1" t="s">
        <v>107</v>
      </c>
      <c r="D47" s="1" t="s">
        <v>51</v>
      </c>
      <c r="E47" s="10">
        <v>1100</v>
      </c>
    </row>
    <row r="48" spans="2:11" x14ac:dyDescent="0.2">
      <c r="B48" s="1" t="s">
        <v>113</v>
      </c>
      <c r="C48" s="1" t="s">
        <v>108</v>
      </c>
      <c r="D48" s="1" t="s">
        <v>48</v>
      </c>
    </row>
    <row r="49" spans="2:5" x14ac:dyDescent="0.2">
      <c r="B49" s="1" t="s">
        <v>56</v>
      </c>
      <c r="C49" s="1" t="s">
        <v>109</v>
      </c>
      <c r="D49" s="1" t="s">
        <v>53</v>
      </c>
      <c r="E49" s="10">
        <v>43000</v>
      </c>
    </row>
    <row r="50" spans="2:5" x14ac:dyDescent="0.2">
      <c r="B50" s="1" t="s">
        <v>55</v>
      </c>
      <c r="C50" s="1" t="s">
        <v>110</v>
      </c>
      <c r="D50" s="1" t="s">
        <v>54</v>
      </c>
      <c r="E50" s="1">
        <v>220</v>
      </c>
    </row>
    <row r="51" spans="2:5" x14ac:dyDescent="0.2">
      <c r="B51" s="7" t="s">
        <v>44</v>
      </c>
      <c r="E51" s="12">
        <f>SUM(E40:E50)</f>
        <v>100720</v>
      </c>
    </row>
    <row r="52" spans="2:5" x14ac:dyDescent="0.2">
      <c r="B52" s="7" t="s">
        <v>43</v>
      </c>
      <c r="E52" s="15">
        <v>13898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43DB-B62D-354D-9F35-039D9DC79DC7}">
  <dimension ref="A1:ACB44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0" sqref="K30"/>
    </sheetView>
  </sheetViews>
  <sheetFormatPr defaultColWidth="10.875" defaultRowHeight="12.75" x14ac:dyDescent="0.2"/>
  <cols>
    <col min="1" max="1" width="5.125" style="25" bestFit="1" customWidth="1"/>
    <col min="2" max="2" width="20.875" style="25" customWidth="1"/>
    <col min="3" max="4" width="10.5" style="25" customWidth="1"/>
    <col min="5" max="7" width="10.125" style="25" customWidth="1"/>
    <col min="8" max="8" width="11.125" style="25" bestFit="1" customWidth="1"/>
    <col min="9" max="9" width="11" style="25" customWidth="1"/>
    <col min="10" max="10" width="11.125" style="25" bestFit="1" customWidth="1"/>
    <col min="11" max="11" width="10.875" style="25" customWidth="1"/>
    <col min="12" max="12" width="11" style="25" customWidth="1"/>
    <col min="13" max="13" width="12.125" style="25" bestFit="1" customWidth="1"/>
    <col min="14" max="16" width="10.875" style="25" customWidth="1"/>
    <col min="17" max="17" width="11.625" style="25" customWidth="1"/>
    <col min="18" max="16384" width="10.875" style="25"/>
  </cols>
  <sheetData>
    <row r="1" spans="1:36" x14ac:dyDescent="0.2">
      <c r="A1" s="36" t="s">
        <v>74</v>
      </c>
      <c r="B1" s="24"/>
      <c r="C1" s="24"/>
      <c r="D1" s="24"/>
      <c r="E1" s="24"/>
      <c r="F1" s="24"/>
      <c r="G1" s="24"/>
      <c r="H1" s="24"/>
      <c r="I1" s="24"/>
      <c r="J1" s="24"/>
    </row>
    <row r="2" spans="1:36" s="27" customFormat="1" x14ac:dyDescent="0.2">
      <c r="A2" s="26"/>
      <c r="B2" s="26"/>
      <c r="C2" s="27">
        <v>2018</v>
      </c>
      <c r="D2" s="27">
        <v>2018</v>
      </c>
      <c r="E2" s="27">
        <v>2019</v>
      </c>
      <c r="F2" s="27">
        <v>2020</v>
      </c>
      <c r="G2" s="27">
        <v>2021</v>
      </c>
      <c r="H2" s="27">
        <v>2022</v>
      </c>
      <c r="I2" s="27">
        <v>2023</v>
      </c>
      <c r="J2" s="27">
        <v>2024</v>
      </c>
      <c r="K2" s="27">
        <v>2025</v>
      </c>
      <c r="L2" s="27">
        <v>2026</v>
      </c>
      <c r="M2" s="27">
        <v>2027</v>
      </c>
      <c r="N2" s="27">
        <v>2028</v>
      </c>
      <c r="O2" s="27">
        <v>2029</v>
      </c>
      <c r="P2" s="27">
        <v>2030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</row>
    <row r="3" spans="1:36" s="26" customFormat="1" x14ac:dyDescent="0.2">
      <c r="B3" s="29" t="s">
        <v>91</v>
      </c>
      <c r="E3" s="26">
        <v>5400</v>
      </c>
      <c r="F3" s="26">
        <v>6400</v>
      </c>
      <c r="G3" s="26">
        <v>7600</v>
      </c>
      <c r="H3" s="26">
        <v>10245</v>
      </c>
      <c r="I3" s="26">
        <v>12325</v>
      </c>
      <c r="J3" s="26">
        <v>13898</v>
      </c>
      <c r="K3" s="30"/>
    </row>
    <row r="4" spans="1:36" s="30" customFormat="1" x14ac:dyDescent="0.2">
      <c r="A4" s="31"/>
      <c r="B4" s="31" t="s">
        <v>75</v>
      </c>
      <c r="C4" s="31">
        <v>1745.4</v>
      </c>
      <c r="D4" s="31">
        <v>1873</v>
      </c>
      <c r="E4" s="31">
        <v>2140</v>
      </c>
      <c r="F4" s="31">
        <v>4413</v>
      </c>
      <c r="G4" s="31">
        <v>6036</v>
      </c>
      <c r="H4" s="31">
        <v>9463</v>
      </c>
      <c r="I4" s="31">
        <v>11790</v>
      </c>
      <c r="J4" s="31">
        <v>14048</v>
      </c>
      <c r="L4" s="31"/>
      <c r="M4" s="31"/>
      <c r="N4" s="31"/>
      <c r="P4" s="31"/>
    </row>
    <row r="5" spans="1:36" x14ac:dyDescent="0.2">
      <c r="A5" s="24"/>
      <c r="B5" s="24" t="s">
        <v>86</v>
      </c>
      <c r="C5" s="24">
        <v>405.4</v>
      </c>
      <c r="D5" s="24">
        <v>469.9</v>
      </c>
      <c r="E5" s="24">
        <v>650.20000000000005</v>
      </c>
      <c r="F5" s="24">
        <v>1541</v>
      </c>
      <c r="G5" s="24">
        <v>2262</v>
      </c>
      <c r="H5" s="24">
        <v>4813</v>
      </c>
      <c r="I5" s="24">
        <v>6202</v>
      </c>
      <c r="J5" s="24">
        <v>7346</v>
      </c>
      <c r="L5" s="24"/>
      <c r="M5" s="24"/>
      <c r="N5" s="24"/>
      <c r="O5" s="31"/>
      <c r="P5" s="24"/>
    </row>
    <row r="6" spans="1:36" x14ac:dyDescent="0.2">
      <c r="A6" s="24"/>
      <c r="B6" s="24" t="s">
        <v>76</v>
      </c>
      <c r="C6" s="24">
        <f t="shared" ref="C6:J6" si="0">C4-C5</f>
        <v>1340</v>
      </c>
      <c r="D6" s="24">
        <f t="shared" si="0"/>
        <v>1403.1</v>
      </c>
      <c r="E6" s="24">
        <f t="shared" si="0"/>
        <v>1489.8</v>
      </c>
      <c r="F6" s="24">
        <f t="shared" si="0"/>
        <v>2872</v>
      </c>
      <c r="G6" s="24">
        <f t="shared" si="0"/>
        <v>3774</v>
      </c>
      <c r="H6" s="24">
        <f t="shared" si="0"/>
        <v>4650</v>
      </c>
      <c r="I6" s="24">
        <f t="shared" si="0"/>
        <v>5588</v>
      </c>
      <c r="J6" s="24">
        <f t="shared" si="0"/>
        <v>6702</v>
      </c>
      <c r="K6" s="32"/>
      <c r="L6" s="32"/>
      <c r="M6" s="32"/>
      <c r="N6" s="24"/>
      <c r="O6" s="24"/>
      <c r="P6" s="24"/>
    </row>
    <row r="7" spans="1:36" x14ac:dyDescent="0.2">
      <c r="A7" s="24"/>
      <c r="B7" s="24" t="s">
        <v>77</v>
      </c>
      <c r="C7" s="24"/>
      <c r="D7" s="24"/>
      <c r="E7" s="24"/>
      <c r="F7" s="24"/>
      <c r="G7" s="24"/>
      <c r="H7" s="24">
        <v>552</v>
      </c>
      <c r="I7" s="24">
        <v>765</v>
      </c>
      <c r="J7" s="24">
        <v>820</v>
      </c>
      <c r="L7" s="24"/>
      <c r="M7" s="24"/>
      <c r="N7" s="24"/>
      <c r="O7" s="24"/>
      <c r="P7" s="24"/>
    </row>
    <row r="8" spans="1:36" x14ac:dyDescent="0.2">
      <c r="A8" s="24"/>
      <c r="B8" s="24" t="s">
        <v>78</v>
      </c>
      <c r="C8" s="24"/>
      <c r="D8" s="24"/>
      <c r="E8" s="24"/>
      <c r="F8" s="24"/>
      <c r="G8" s="24">
        <v>1508</v>
      </c>
      <c r="H8" s="24">
        <v>3014</v>
      </c>
      <c r="I8" s="24">
        <v>3776</v>
      </c>
      <c r="J8" s="24">
        <v>3205</v>
      </c>
      <c r="L8" s="24"/>
      <c r="M8" s="24"/>
      <c r="N8" s="24"/>
      <c r="O8" s="24"/>
      <c r="P8" s="24"/>
    </row>
    <row r="9" spans="1:36" x14ac:dyDescent="0.2">
      <c r="A9" s="24"/>
      <c r="B9" s="24" t="s">
        <v>79</v>
      </c>
      <c r="C9" s="24"/>
      <c r="D9" s="24"/>
      <c r="E9" s="24"/>
      <c r="F9" s="24"/>
      <c r="G9" s="24"/>
      <c r="H9" s="24">
        <v>1172</v>
      </c>
      <c r="I9" s="24">
        <v>1596</v>
      </c>
      <c r="J9" s="24">
        <v>1808</v>
      </c>
      <c r="K9" s="32"/>
      <c r="L9" s="24"/>
      <c r="M9" s="24"/>
      <c r="N9" s="24"/>
      <c r="O9" s="24"/>
      <c r="P9" s="24"/>
    </row>
    <row r="10" spans="1:36" x14ac:dyDescent="0.2">
      <c r="A10" s="24"/>
      <c r="B10" s="24" t="s">
        <v>123</v>
      </c>
      <c r="C10" s="24">
        <v>250</v>
      </c>
      <c r="D10" s="24">
        <v>204.6</v>
      </c>
      <c r="E10" s="24">
        <v>149.9</v>
      </c>
      <c r="F10" s="24">
        <v>103</v>
      </c>
      <c r="G10" s="24">
        <v>-63</v>
      </c>
      <c r="H10" s="24">
        <f>H6-(H7+H8+H9)</f>
        <v>-88</v>
      </c>
      <c r="I10" s="24">
        <f>I6-(I7+I8+I9)</f>
        <v>-549</v>
      </c>
      <c r="J10" s="24">
        <f>J6-(J7+J8+J9)</f>
        <v>869</v>
      </c>
      <c r="L10" s="24"/>
      <c r="M10" s="24"/>
      <c r="N10" s="24"/>
      <c r="O10" s="24"/>
      <c r="P10" s="24"/>
    </row>
    <row r="11" spans="1:36" x14ac:dyDescent="0.2">
      <c r="A11" s="24"/>
      <c r="B11" s="24" t="s">
        <v>94</v>
      </c>
      <c r="C11" s="24">
        <v>1.7</v>
      </c>
      <c r="D11" s="24">
        <v>21.6</v>
      </c>
      <c r="E11" s="24">
        <v>1</v>
      </c>
      <c r="F11" s="24">
        <v>80</v>
      </c>
      <c r="G11" s="24">
        <v>101</v>
      </c>
      <c r="H11" s="24">
        <v>5</v>
      </c>
      <c r="I11" s="24">
        <v>157</v>
      </c>
      <c r="J11" s="24">
        <v>434</v>
      </c>
      <c r="L11" s="24"/>
      <c r="M11" s="24"/>
      <c r="N11" s="24"/>
      <c r="O11" s="24"/>
      <c r="P11" s="24"/>
    </row>
    <row r="12" spans="1:36" x14ac:dyDescent="0.2">
      <c r="A12" s="24"/>
      <c r="B12" s="24" t="s">
        <v>95</v>
      </c>
      <c r="C12" s="24">
        <v>5.0999999999999996</v>
      </c>
      <c r="D12" s="24">
        <v>7.5</v>
      </c>
      <c r="E12" s="24">
        <v>15.2</v>
      </c>
      <c r="F12" s="24">
        <v>182</v>
      </c>
      <c r="G12" s="24">
        <v>226</v>
      </c>
      <c r="H12" s="24">
        <v>212</v>
      </c>
      <c r="I12" s="24">
        <v>385</v>
      </c>
      <c r="J12" s="24">
        <v>419</v>
      </c>
      <c r="L12" s="24"/>
      <c r="M12" s="24"/>
      <c r="N12" s="24"/>
      <c r="O12" s="24"/>
      <c r="P12" s="24"/>
    </row>
    <row r="13" spans="1:36" x14ac:dyDescent="0.2">
      <c r="A13" s="24"/>
      <c r="B13" s="24" t="s">
        <v>124</v>
      </c>
      <c r="C13" s="24">
        <v>246.6</v>
      </c>
      <c r="D13" s="24">
        <f>D10+D11-D12</f>
        <v>218.7</v>
      </c>
      <c r="E13" s="24">
        <f>E10+E11-E12</f>
        <v>135.70000000000002</v>
      </c>
      <c r="F13" s="24">
        <f>F10+F11-F12</f>
        <v>1</v>
      </c>
      <c r="G13" s="24">
        <f>G10+G11-G12</f>
        <v>-188</v>
      </c>
      <c r="H13" s="24">
        <f>H10+H11-H12</f>
        <v>-295</v>
      </c>
      <c r="I13" s="24">
        <f>I10-I11-I12</f>
        <v>-1091</v>
      </c>
      <c r="J13" s="24">
        <f>J10-J11-J12</f>
        <v>16</v>
      </c>
      <c r="L13" s="24"/>
      <c r="M13" s="24"/>
      <c r="N13" s="24"/>
      <c r="O13" s="24"/>
      <c r="P13" s="24"/>
    </row>
    <row r="14" spans="1:36" x14ac:dyDescent="0.2">
      <c r="A14" s="24"/>
      <c r="B14" s="24" t="s">
        <v>122</v>
      </c>
      <c r="C14" s="24">
        <v>-28.9</v>
      </c>
      <c r="D14" s="24">
        <v>-38</v>
      </c>
      <c r="E14" s="24">
        <v>-23.8</v>
      </c>
      <c r="F14" s="24">
        <f>35.8</f>
        <v>35.799999999999997</v>
      </c>
      <c r="G14" s="24">
        <v>-194</v>
      </c>
      <c r="H14" s="24">
        <v>-75</v>
      </c>
      <c r="I14" s="24">
        <v>-120</v>
      </c>
      <c r="J14" s="24">
        <v>146</v>
      </c>
      <c r="L14" s="24"/>
      <c r="M14" s="24"/>
      <c r="N14" s="24"/>
      <c r="O14" s="24"/>
      <c r="P14" s="24"/>
    </row>
    <row r="15" spans="1:36" s="30" customFormat="1" x14ac:dyDescent="0.2">
      <c r="A15" s="31"/>
      <c r="B15" s="31" t="s">
        <v>97</v>
      </c>
      <c r="C15" s="31">
        <f>C13+C14</f>
        <v>217.7</v>
      </c>
      <c r="D15" s="31">
        <f>D13+D14</f>
        <v>180.7</v>
      </c>
      <c r="E15" s="31">
        <f>E13+E14</f>
        <v>111.90000000000002</v>
      </c>
      <c r="F15" s="31">
        <f>F13-F14</f>
        <v>-34.799999999999997</v>
      </c>
      <c r="G15" s="31">
        <f>G13+G14</f>
        <v>-382</v>
      </c>
      <c r="H15" s="31">
        <f>H13+H14</f>
        <v>-370</v>
      </c>
      <c r="I15" s="31">
        <f>I13+I14</f>
        <v>-1211</v>
      </c>
      <c r="J15" s="31">
        <f>J13+J14</f>
        <v>162</v>
      </c>
      <c r="L15" s="31"/>
      <c r="M15" s="31"/>
      <c r="N15" s="31"/>
      <c r="O15" s="31"/>
      <c r="P15" s="31"/>
    </row>
    <row r="16" spans="1:36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L16" s="24"/>
      <c r="M16" s="24"/>
      <c r="N16" s="24"/>
      <c r="O16" s="24"/>
      <c r="P16" s="24"/>
    </row>
    <row r="17" spans="1:756" x14ac:dyDescent="0.2">
      <c r="A17" s="24"/>
      <c r="B17" s="24" t="s">
        <v>118</v>
      </c>
      <c r="C17" s="24">
        <v>118.3</v>
      </c>
      <c r="D17" s="24">
        <v>123.1</v>
      </c>
      <c r="E17" s="24">
        <v>112</v>
      </c>
      <c r="F17" s="24">
        <v>506.7</v>
      </c>
      <c r="G17" s="24">
        <v>866</v>
      </c>
      <c r="H17" s="24">
        <f>43+155-44+749+65+9+147-199+1-63</f>
        <v>863</v>
      </c>
      <c r="I17" s="24">
        <f>92+126+725+791+30+6+29+196-150-13+2</f>
        <v>1834</v>
      </c>
      <c r="J17" s="24">
        <f>54+135+581+202+7+8+2-3+426+2-148</f>
        <v>1266</v>
      </c>
      <c r="K17" s="24"/>
      <c r="L17" s="24"/>
      <c r="M17" s="24"/>
      <c r="N17" s="24"/>
      <c r="O17" s="3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756" s="23" customFormat="1" x14ac:dyDescent="0.2">
      <c r="B18" s="24" t="s">
        <v>115</v>
      </c>
      <c r="C18" s="24">
        <f t="shared" ref="C18:J18" si="1">C15+C17</f>
        <v>336</v>
      </c>
      <c r="D18" s="24">
        <f t="shared" si="1"/>
        <v>303.79999999999995</v>
      </c>
      <c r="E18" s="24">
        <f t="shared" si="1"/>
        <v>223.90000000000003</v>
      </c>
      <c r="F18" s="24">
        <f t="shared" si="1"/>
        <v>471.9</v>
      </c>
      <c r="G18" s="24">
        <f t="shared" si="1"/>
        <v>484</v>
      </c>
      <c r="H18" s="24">
        <f t="shared" si="1"/>
        <v>493</v>
      </c>
      <c r="I18" s="24">
        <f t="shared" si="1"/>
        <v>623</v>
      </c>
      <c r="J18" s="24">
        <f t="shared" si="1"/>
        <v>1428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</row>
    <row r="19" spans="1:756" s="33" customFormat="1" x14ac:dyDescent="0.2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</row>
    <row r="20" spans="1:756" s="31" customFormat="1" x14ac:dyDescent="0.2">
      <c r="A20" s="33"/>
      <c r="B20" s="31" t="s">
        <v>158</v>
      </c>
      <c r="G20" s="30">
        <v>194</v>
      </c>
      <c r="H20" s="30">
        <v>704</v>
      </c>
      <c r="I20" s="30">
        <v>335</v>
      </c>
      <c r="J20" s="30">
        <v>941</v>
      </c>
      <c r="K20" s="31">
        <f>J20*1.5</f>
        <v>1411.5</v>
      </c>
      <c r="L20" s="31">
        <f t="shared" ref="L20:P20" si="2">K20*1.5</f>
        <v>2117.25</v>
      </c>
      <c r="M20" s="31">
        <f t="shared" si="2"/>
        <v>3175.875</v>
      </c>
      <c r="N20" s="31">
        <f t="shared" si="2"/>
        <v>4763.8125</v>
      </c>
      <c r="O20" s="31">
        <f t="shared" si="2"/>
        <v>7145.71875</v>
      </c>
      <c r="P20" s="31">
        <f t="shared" si="2"/>
        <v>10718.578125</v>
      </c>
      <c r="Q20" s="31">
        <f>P20*(1+$M$40)</f>
        <v>12004.807500000001</v>
      </c>
      <c r="R20" s="31">
        <f t="shared" ref="R20:BW20" si="3">Q20*(1+$M$40)</f>
        <v>13445.384400000003</v>
      </c>
      <c r="S20" s="31">
        <f t="shared" si="3"/>
        <v>15058.830528000004</v>
      </c>
      <c r="T20" s="31">
        <f t="shared" si="3"/>
        <v>16865.890191360006</v>
      </c>
      <c r="U20" s="31">
        <f t="shared" si="3"/>
        <v>18889.797014323209</v>
      </c>
      <c r="V20" s="31">
        <f t="shared" si="3"/>
        <v>21156.572656041997</v>
      </c>
      <c r="W20" s="31">
        <f t="shared" si="3"/>
        <v>23695.361374767039</v>
      </c>
      <c r="X20" s="31">
        <f t="shared" si="3"/>
        <v>26538.804739739087</v>
      </c>
      <c r="Y20" s="31">
        <f t="shared" si="3"/>
        <v>29723.46130850778</v>
      </c>
      <c r="Z20" s="31">
        <f t="shared" si="3"/>
        <v>33290.27666552872</v>
      </c>
      <c r="AA20" s="31">
        <f t="shared" si="3"/>
        <v>37285.109865392173</v>
      </c>
      <c r="AB20" s="31">
        <f t="shared" si="3"/>
        <v>41759.323049239239</v>
      </c>
      <c r="AC20" s="31">
        <f t="shared" si="3"/>
        <v>46770.441815147955</v>
      </c>
      <c r="AD20" s="31">
        <f t="shared" si="3"/>
        <v>52382.894832965714</v>
      </c>
      <c r="AE20" s="31">
        <f t="shared" si="3"/>
        <v>58668.842212921605</v>
      </c>
      <c r="AF20" s="31">
        <f t="shared" si="3"/>
        <v>65709.103278472205</v>
      </c>
      <c r="AG20" s="31">
        <f t="shared" si="3"/>
        <v>73594.195671888883</v>
      </c>
      <c r="AH20" s="31">
        <f t="shared" si="3"/>
        <v>82425.499152515564</v>
      </c>
      <c r="AI20" s="31">
        <f t="shared" si="3"/>
        <v>92316.559050817435</v>
      </c>
      <c r="AJ20" s="31">
        <f t="shared" si="3"/>
        <v>103394.54613691554</v>
      </c>
      <c r="AK20" s="31">
        <f t="shared" si="3"/>
        <v>115801.89167334541</v>
      </c>
      <c r="AL20" s="31">
        <f t="shared" si="3"/>
        <v>129698.11867414687</v>
      </c>
      <c r="AM20" s="31">
        <f t="shared" si="3"/>
        <v>145261.8929150445</v>
      </c>
      <c r="AN20" s="31">
        <f t="shared" si="3"/>
        <v>162693.32006484986</v>
      </c>
      <c r="AO20" s="31">
        <f t="shared" si="3"/>
        <v>182216.51847263187</v>
      </c>
      <c r="AP20" s="31">
        <f t="shared" si="3"/>
        <v>204082.50068934771</v>
      </c>
      <c r="AQ20" s="31">
        <f t="shared" si="3"/>
        <v>228572.40077206946</v>
      </c>
      <c r="AR20" s="31">
        <f t="shared" si="3"/>
        <v>256001.08886471784</v>
      </c>
      <c r="AS20" s="31">
        <f t="shared" si="3"/>
        <v>286721.21952848398</v>
      </c>
      <c r="AT20" s="31">
        <f t="shared" si="3"/>
        <v>321127.76587190211</v>
      </c>
      <c r="AU20" s="31">
        <f t="shared" si="3"/>
        <v>359663.09777653043</v>
      </c>
      <c r="AV20" s="31">
        <f t="shared" si="3"/>
        <v>402822.66950971412</v>
      </c>
      <c r="AW20" s="31">
        <f t="shared" si="3"/>
        <v>451161.38985087984</v>
      </c>
      <c r="AX20" s="31">
        <f t="shared" si="3"/>
        <v>505300.75663298549</v>
      </c>
      <c r="AY20" s="31">
        <f t="shared" si="3"/>
        <v>565936.84742894385</v>
      </c>
      <c r="AZ20" s="31">
        <f t="shared" si="3"/>
        <v>633849.26912041719</v>
      </c>
      <c r="BA20" s="31">
        <f t="shared" si="3"/>
        <v>709911.18141486729</v>
      </c>
      <c r="BB20" s="31">
        <f t="shared" si="3"/>
        <v>795100.52318465139</v>
      </c>
      <c r="BC20" s="31">
        <f t="shared" si="3"/>
        <v>890512.58596680965</v>
      </c>
      <c r="BD20" s="31">
        <f t="shared" si="3"/>
        <v>997374.09628282685</v>
      </c>
      <c r="BE20" s="31">
        <f t="shared" si="3"/>
        <v>1117058.9878367663</v>
      </c>
      <c r="BF20" s="31">
        <f t="shared" si="3"/>
        <v>1251106.0663771783</v>
      </c>
      <c r="BG20" s="31">
        <f t="shared" si="3"/>
        <v>1401238.7943424399</v>
      </c>
      <c r="BH20" s="31">
        <f t="shared" si="3"/>
        <v>1569387.4496635329</v>
      </c>
      <c r="BI20" s="31">
        <f t="shared" si="3"/>
        <v>1757713.943623157</v>
      </c>
      <c r="BJ20" s="31">
        <f t="shared" si="3"/>
        <v>1968639.6168579359</v>
      </c>
      <c r="BK20" s="31">
        <f t="shared" si="3"/>
        <v>2204876.3708808883</v>
      </c>
      <c r="BL20" s="31">
        <f t="shared" si="3"/>
        <v>2469461.5353865949</v>
      </c>
      <c r="BM20" s="31">
        <f t="shared" si="3"/>
        <v>2765796.9196329867</v>
      </c>
      <c r="BN20" s="31">
        <f t="shared" si="3"/>
        <v>3097692.5499889455</v>
      </c>
      <c r="BO20" s="31">
        <f t="shared" si="3"/>
        <v>3469415.6559876194</v>
      </c>
      <c r="BP20" s="31">
        <f t="shared" si="3"/>
        <v>3885745.5347061343</v>
      </c>
      <c r="BQ20" s="31">
        <f t="shared" si="3"/>
        <v>4352034.998870871</v>
      </c>
      <c r="BR20" s="31">
        <f t="shared" si="3"/>
        <v>4874279.1987353759</v>
      </c>
      <c r="BS20" s="31">
        <f t="shared" si="3"/>
        <v>5459192.7025836213</v>
      </c>
      <c r="BT20" s="31">
        <f t="shared" si="3"/>
        <v>6114295.8268936565</v>
      </c>
      <c r="BU20" s="31">
        <f t="shared" si="3"/>
        <v>6848011.3261208963</v>
      </c>
      <c r="BV20" s="31">
        <f t="shared" si="3"/>
        <v>7669772.6852554046</v>
      </c>
      <c r="BW20" s="31">
        <f t="shared" si="3"/>
        <v>8590145.4074860532</v>
      </c>
      <c r="BX20" s="31">
        <f t="shared" ref="BX20:EI20" si="4">BW20*(1+$M$40)</f>
        <v>9620962.8563843798</v>
      </c>
      <c r="BY20" s="31">
        <f t="shared" si="4"/>
        <v>10775478.399150506</v>
      </c>
      <c r="BZ20" s="31">
        <f t="shared" si="4"/>
        <v>12068535.807048567</v>
      </c>
      <c r="CA20" s="31">
        <f t="shared" si="4"/>
        <v>13516760.103894396</v>
      </c>
      <c r="CB20" s="31">
        <f t="shared" si="4"/>
        <v>15138771.316361725</v>
      </c>
      <c r="CC20" s="31">
        <f t="shared" si="4"/>
        <v>16955423.874325134</v>
      </c>
      <c r="CD20" s="31">
        <f t="shared" si="4"/>
        <v>18990074.739244152</v>
      </c>
      <c r="CE20" s="31">
        <f t="shared" si="4"/>
        <v>21268883.707953453</v>
      </c>
      <c r="CF20" s="31">
        <f t="shared" si="4"/>
        <v>23821149.752907868</v>
      </c>
      <c r="CG20" s="31">
        <f t="shared" si="4"/>
        <v>26679687.723256815</v>
      </c>
      <c r="CH20" s="31">
        <f t="shared" si="4"/>
        <v>29881250.250047635</v>
      </c>
      <c r="CI20" s="31">
        <f t="shared" si="4"/>
        <v>33467000.280053355</v>
      </c>
      <c r="CJ20" s="31">
        <f t="shared" si="4"/>
        <v>37483040.313659757</v>
      </c>
      <c r="CK20" s="31">
        <f t="shared" si="4"/>
        <v>41981005.151298933</v>
      </c>
      <c r="CL20" s="31">
        <f t="shared" si="4"/>
        <v>47018725.769454807</v>
      </c>
      <c r="CM20" s="31">
        <f t="shared" si="4"/>
        <v>52660972.86178939</v>
      </c>
      <c r="CN20" s="31">
        <f t="shared" si="4"/>
        <v>58980289.60520412</v>
      </c>
      <c r="CO20" s="31">
        <f t="shared" si="4"/>
        <v>66057924.357828625</v>
      </c>
      <c r="CP20" s="31">
        <f t="shared" si="4"/>
        <v>73984875.280768067</v>
      </c>
      <c r="CQ20" s="31">
        <f t="shared" si="4"/>
        <v>82863060.314460248</v>
      </c>
      <c r="CR20" s="31">
        <f t="shared" si="4"/>
        <v>92806627.552195489</v>
      </c>
      <c r="CS20" s="31">
        <f t="shared" si="4"/>
        <v>103943422.85845895</v>
      </c>
      <c r="CT20" s="31">
        <f t="shared" si="4"/>
        <v>116416633.60147403</v>
      </c>
      <c r="CU20" s="31">
        <f t="shared" si="4"/>
        <v>130386629.63365093</v>
      </c>
      <c r="CV20" s="31">
        <f t="shared" si="4"/>
        <v>146033025.18968904</v>
      </c>
      <c r="CW20" s="31">
        <f t="shared" si="4"/>
        <v>163556988.21245173</v>
      </c>
      <c r="CX20" s="31">
        <f t="shared" si="4"/>
        <v>183183826.79794595</v>
      </c>
      <c r="CY20" s="31">
        <f t="shared" si="4"/>
        <v>205165886.01369947</v>
      </c>
      <c r="CZ20" s="31">
        <f t="shared" si="4"/>
        <v>229785792.33534342</v>
      </c>
      <c r="DA20" s="31">
        <f t="shared" si="4"/>
        <v>257360087.41558465</v>
      </c>
      <c r="DB20" s="31">
        <f t="shared" si="4"/>
        <v>288243297.90545481</v>
      </c>
      <c r="DC20" s="31">
        <f t="shared" si="4"/>
        <v>322832493.65410942</v>
      </c>
      <c r="DD20" s="31">
        <f t="shared" si="4"/>
        <v>361572392.89260256</v>
      </c>
      <c r="DE20" s="31">
        <f t="shared" si="4"/>
        <v>404961080.03971493</v>
      </c>
      <c r="DF20" s="31">
        <f t="shared" si="4"/>
        <v>453556409.64448076</v>
      </c>
      <c r="DG20" s="31">
        <f t="shared" si="4"/>
        <v>507983178.80181849</v>
      </c>
      <c r="DH20" s="31">
        <f t="shared" si="4"/>
        <v>568941160.25803673</v>
      </c>
      <c r="DI20" s="31">
        <f t="shared" si="4"/>
        <v>637214099.48900115</v>
      </c>
      <c r="DJ20" s="31">
        <f t="shared" si="4"/>
        <v>713679791.42768133</v>
      </c>
      <c r="DK20" s="31">
        <f t="shared" si="4"/>
        <v>799321366.39900315</v>
      </c>
      <c r="DL20" s="31">
        <f t="shared" si="4"/>
        <v>895239930.36688364</v>
      </c>
      <c r="DM20" s="31">
        <f t="shared" si="4"/>
        <v>1002668722.0109098</v>
      </c>
      <c r="DN20" s="31">
        <f t="shared" si="4"/>
        <v>1122988968.6522191</v>
      </c>
      <c r="DO20" s="31">
        <f t="shared" si="4"/>
        <v>1257747644.8904855</v>
      </c>
      <c r="DP20" s="31">
        <f t="shared" si="4"/>
        <v>1408677362.277344</v>
      </c>
      <c r="DQ20" s="31">
        <f t="shared" si="4"/>
        <v>1577718645.7506254</v>
      </c>
      <c r="DR20" s="31">
        <f t="shared" si="4"/>
        <v>1767044883.2407005</v>
      </c>
      <c r="DS20" s="31">
        <f t="shared" si="4"/>
        <v>1979090269.2295847</v>
      </c>
      <c r="DT20" s="31">
        <f t="shared" si="4"/>
        <v>2216581101.5371351</v>
      </c>
      <c r="DU20" s="31">
        <f t="shared" si="4"/>
        <v>2482570833.7215915</v>
      </c>
      <c r="DV20" s="31">
        <f t="shared" si="4"/>
        <v>2780479333.7681828</v>
      </c>
      <c r="DW20" s="31">
        <f t="shared" si="4"/>
        <v>3114136853.820365</v>
      </c>
      <c r="DX20" s="31">
        <f t="shared" si="4"/>
        <v>3487833276.2788091</v>
      </c>
      <c r="DY20" s="31">
        <f t="shared" si="4"/>
        <v>3906373269.4322667</v>
      </c>
      <c r="DZ20" s="31">
        <f t="shared" si="4"/>
        <v>4375138061.7641392</v>
      </c>
      <c r="EA20" s="31">
        <f t="shared" si="4"/>
        <v>4900154629.1758366</v>
      </c>
      <c r="EB20" s="31">
        <f t="shared" si="4"/>
        <v>5488173184.6769371</v>
      </c>
      <c r="EC20" s="31">
        <f t="shared" si="4"/>
        <v>6146753966.8381701</v>
      </c>
      <c r="ED20" s="31">
        <f t="shared" si="4"/>
        <v>6884364442.8587513</v>
      </c>
      <c r="EE20" s="31">
        <f t="shared" si="4"/>
        <v>7710488176.0018024</v>
      </c>
      <c r="EF20" s="31">
        <f t="shared" si="4"/>
        <v>8635746757.1220188</v>
      </c>
      <c r="EG20" s="31">
        <f t="shared" si="4"/>
        <v>9672036367.9766617</v>
      </c>
      <c r="EH20" s="31">
        <f t="shared" si="4"/>
        <v>10832680732.133862</v>
      </c>
      <c r="EI20" s="31">
        <f t="shared" si="4"/>
        <v>12132602419.989925</v>
      </c>
      <c r="EJ20" s="31">
        <f t="shared" ref="EJ20:EV20" si="5">EI20*(1+$M$40)</f>
        <v>13588514710.388718</v>
      </c>
      <c r="EK20" s="31">
        <f t="shared" si="5"/>
        <v>15219136475.635365</v>
      </c>
      <c r="EL20" s="31">
        <f t="shared" si="5"/>
        <v>17045432852.711611</v>
      </c>
      <c r="EM20" s="31">
        <f t="shared" si="5"/>
        <v>19090884795.037006</v>
      </c>
      <c r="EN20" s="31">
        <f t="shared" si="5"/>
        <v>21381790970.441448</v>
      </c>
      <c r="EO20" s="31">
        <f t="shared" si="5"/>
        <v>23947605886.894424</v>
      </c>
      <c r="EP20" s="31">
        <f t="shared" si="5"/>
        <v>26821318593.321758</v>
      </c>
      <c r="EQ20" s="31">
        <f t="shared" si="5"/>
        <v>30039876824.52037</v>
      </c>
      <c r="ER20" s="31">
        <f t="shared" si="5"/>
        <v>33644662043.462818</v>
      </c>
      <c r="ES20" s="31">
        <f t="shared" si="5"/>
        <v>37682021488.67836</v>
      </c>
      <c r="ET20" s="31">
        <f t="shared" si="5"/>
        <v>42203864067.319771</v>
      </c>
      <c r="EU20" s="31">
        <f t="shared" si="5"/>
        <v>47268327755.398148</v>
      </c>
      <c r="EV20" s="31">
        <f t="shared" si="5"/>
        <v>52940527086.045929</v>
      </c>
    </row>
    <row r="21" spans="1:756" x14ac:dyDescent="0.2">
      <c r="C21" s="24"/>
      <c r="D21" s="24"/>
      <c r="E21" s="24"/>
    </row>
    <row r="22" spans="1:756" x14ac:dyDescent="0.2">
      <c r="B22" s="24" t="s">
        <v>80</v>
      </c>
      <c r="C22" s="24">
        <f t="shared" ref="C22:J22" si="6">C15/C25</f>
        <v>1.2369318181818181</v>
      </c>
      <c r="D22" s="24">
        <f t="shared" si="6"/>
        <v>1.0267045454545454</v>
      </c>
      <c r="E22" s="24">
        <f t="shared" si="6"/>
        <v>0.63579545454545461</v>
      </c>
      <c r="F22" s="24">
        <f t="shared" si="6"/>
        <v>-0.19772727272727272</v>
      </c>
      <c r="G22" s="24">
        <f t="shared" si="6"/>
        <v>-2.1704545454545454</v>
      </c>
      <c r="H22" s="24">
        <f t="shared" si="6"/>
        <v>-2.1022727272727271</v>
      </c>
      <c r="I22" s="24">
        <f t="shared" si="6"/>
        <v>-6.8418079096045199</v>
      </c>
      <c r="J22" s="24">
        <f t="shared" si="6"/>
        <v>0.9</v>
      </c>
    </row>
    <row r="23" spans="1:756" x14ac:dyDescent="0.2">
      <c r="B23" s="24" t="s">
        <v>116</v>
      </c>
      <c r="C23" s="24">
        <f t="shared" ref="C23:J23" si="7">C18/C25</f>
        <v>1.9090909090909092</v>
      </c>
      <c r="D23" s="24">
        <f t="shared" si="7"/>
        <v>1.7261363636363634</v>
      </c>
      <c r="E23" s="24">
        <f t="shared" si="7"/>
        <v>1.2721590909090912</v>
      </c>
      <c r="F23" s="24">
        <f t="shared" si="7"/>
        <v>2.6812499999999999</v>
      </c>
      <c r="G23" s="24">
        <f t="shared" si="7"/>
        <v>2.75</v>
      </c>
      <c r="H23" s="24">
        <f t="shared" si="7"/>
        <v>2.8011363636363638</v>
      </c>
      <c r="I23" s="24">
        <f t="shared" si="7"/>
        <v>3.5197740112994351</v>
      </c>
      <c r="J23" s="24">
        <f t="shared" si="7"/>
        <v>7.9333333333333336</v>
      </c>
    </row>
    <row r="24" spans="1:756" x14ac:dyDescent="0.2">
      <c r="B24" s="24" t="s">
        <v>81</v>
      </c>
      <c r="C24" s="24">
        <f>Main!I7/C15</f>
        <v>196.45383555351401</v>
      </c>
      <c r="D24" s="24">
        <f>Main!I7/D15</f>
        <v>236.67957941339239</v>
      </c>
      <c r="E24" s="24">
        <f>Main!I7/E15</f>
        <v>382.19839142091143</v>
      </c>
      <c r="F24" s="24">
        <f>Main!I7/F15</f>
        <v>-1228.9655172413793</v>
      </c>
      <c r="G24" s="24">
        <f>Main!I7/G15</f>
        <v>-111.95811518324608</v>
      </c>
      <c r="H24" s="24">
        <f>Main!I7/H15</f>
        <v>-115.58918918918918</v>
      </c>
      <c r="I24" s="24">
        <f>Main!I7/I15</f>
        <v>-35.316267547481424</v>
      </c>
      <c r="J24" s="24">
        <f>Main!I7/J15</f>
        <v>264</v>
      </c>
    </row>
    <row r="25" spans="1:756" x14ac:dyDescent="0.2">
      <c r="B25" s="24" t="s">
        <v>3</v>
      </c>
      <c r="C25" s="24">
        <v>176</v>
      </c>
      <c r="D25" s="24">
        <v>176</v>
      </c>
      <c r="E25" s="24">
        <v>176</v>
      </c>
      <c r="F25" s="24">
        <v>176</v>
      </c>
      <c r="G25" s="24">
        <v>176</v>
      </c>
      <c r="H25" s="24">
        <v>176</v>
      </c>
      <c r="I25" s="24">
        <v>177</v>
      </c>
      <c r="J25" s="24">
        <v>180</v>
      </c>
    </row>
    <row r="27" spans="1:756" x14ac:dyDescent="0.2">
      <c r="B27" s="25" t="s">
        <v>120</v>
      </c>
      <c r="D27" s="34">
        <f t="shared" ref="D27:J27" si="8">(D4-C4)/C4</f>
        <v>7.3106451243267964E-2</v>
      </c>
      <c r="E27" s="34">
        <f t="shared" si="8"/>
        <v>0.14255205552589428</v>
      </c>
      <c r="F27" s="34">
        <f t="shared" si="8"/>
        <v>1.0621495327102803</v>
      </c>
      <c r="G27" s="34">
        <f t="shared" si="8"/>
        <v>0.36777702243371857</v>
      </c>
      <c r="H27" s="34">
        <f t="shared" si="8"/>
        <v>0.56776010603048377</v>
      </c>
      <c r="I27" s="34">
        <f t="shared" si="8"/>
        <v>0.24590510408961216</v>
      </c>
      <c r="J27" s="34">
        <f t="shared" si="8"/>
        <v>0.19151823579304494</v>
      </c>
    </row>
    <row r="28" spans="1:756" x14ac:dyDescent="0.2">
      <c r="B28" s="25" t="s">
        <v>121</v>
      </c>
      <c r="D28" s="34">
        <f>(D18-C18)/C18</f>
        <v>-9.5833333333333465E-2</v>
      </c>
      <c r="E28" s="34">
        <f t="shared" ref="E28:J28" si="9">(E18-D18)/D18</f>
        <v>-0.26300197498354161</v>
      </c>
      <c r="F28" s="34">
        <f t="shared" si="9"/>
        <v>1.1076373380973645</v>
      </c>
      <c r="G28" s="34">
        <f t="shared" si="9"/>
        <v>2.5641025641025689E-2</v>
      </c>
      <c r="H28" s="34">
        <f t="shared" si="9"/>
        <v>1.859504132231405E-2</v>
      </c>
      <c r="I28" s="34">
        <f t="shared" si="9"/>
        <v>0.26369168356997974</v>
      </c>
      <c r="J28" s="34">
        <f t="shared" si="9"/>
        <v>1.2921348314606742</v>
      </c>
    </row>
    <row r="29" spans="1:756" x14ac:dyDescent="0.2">
      <c r="B29" s="25" t="s">
        <v>159</v>
      </c>
      <c r="D29" s="34"/>
      <c r="E29" s="34"/>
      <c r="F29" s="34"/>
      <c r="G29" s="34"/>
      <c r="H29" s="34">
        <f>(H20-G20)/G20</f>
        <v>2.6288659793814433</v>
      </c>
      <c r="I29" s="34">
        <f>(I20-H20)/H20</f>
        <v>-0.52414772727272729</v>
      </c>
      <c r="J29" s="34">
        <f>(J20-I20)/I20</f>
        <v>1.808955223880597</v>
      </c>
      <c r="Q29" s="31"/>
    </row>
    <row r="30" spans="1:756" x14ac:dyDescent="0.2">
      <c r="D30" s="34"/>
      <c r="E30" s="34"/>
      <c r="F30" s="34"/>
      <c r="G30" s="34"/>
      <c r="H30" s="34"/>
      <c r="I30" s="34"/>
      <c r="J30" s="34"/>
    </row>
    <row r="31" spans="1:756" x14ac:dyDescent="0.2">
      <c r="B31" s="25" t="s">
        <v>87</v>
      </c>
      <c r="C31" s="34">
        <f t="shared" ref="C31:J31" si="10">C6/C4</f>
        <v>0.76773232496848853</v>
      </c>
      <c r="D31" s="34">
        <f t="shared" si="10"/>
        <v>0.74911906033101971</v>
      </c>
      <c r="E31" s="34">
        <f t="shared" si="10"/>
        <v>0.69616822429906544</v>
      </c>
      <c r="F31" s="34">
        <f t="shared" si="10"/>
        <v>0.65080444142306826</v>
      </c>
      <c r="G31" s="34">
        <f t="shared" si="10"/>
        <v>0.62524850894632211</v>
      </c>
      <c r="H31" s="34">
        <f t="shared" si="10"/>
        <v>0.49138750924653918</v>
      </c>
      <c r="I31" s="34">
        <f t="shared" si="10"/>
        <v>0.47396098388464802</v>
      </c>
      <c r="J31" s="34">
        <f t="shared" si="10"/>
        <v>0.4770785876993166</v>
      </c>
    </row>
    <row r="32" spans="1:756" x14ac:dyDescent="0.2">
      <c r="B32" s="25" t="s">
        <v>88</v>
      </c>
      <c r="C32" s="34">
        <f t="shared" ref="C32:J32" si="11">C10/C4</f>
        <v>0.1432336427180016</v>
      </c>
      <c r="D32" s="34">
        <f t="shared" si="11"/>
        <v>0.10923651895355045</v>
      </c>
      <c r="E32" s="34">
        <f t="shared" si="11"/>
        <v>7.0046728971962624E-2</v>
      </c>
      <c r="F32" s="34">
        <f t="shared" si="11"/>
        <v>2.3340131429866306E-2</v>
      </c>
      <c r="G32" s="34">
        <f t="shared" si="11"/>
        <v>-1.0437375745526839E-2</v>
      </c>
      <c r="H32" s="34">
        <f t="shared" si="11"/>
        <v>-9.2993765190742886E-3</v>
      </c>
      <c r="I32" s="34">
        <f t="shared" si="11"/>
        <v>-4.6564885496183206E-2</v>
      </c>
      <c r="J32" s="34">
        <f t="shared" si="11"/>
        <v>6.1859339407744872E-2</v>
      </c>
    </row>
    <row r="33" spans="2:13" x14ac:dyDescent="0.2">
      <c r="B33" s="25" t="s">
        <v>89</v>
      </c>
      <c r="C33" s="34">
        <f t="shared" ref="C33:J33" si="12">C15/C4</f>
        <v>0.12472785607883578</v>
      </c>
      <c r="D33" s="34">
        <f t="shared" si="12"/>
        <v>9.6476241324079018E-2</v>
      </c>
      <c r="E33" s="34">
        <f t="shared" si="12"/>
        <v>5.2289719626168234E-2</v>
      </c>
      <c r="F33" s="34">
        <f t="shared" si="12"/>
        <v>-7.8857919782460897E-3</v>
      </c>
      <c r="G33" s="34">
        <f t="shared" si="12"/>
        <v>-6.328694499668655E-2</v>
      </c>
      <c r="H33" s="34">
        <f t="shared" si="12"/>
        <v>-3.9099651273380533E-2</v>
      </c>
      <c r="I33" s="34">
        <f t="shared" si="12"/>
        <v>-0.10271416454622562</v>
      </c>
      <c r="J33" s="34">
        <f t="shared" si="12"/>
        <v>1.1531890660592256E-2</v>
      </c>
    </row>
    <row r="34" spans="2:13" x14ac:dyDescent="0.2">
      <c r="B34" s="25" t="s">
        <v>119</v>
      </c>
      <c r="C34" s="34">
        <f t="shared" ref="C34:J34" si="13">C18/C4</f>
        <v>0.19250601581299415</v>
      </c>
      <c r="D34" s="34">
        <f t="shared" si="13"/>
        <v>0.16219967965830218</v>
      </c>
      <c r="E34" s="34">
        <f t="shared" si="13"/>
        <v>0.10462616822429908</v>
      </c>
      <c r="F34" s="34">
        <f t="shared" si="13"/>
        <v>0.10693405846363017</v>
      </c>
      <c r="G34" s="34">
        <f t="shared" si="13"/>
        <v>8.0185553346587141E-2</v>
      </c>
      <c r="H34" s="34">
        <f t="shared" si="13"/>
        <v>5.2097643453450283E-2</v>
      </c>
      <c r="I34" s="34">
        <f t="shared" si="13"/>
        <v>5.2841391009329941E-2</v>
      </c>
      <c r="J34" s="34">
        <f t="shared" si="13"/>
        <v>0.10165148063781321</v>
      </c>
    </row>
    <row r="35" spans="2:13" x14ac:dyDescent="0.2">
      <c r="B35" s="25" t="s">
        <v>90</v>
      </c>
      <c r="E35" s="34"/>
      <c r="F35" s="34">
        <f>(F3-E3)/E3</f>
        <v>0.18518518518518517</v>
      </c>
      <c r="G35" s="34">
        <f>(G3-F3)/F3</f>
        <v>0.1875</v>
      </c>
      <c r="H35" s="34">
        <f>(H3-G3)/G3</f>
        <v>0.34802631578947368</v>
      </c>
      <c r="I35" s="34">
        <f>(I3-H3)/H3</f>
        <v>0.20302586627623231</v>
      </c>
      <c r="J35" s="34">
        <f>(J3-I3)/I3</f>
        <v>0.12762677484787019</v>
      </c>
    </row>
    <row r="39" spans="2:13" x14ac:dyDescent="0.2">
      <c r="L39" s="25" t="s">
        <v>126</v>
      </c>
      <c r="M39" s="35">
        <f>WACC!C3</f>
        <v>0.16608090288315625</v>
      </c>
    </row>
    <row r="40" spans="2:13" x14ac:dyDescent="0.2">
      <c r="L40" s="25" t="s">
        <v>125</v>
      </c>
      <c r="M40" s="35">
        <v>0.12</v>
      </c>
    </row>
    <row r="41" spans="2:13" x14ac:dyDescent="0.2">
      <c r="L41" s="25" t="s">
        <v>127</v>
      </c>
      <c r="M41" s="24">
        <f>NPV(M39, G20:EV20)</f>
        <v>65290.166162172354</v>
      </c>
    </row>
    <row r="42" spans="2:13" x14ac:dyDescent="0.2">
      <c r="L42" s="25" t="s">
        <v>128</v>
      </c>
      <c r="M42" s="24">
        <f>M41/Main!I5</f>
        <v>268.68381136696445</v>
      </c>
    </row>
    <row r="44" spans="2:13" x14ac:dyDescent="0.2">
      <c r="L44" s="25" t="s">
        <v>160</v>
      </c>
      <c r="M44" s="35">
        <f>Main!I5/M42</f>
        <v>0.90440878727938745</v>
      </c>
    </row>
  </sheetData>
  <hyperlinks>
    <hyperlink ref="A1" location="Main!A1" display="Main!A1" xr:uid="{C6D62328-0113-CD43-8596-4A6DB858A7E6}"/>
  </hyperlink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2C75-DEB6-EB40-AB5E-6BD2AE248C15}">
  <dimension ref="A1:I28"/>
  <sheetViews>
    <sheetView zoomScale="130" zoomScaleNormal="130" workbookViewId="0">
      <selection activeCell="H27" sqref="H27"/>
    </sheetView>
  </sheetViews>
  <sheetFormatPr defaultColWidth="10.875" defaultRowHeight="12.75" x14ac:dyDescent="0.2"/>
  <cols>
    <col min="1" max="1" width="5.125" style="1" bestFit="1" customWidth="1"/>
    <col min="2" max="2" width="21.625" style="1" customWidth="1"/>
    <col min="3" max="16384" width="10.875" style="1"/>
  </cols>
  <sheetData>
    <row r="1" spans="1:9" ht="15.75" x14ac:dyDescent="0.25">
      <c r="A1" s="13" t="s">
        <v>74</v>
      </c>
    </row>
    <row r="2" spans="1:9" s="5" customFormat="1" x14ac:dyDescent="0.2">
      <c r="D2" s="3" t="s">
        <v>82</v>
      </c>
      <c r="E2" s="3" t="s">
        <v>84</v>
      </c>
      <c r="F2" s="3" t="s">
        <v>85</v>
      </c>
      <c r="G2" s="3" t="s">
        <v>83</v>
      </c>
      <c r="H2" s="3" t="s">
        <v>11</v>
      </c>
      <c r="I2" s="5" t="s">
        <v>129</v>
      </c>
    </row>
    <row r="3" spans="1:9" s="3" customFormat="1" x14ac:dyDescent="0.2">
      <c r="B3" s="14" t="s">
        <v>91</v>
      </c>
    </row>
    <row r="4" spans="1:9" s="7" customFormat="1" x14ac:dyDescent="0.2">
      <c r="B4" s="7" t="s">
        <v>75</v>
      </c>
      <c r="D4" s="12">
        <v>3397</v>
      </c>
      <c r="E4" s="12">
        <v>3611</v>
      </c>
      <c r="F4" s="12"/>
      <c r="H4" s="12">
        <v>3665</v>
      </c>
      <c r="I4" s="12">
        <v>4187</v>
      </c>
    </row>
    <row r="5" spans="1:9" x14ac:dyDescent="0.2">
      <c r="B5" s="1" t="s">
        <v>86</v>
      </c>
      <c r="D5" s="10">
        <v>1793</v>
      </c>
      <c r="E5" s="10">
        <v>1835</v>
      </c>
      <c r="F5" s="10"/>
      <c r="G5" s="12"/>
      <c r="H5" s="10">
        <v>1956</v>
      </c>
      <c r="I5" s="10">
        <v>2228</v>
      </c>
    </row>
    <row r="6" spans="1:9" x14ac:dyDescent="0.2">
      <c r="B6" s="1" t="s">
        <v>76</v>
      </c>
      <c r="D6" s="10">
        <f>D4-D5</f>
        <v>1604</v>
      </c>
      <c r="E6" s="10">
        <f>E4-E5</f>
        <v>1776</v>
      </c>
      <c r="F6" s="10"/>
      <c r="G6" s="10"/>
      <c r="H6" s="10">
        <f>H4-H5</f>
        <v>1709</v>
      </c>
      <c r="I6" s="10">
        <f>I4-I5</f>
        <v>1959</v>
      </c>
    </row>
    <row r="7" spans="1:9" x14ac:dyDescent="0.2">
      <c r="B7" s="1" t="s">
        <v>77</v>
      </c>
      <c r="D7" s="10">
        <v>190</v>
      </c>
      <c r="E7" s="10">
        <v>216</v>
      </c>
      <c r="F7" s="10"/>
      <c r="G7" s="10"/>
      <c r="H7" s="10">
        <v>215</v>
      </c>
      <c r="I7" s="10">
        <v>256</v>
      </c>
    </row>
    <row r="8" spans="1:9" x14ac:dyDescent="0.2">
      <c r="B8" s="1" t="s">
        <v>78</v>
      </c>
      <c r="D8" s="10">
        <v>881</v>
      </c>
      <c r="E8" s="10">
        <v>746</v>
      </c>
      <c r="F8" s="10"/>
      <c r="G8" s="10"/>
      <c r="H8" s="10">
        <v>840</v>
      </c>
      <c r="I8" s="10">
        <v>789</v>
      </c>
    </row>
    <row r="9" spans="1:9" x14ac:dyDescent="0.2">
      <c r="B9" s="1" t="s">
        <v>79</v>
      </c>
      <c r="D9" s="10">
        <v>409</v>
      </c>
      <c r="E9" s="10">
        <v>445</v>
      </c>
      <c r="F9" s="10"/>
      <c r="G9" s="10"/>
      <c r="H9" s="10">
        <v>431</v>
      </c>
      <c r="I9" s="10">
        <v>525</v>
      </c>
    </row>
    <row r="10" spans="1:9" x14ac:dyDescent="0.2">
      <c r="B10" s="1" t="s">
        <v>93</v>
      </c>
      <c r="D10" s="10">
        <f>D6-D7-D8-D9</f>
        <v>124</v>
      </c>
      <c r="E10" s="10">
        <f>E6-E7-E8-E9</f>
        <v>369</v>
      </c>
      <c r="F10" s="10"/>
      <c r="G10" s="10"/>
      <c r="H10" s="10">
        <f>H6-H7-H8-H9</f>
        <v>223</v>
      </c>
      <c r="I10" s="10">
        <f>I6-I7-I8-I9</f>
        <v>389</v>
      </c>
    </row>
    <row r="11" spans="1:9" x14ac:dyDescent="0.2">
      <c r="B11" s="1" t="s">
        <v>94</v>
      </c>
      <c r="D11" s="10">
        <v>174</v>
      </c>
      <c r="E11" s="10">
        <v>89</v>
      </c>
      <c r="F11" s="10"/>
      <c r="G11" s="10"/>
      <c r="H11" s="10">
        <v>216</v>
      </c>
      <c r="I11" s="10">
        <v>-74</v>
      </c>
    </row>
    <row r="12" spans="1:9" x14ac:dyDescent="0.2">
      <c r="B12" s="1" t="s">
        <v>95</v>
      </c>
      <c r="D12" s="10">
        <v>112</v>
      </c>
      <c r="E12" s="10">
        <v>108</v>
      </c>
      <c r="F12" s="10"/>
      <c r="G12" s="10"/>
      <c r="H12" s="10">
        <v>85</v>
      </c>
      <c r="I12" s="10">
        <v>110</v>
      </c>
    </row>
    <row r="13" spans="1:9" x14ac:dyDescent="0.2">
      <c r="B13" s="1" t="s">
        <v>96</v>
      </c>
      <c r="D13" s="10">
        <f>D10-D11-D12</f>
        <v>-162</v>
      </c>
      <c r="E13" s="10">
        <f>E10+E11-E12</f>
        <v>350</v>
      </c>
      <c r="F13" s="10"/>
      <c r="G13" s="10"/>
      <c r="H13" s="10">
        <f>H10+H11-H12</f>
        <v>354</v>
      </c>
      <c r="I13" s="10">
        <f>I10+I11-I12</f>
        <v>205</v>
      </c>
    </row>
    <row r="14" spans="1:9" x14ac:dyDescent="0.2">
      <c r="B14" s="1" t="s">
        <v>130</v>
      </c>
      <c r="D14" s="10">
        <v>15</v>
      </c>
      <c r="E14" s="10">
        <v>53</v>
      </c>
      <c r="F14" s="10"/>
      <c r="G14" s="10"/>
      <c r="H14" s="10">
        <v>19</v>
      </c>
      <c r="I14" s="10">
        <v>168</v>
      </c>
    </row>
    <row r="15" spans="1:9" s="7" customFormat="1" x14ac:dyDescent="0.2">
      <c r="B15" s="7" t="s">
        <v>97</v>
      </c>
      <c r="D15" s="12">
        <f>D13-D14</f>
        <v>-177</v>
      </c>
      <c r="E15" s="12">
        <f>E13-E14</f>
        <v>297</v>
      </c>
      <c r="F15" s="12"/>
      <c r="G15" s="10"/>
      <c r="H15" s="12">
        <f>H13-H14</f>
        <v>335</v>
      </c>
      <c r="I15" s="12">
        <f>I13-I14</f>
        <v>37</v>
      </c>
    </row>
    <row r="16" spans="1:9" x14ac:dyDescent="0.2">
      <c r="B16" s="1" t="s">
        <v>117</v>
      </c>
      <c r="G16" s="12"/>
    </row>
    <row r="17" spans="2:7" s="7" customFormat="1" x14ac:dyDescent="0.2">
      <c r="B17" s="7" t="s">
        <v>115</v>
      </c>
      <c r="G17" s="1"/>
    </row>
    <row r="19" spans="2:7" x14ac:dyDescent="0.2">
      <c r="B19" s="1" t="s">
        <v>80</v>
      </c>
    </row>
    <row r="20" spans="2:7" x14ac:dyDescent="0.2">
      <c r="B20" s="1" t="s">
        <v>116</v>
      </c>
    </row>
    <row r="21" spans="2:7" x14ac:dyDescent="0.2">
      <c r="B21" s="1" t="s">
        <v>81</v>
      </c>
    </row>
    <row r="22" spans="2:7" x14ac:dyDescent="0.2">
      <c r="B22" s="1" t="s">
        <v>3</v>
      </c>
    </row>
    <row r="24" spans="2:7" x14ac:dyDescent="0.2">
      <c r="B24" s="1" t="s">
        <v>87</v>
      </c>
    </row>
    <row r="25" spans="2:7" x14ac:dyDescent="0.2">
      <c r="B25" s="1" t="s">
        <v>88</v>
      </c>
    </row>
    <row r="26" spans="2:7" x14ac:dyDescent="0.2">
      <c r="B26" s="1" t="s">
        <v>89</v>
      </c>
    </row>
    <row r="27" spans="2:7" s="7" customFormat="1" x14ac:dyDescent="0.2">
      <c r="B27" s="7" t="s">
        <v>119</v>
      </c>
    </row>
    <row r="28" spans="2:7" x14ac:dyDescent="0.2">
      <c r="B28" s="1" t="s">
        <v>90</v>
      </c>
    </row>
  </sheetData>
  <hyperlinks>
    <hyperlink ref="A1" location="Main!A1" display="Main!A1" xr:uid="{317BA633-CCE8-AA49-AED8-FD5072399149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0C29-ADDE-4209-9D57-C244E8027716}">
  <dimension ref="B3:H18"/>
  <sheetViews>
    <sheetView zoomScale="130" zoomScaleNormal="130" workbookViewId="0">
      <selection activeCell="E21" sqref="E21"/>
    </sheetView>
  </sheetViews>
  <sheetFormatPr defaultColWidth="10.625" defaultRowHeight="15.75" x14ac:dyDescent="0.25"/>
  <cols>
    <col min="2" max="2" width="18.25" customWidth="1"/>
    <col min="8" max="8" width="10.625" customWidth="1"/>
  </cols>
  <sheetData>
    <row r="3" spans="2:8" x14ac:dyDescent="0.25">
      <c r="B3" s="16" t="s">
        <v>131</v>
      </c>
      <c r="C3" s="22">
        <f>((Main!I7/(Main!I7+C11)*C5)+(C11/(C11+Main!I7)*C10*(1-C13)))</f>
        <v>0.16608090288315625</v>
      </c>
      <c r="H3" s="19"/>
    </row>
    <row r="4" spans="2:8" x14ac:dyDescent="0.25">
      <c r="H4" t="s">
        <v>140</v>
      </c>
    </row>
    <row r="5" spans="2:8" x14ac:dyDescent="0.25">
      <c r="B5" s="16" t="s">
        <v>132</v>
      </c>
      <c r="C5" s="18">
        <f>C6+C7*(C8-C6)</f>
        <v>0.19639999999999996</v>
      </c>
      <c r="H5" t="s">
        <v>137</v>
      </c>
    </row>
    <row r="6" spans="2:8" x14ac:dyDescent="0.25">
      <c r="B6" t="s">
        <v>133</v>
      </c>
      <c r="C6" s="17">
        <v>0.04</v>
      </c>
    </row>
    <row r="7" spans="2:8" x14ac:dyDescent="0.25">
      <c r="B7" t="s">
        <v>134</v>
      </c>
      <c r="C7">
        <v>1.1499999999999999</v>
      </c>
      <c r="H7" s="21" t="s">
        <v>141</v>
      </c>
    </row>
    <row r="8" spans="2:8" x14ac:dyDescent="0.25">
      <c r="B8" t="s">
        <v>135</v>
      </c>
      <c r="C8" s="18">
        <v>0.17599999999999999</v>
      </c>
    </row>
    <row r="9" spans="2:8" x14ac:dyDescent="0.25">
      <c r="H9" t="s">
        <v>142</v>
      </c>
    </row>
    <row r="10" spans="2:8" x14ac:dyDescent="0.25">
      <c r="B10" s="20" t="s">
        <v>136</v>
      </c>
      <c r="C10" s="18">
        <f>C12/C11</f>
        <v>4.2102090032154343E-2</v>
      </c>
    </row>
    <row r="11" spans="2:8" x14ac:dyDescent="0.25">
      <c r="B11" s="21" t="s">
        <v>138</v>
      </c>
      <c r="C11" s="21">
        <f>9882+70</f>
        <v>9952</v>
      </c>
      <c r="H11" t="s">
        <v>143</v>
      </c>
    </row>
    <row r="12" spans="2:8" x14ac:dyDescent="0.25">
      <c r="B12" s="21" t="s">
        <v>139</v>
      </c>
      <c r="C12" s="21">
        <v>419</v>
      </c>
    </row>
    <row r="13" spans="2:8" x14ac:dyDescent="0.25">
      <c r="B13" t="s">
        <v>150</v>
      </c>
      <c r="C13" s="17">
        <v>0.15</v>
      </c>
      <c r="H13" t="s">
        <v>149</v>
      </c>
    </row>
    <row r="14" spans="2:8" x14ac:dyDescent="0.25">
      <c r="B14" s="21"/>
      <c r="C14" s="21"/>
      <c r="H14" t="s">
        <v>148</v>
      </c>
    </row>
    <row r="15" spans="2:8" x14ac:dyDescent="0.25">
      <c r="B15" s="21"/>
      <c r="C15" s="21"/>
      <c r="H15" t="s">
        <v>144</v>
      </c>
    </row>
    <row r="16" spans="2:8" x14ac:dyDescent="0.25">
      <c r="B16" s="21"/>
      <c r="C16" s="21"/>
      <c r="H16" t="s">
        <v>145</v>
      </c>
    </row>
    <row r="17" spans="2:8" x14ac:dyDescent="0.25">
      <c r="B17" s="21"/>
      <c r="C17" s="21"/>
      <c r="H17" t="s">
        <v>146</v>
      </c>
    </row>
    <row r="18" spans="2:8" x14ac:dyDescent="0.25">
      <c r="B18" s="21"/>
      <c r="C18" s="21"/>
      <c r="H18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D656-3107-4021-BD5D-1B130D8B17D1}">
  <dimension ref="B2:L7"/>
  <sheetViews>
    <sheetView zoomScale="115" zoomScaleNormal="115" workbookViewId="0">
      <selection activeCell="B5" sqref="B5"/>
    </sheetView>
  </sheetViews>
  <sheetFormatPr defaultRowHeight="15.75" x14ac:dyDescent="0.25"/>
  <cols>
    <col min="2" max="2" width="22" customWidth="1"/>
  </cols>
  <sheetData>
    <row r="2" spans="2:12" x14ac:dyDescent="0.25"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</row>
    <row r="3" spans="2:12" s="16" customFormat="1" x14ac:dyDescent="0.25">
      <c r="B3" s="16" t="s">
        <v>153</v>
      </c>
      <c r="F3" s="16">
        <v>194</v>
      </c>
      <c r="G3" s="16">
        <v>704</v>
      </c>
      <c r="H3" s="16">
        <v>335</v>
      </c>
      <c r="I3" s="16">
        <v>941</v>
      </c>
      <c r="L3" s="16" t="s">
        <v>151</v>
      </c>
    </row>
    <row r="4" spans="2:12" x14ac:dyDescent="0.25">
      <c r="B4" s="19" t="s">
        <v>154</v>
      </c>
      <c r="F4">
        <v>553</v>
      </c>
      <c r="G4">
        <v>1163</v>
      </c>
      <c r="H4">
        <v>937</v>
      </c>
      <c r="I4">
        <v>1602</v>
      </c>
      <c r="L4" s="19" t="s">
        <v>152</v>
      </c>
    </row>
    <row r="5" spans="2:12" x14ac:dyDescent="0.25">
      <c r="B5" t="s">
        <v>155</v>
      </c>
      <c r="F5">
        <v>122</v>
      </c>
      <c r="G5">
        <v>152</v>
      </c>
      <c r="H5">
        <v>159</v>
      </c>
      <c r="I5">
        <v>144</v>
      </c>
      <c r="J5" s="16"/>
    </row>
    <row r="6" spans="2:12" x14ac:dyDescent="0.25">
      <c r="B6" t="s">
        <v>157</v>
      </c>
      <c r="F6">
        <v>85</v>
      </c>
      <c r="G6">
        <v>100</v>
      </c>
      <c r="H6">
        <v>175</v>
      </c>
      <c r="I6">
        <v>136</v>
      </c>
    </row>
    <row r="7" spans="2:12" x14ac:dyDescent="0.25">
      <c r="B7" t="s">
        <v>156</v>
      </c>
      <c r="F7">
        <v>152</v>
      </c>
      <c r="G7">
        <v>207</v>
      </c>
      <c r="H7">
        <v>268</v>
      </c>
      <c r="I7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MM</vt:lpstr>
      <vt:lpstr>WACC</vt:lpstr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Parkhomenko</dc:creator>
  <cp:lastModifiedBy>Dmytro Parkhomenko</cp:lastModifiedBy>
  <dcterms:created xsi:type="dcterms:W3CDTF">2025-06-14T01:42:15Z</dcterms:created>
  <dcterms:modified xsi:type="dcterms:W3CDTF">2025-10-27T18:01:08Z</dcterms:modified>
</cp:coreProperties>
</file>