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/Documents/3rdProject/Github/"/>
    </mc:Choice>
  </mc:AlternateContent>
  <xr:revisionPtr revIDLastSave="0" documentId="13_ncr:1_{D80C4216-1808-E746-929A-50B281FAA4D1}" xr6:coauthVersionLast="47" xr6:coauthVersionMax="47" xr10:uidLastSave="{00000000-0000-0000-0000-000000000000}"/>
  <bookViews>
    <workbookView xWindow="0" yWindow="460" windowWidth="28800" windowHeight="15860" activeTab="2" xr2:uid="{B20EDE81-F01A-D940-9DFF-C945B29B0EE3}"/>
  </bookViews>
  <sheets>
    <sheet name="R" sheetId="5" r:id="rId1"/>
    <sheet name="C" sheetId="6" r:id="rId2"/>
    <sheet name="R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" i="1" l="1"/>
  <c r="AT4" i="1"/>
  <c r="D4" i="5" l="1"/>
  <c r="BE29" i="5"/>
  <c r="AN10" i="6"/>
  <c r="AN10" i="5"/>
  <c r="AN9" i="6"/>
  <c r="AN13" i="6"/>
  <c r="AP14" i="1"/>
  <c r="AO14" i="1"/>
  <c r="AK14" i="5"/>
  <c r="AF14" i="5"/>
  <c r="D35" i="1"/>
  <c r="U13" i="6"/>
  <c r="U12" i="6"/>
  <c r="U11" i="6"/>
  <c r="U10" i="6"/>
  <c r="U9" i="6"/>
  <c r="U8" i="6"/>
  <c r="U7" i="6"/>
  <c r="U6" i="6"/>
  <c r="U5" i="6"/>
  <c r="U4" i="6"/>
  <c r="Y13" i="6"/>
  <c r="Y12" i="6"/>
  <c r="Y11" i="6"/>
  <c r="Y10" i="6"/>
  <c r="Y9" i="6"/>
  <c r="Y8" i="6"/>
  <c r="Y7" i="6"/>
  <c r="Y6" i="6"/>
  <c r="Y5" i="6"/>
  <c r="Y4" i="6"/>
  <c r="U28" i="5"/>
  <c r="U27" i="5"/>
  <c r="U26" i="5"/>
  <c r="U25" i="5"/>
  <c r="U24" i="5"/>
  <c r="U23" i="5"/>
  <c r="U22" i="5"/>
  <c r="U21" i="5"/>
  <c r="U20" i="5"/>
  <c r="U19" i="5"/>
  <c r="Q19" i="5"/>
  <c r="Q5" i="5"/>
  <c r="Q28" i="5"/>
  <c r="Q27" i="5"/>
  <c r="Q26" i="5"/>
  <c r="Q25" i="5"/>
  <c r="Q24" i="5"/>
  <c r="Q23" i="5"/>
  <c r="Q22" i="5"/>
  <c r="Q21" i="5"/>
  <c r="Q20" i="5"/>
  <c r="Q6" i="5"/>
  <c r="Q7" i="5"/>
  <c r="Q8" i="5"/>
  <c r="Q9" i="5"/>
  <c r="Q10" i="5"/>
  <c r="Q11" i="5"/>
  <c r="Q12" i="5"/>
  <c r="Q13" i="5"/>
  <c r="Q4" i="5"/>
  <c r="BD4" i="6"/>
  <c r="BD5" i="6"/>
  <c r="BD6" i="6"/>
  <c r="BD7" i="6"/>
  <c r="Y28" i="5"/>
  <c r="Y27" i="5"/>
  <c r="Y26" i="5"/>
  <c r="Y25" i="5"/>
  <c r="Y24" i="5"/>
  <c r="Y23" i="5"/>
  <c r="Y22" i="5"/>
  <c r="Y21" i="5"/>
  <c r="Y20" i="5"/>
  <c r="Y19" i="5"/>
  <c r="Y4" i="5"/>
  <c r="Y13" i="5"/>
  <c r="Y12" i="5"/>
  <c r="Y11" i="5"/>
  <c r="Y10" i="5"/>
  <c r="Y9" i="5"/>
  <c r="Y8" i="5"/>
  <c r="Y7" i="5"/>
  <c r="Y6" i="5"/>
  <c r="Y5" i="5"/>
  <c r="U13" i="5"/>
  <c r="U12" i="5"/>
  <c r="U11" i="5"/>
  <c r="U10" i="5"/>
  <c r="U9" i="5"/>
  <c r="U8" i="5"/>
  <c r="U7" i="5"/>
  <c r="U6" i="5"/>
  <c r="U5" i="5"/>
  <c r="U4" i="5"/>
  <c r="Y28" i="6"/>
  <c r="Y27" i="6"/>
  <c r="Y26" i="6"/>
  <c r="Y25" i="6"/>
  <c r="Y24" i="6"/>
  <c r="Y23" i="6"/>
  <c r="Y22" i="6"/>
  <c r="Y21" i="6"/>
  <c r="Y20" i="6"/>
  <c r="Y19" i="6"/>
  <c r="U28" i="6"/>
  <c r="U27" i="6"/>
  <c r="U26" i="6"/>
  <c r="U25" i="6"/>
  <c r="U24" i="6"/>
  <c r="U23" i="6"/>
  <c r="U22" i="6"/>
  <c r="U21" i="6"/>
  <c r="U20" i="6"/>
  <c r="U19" i="6"/>
  <c r="Q28" i="6"/>
  <c r="Q27" i="6"/>
  <c r="Q26" i="6"/>
  <c r="Q25" i="6"/>
  <c r="Q24" i="6"/>
  <c r="Q23" i="6"/>
  <c r="Q22" i="6"/>
  <c r="Q21" i="6"/>
  <c r="Q20" i="6"/>
  <c r="Q19" i="6"/>
  <c r="Q5" i="6"/>
  <c r="Q6" i="6"/>
  <c r="Q7" i="6"/>
  <c r="Q8" i="6"/>
  <c r="Q9" i="6"/>
  <c r="Q10" i="6"/>
  <c r="Q11" i="6"/>
  <c r="Q12" i="6"/>
  <c r="Q13" i="6"/>
  <c r="Q4" i="6"/>
  <c r="L28" i="6"/>
  <c r="L27" i="6"/>
  <c r="L26" i="6"/>
  <c r="L25" i="6"/>
  <c r="L24" i="6"/>
  <c r="L23" i="6"/>
  <c r="L22" i="6"/>
  <c r="L21" i="6"/>
  <c r="L20" i="6"/>
  <c r="L19" i="6"/>
  <c r="L5" i="6"/>
  <c r="L6" i="6"/>
  <c r="L7" i="6"/>
  <c r="L8" i="6"/>
  <c r="L9" i="6"/>
  <c r="L10" i="6"/>
  <c r="L11" i="6"/>
  <c r="L12" i="6"/>
  <c r="L13" i="6"/>
  <c r="L4" i="6"/>
  <c r="H13" i="6"/>
  <c r="H12" i="6"/>
  <c r="H11" i="6"/>
  <c r="H10" i="6"/>
  <c r="H9" i="6"/>
  <c r="H8" i="6"/>
  <c r="H7" i="6"/>
  <c r="H6" i="6"/>
  <c r="H5" i="6"/>
  <c r="H4" i="6"/>
  <c r="H28" i="5"/>
  <c r="H27" i="5"/>
  <c r="H26" i="5"/>
  <c r="H25" i="5"/>
  <c r="H24" i="5"/>
  <c r="H23" i="5"/>
  <c r="H22" i="5"/>
  <c r="H21" i="5"/>
  <c r="H20" i="5"/>
  <c r="H19" i="5"/>
  <c r="L28" i="5"/>
  <c r="L27" i="5"/>
  <c r="L26" i="5"/>
  <c r="L25" i="5"/>
  <c r="L24" i="5"/>
  <c r="L23" i="5"/>
  <c r="L22" i="5"/>
  <c r="L21" i="5"/>
  <c r="L20" i="5"/>
  <c r="L19" i="5"/>
  <c r="L5" i="5"/>
  <c r="L6" i="5"/>
  <c r="L7" i="5"/>
  <c r="L8" i="5"/>
  <c r="L9" i="5"/>
  <c r="L10" i="5"/>
  <c r="L11" i="5"/>
  <c r="L12" i="5"/>
  <c r="L13" i="5"/>
  <c r="H5" i="5"/>
  <c r="H6" i="5"/>
  <c r="H7" i="5"/>
  <c r="H8" i="5"/>
  <c r="H9" i="5"/>
  <c r="H10" i="5"/>
  <c r="H11" i="5"/>
  <c r="H12" i="5"/>
  <c r="H13" i="5"/>
  <c r="D28" i="5"/>
  <c r="D27" i="5"/>
  <c r="D26" i="5"/>
  <c r="D25" i="5"/>
  <c r="D24" i="5"/>
  <c r="D23" i="5"/>
  <c r="D22" i="5"/>
  <c r="D21" i="5"/>
  <c r="D20" i="5"/>
  <c r="D19" i="5"/>
  <c r="D5" i="5"/>
  <c r="D6" i="5"/>
  <c r="D7" i="5"/>
  <c r="D8" i="5"/>
  <c r="D9" i="5"/>
  <c r="D10" i="5"/>
  <c r="D11" i="5"/>
  <c r="D12" i="5"/>
  <c r="D13" i="5"/>
  <c r="H20" i="6"/>
  <c r="H21" i="6"/>
  <c r="H22" i="6"/>
  <c r="H23" i="6"/>
  <c r="H24" i="6"/>
  <c r="H25" i="6"/>
  <c r="H26" i="6"/>
  <c r="H27" i="6"/>
  <c r="H28" i="6"/>
  <c r="H19" i="6"/>
  <c r="D20" i="6"/>
  <c r="D21" i="6"/>
  <c r="D22" i="6"/>
  <c r="D23" i="6"/>
  <c r="D24" i="6"/>
  <c r="D25" i="6"/>
  <c r="D26" i="6"/>
  <c r="D27" i="6"/>
  <c r="D28" i="6"/>
  <c r="D19" i="6"/>
  <c r="D5" i="6"/>
  <c r="D6" i="6"/>
  <c r="D7" i="6"/>
  <c r="D8" i="6"/>
  <c r="D9" i="6"/>
  <c r="D10" i="6"/>
  <c r="D11" i="6"/>
  <c r="D12" i="6"/>
  <c r="D13" i="6"/>
  <c r="D4" i="6"/>
  <c r="BD28" i="5"/>
  <c r="BD27" i="5"/>
  <c r="BD26" i="5"/>
  <c r="BD25" i="5"/>
  <c r="BD24" i="5"/>
  <c r="BD23" i="5"/>
  <c r="BD22" i="5"/>
  <c r="BD21" i="5"/>
  <c r="BD20" i="5"/>
  <c r="BD19" i="5"/>
  <c r="AY28" i="5"/>
  <c r="AY27" i="5"/>
  <c r="AY26" i="5"/>
  <c r="AY25" i="5"/>
  <c r="AY24" i="5"/>
  <c r="AY23" i="5"/>
  <c r="AY22" i="5"/>
  <c r="AY21" i="5"/>
  <c r="AY20" i="5"/>
  <c r="AY19" i="5"/>
  <c r="BD5" i="5"/>
  <c r="BD6" i="5"/>
  <c r="BD7" i="5"/>
  <c r="BD8" i="5"/>
  <c r="BD9" i="5"/>
  <c r="BD10" i="5"/>
  <c r="BD11" i="5"/>
  <c r="BD12" i="5"/>
  <c r="BD13" i="5"/>
  <c r="BD4" i="5"/>
  <c r="L4" i="5"/>
  <c r="H4" i="5"/>
  <c r="AY5" i="5"/>
  <c r="AY6" i="5"/>
  <c r="AY7" i="5"/>
  <c r="AY8" i="5"/>
  <c r="AY9" i="5"/>
  <c r="AY10" i="5"/>
  <c r="AY11" i="5"/>
  <c r="AY12" i="5"/>
  <c r="AY13" i="5"/>
  <c r="AY4" i="5"/>
  <c r="AT5" i="5"/>
  <c r="AT6" i="5"/>
  <c r="AT7" i="5"/>
  <c r="AT8" i="5"/>
  <c r="AT9" i="5"/>
  <c r="AT10" i="5"/>
  <c r="AT11" i="5"/>
  <c r="AT12" i="5"/>
  <c r="AT13" i="5"/>
  <c r="AT4" i="5"/>
  <c r="BD20" i="6"/>
  <c r="BD21" i="6"/>
  <c r="BD22" i="6"/>
  <c r="BD23" i="6"/>
  <c r="BD24" i="6"/>
  <c r="BD25" i="6"/>
  <c r="BD26" i="6"/>
  <c r="BD27" i="6"/>
  <c r="BD28" i="6"/>
  <c r="BD19" i="6"/>
  <c r="AY20" i="6"/>
  <c r="AY21" i="6"/>
  <c r="AY22" i="6"/>
  <c r="AY23" i="6"/>
  <c r="AY24" i="6"/>
  <c r="AY25" i="6"/>
  <c r="AY26" i="6"/>
  <c r="AY27" i="6"/>
  <c r="AY28" i="6"/>
  <c r="AY19" i="6"/>
  <c r="AT5" i="6"/>
  <c r="AT6" i="6"/>
  <c r="AT7" i="6"/>
  <c r="AT8" i="6"/>
  <c r="AT9" i="6"/>
  <c r="AT10" i="6"/>
  <c r="AT11" i="6"/>
  <c r="AT12" i="6"/>
  <c r="AT13" i="6"/>
  <c r="AT4" i="6"/>
  <c r="AY5" i="6"/>
  <c r="AY6" i="6"/>
  <c r="AY7" i="6"/>
  <c r="AY8" i="6"/>
  <c r="AY9" i="6"/>
  <c r="AY10" i="6"/>
  <c r="AY11" i="6"/>
  <c r="AY12" i="6"/>
  <c r="AY13" i="6"/>
  <c r="AY4" i="6"/>
  <c r="BD9" i="6"/>
  <c r="BD10" i="6"/>
  <c r="BD11" i="6"/>
  <c r="BD12" i="6"/>
  <c r="BD13" i="6"/>
  <c r="BD8" i="6"/>
  <c r="AV20" i="5"/>
  <c r="AV21" i="5"/>
  <c r="AV22" i="5"/>
  <c r="AV23" i="5"/>
  <c r="AV24" i="5"/>
  <c r="AV25" i="5"/>
  <c r="AV26" i="5"/>
  <c r="AV27" i="5"/>
  <c r="AV28" i="5"/>
  <c r="AV19" i="5"/>
  <c r="AU20" i="5"/>
  <c r="AU21" i="5"/>
  <c r="AU22" i="5"/>
  <c r="AU23" i="5"/>
  <c r="AU24" i="5"/>
  <c r="AU25" i="5"/>
  <c r="AU26" i="5"/>
  <c r="AU27" i="5"/>
  <c r="AU19" i="5"/>
  <c r="AT20" i="5"/>
  <c r="AT21" i="5"/>
  <c r="AT22" i="5"/>
  <c r="AT23" i="5"/>
  <c r="AT24" i="5"/>
  <c r="AT25" i="5"/>
  <c r="AT26" i="5"/>
  <c r="AT27" i="5"/>
  <c r="AT28" i="5"/>
  <c r="AT19" i="5"/>
  <c r="AU20" i="6"/>
  <c r="AU21" i="6"/>
  <c r="AU22" i="6"/>
  <c r="AU23" i="6"/>
  <c r="AU24" i="6"/>
  <c r="AU25" i="6"/>
  <c r="AU26" i="6"/>
  <c r="AU27" i="6"/>
  <c r="AU28" i="6"/>
  <c r="AU19" i="6"/>
  <c r="AV20" i="6"/>
  <c r="AV21" i="6"/>
  <c r="AV22" i="6"/>
  <c r="AV23" i="6"/>
  <c r="AV24" i="6"/>
  <c r="AV25" i="6"/>
  <c r="AV26" i="6"/>
  <c r="AV27" i="6"/>
  <c r="AV28" i="6"/>
  <c r="AV19" i="6"/>
  <c r="AT20" i="6"/>
  <c r="AS20" i="6"/>
  <c r="AS21" i="6"/>
  <c r="AT21" i="6" s="1"/>
  <c r="AS22" i="6"/>
  <c r="AT22" i="6" s="1"/>
  <c r="AS23" i="6"/>
  <c r="AT23" i="6" s="1"/>
  <c r="AS24" i="6"/>
  <c r="AT24" i="6" s="1"/>
  <c r="AS25" i="6"/>
  <c r="AT25" i="6" s="1"/>
  <c r="AS26" i="6"/>
  <c r="AT26" i="6" s="1"/>
  <c r="AS27" i="6"/>
  <c r="AT27" i="6" s="1"/>
  <c r="AS28" i="6"/>
  <c r="AT28" i="6" s="1"/>
  <c r="AS19" i="6"/>
  <c r="AT19" i="6" s="1"/>
  <c r="AJ29" i="6"/>
  <c r="AJ4" i="5"/>
  <c r="AJ14" i="5" s="1"/>
  <c r="AI28" i="5"/>
  <c r="AI27" i="5"/>
  <c r="AI26" i="5"/>
  <c r="AI25" i="5"/>
  <c r="AI24" i="5"/>
  <c r="AI23" i="5"/>
  <c r="AI22" i="5"/>
  <c r="AI21" i="5"/>
  <c r="AI20" i="5"/>
  <c r="AI19" i="5"/>
  <c r="AI5" i="5"/>
  <c r="AI6" i="5"/>
  <c r="AI7" i="5"/>
  <c r="AI8" i="5"/>
  <c r="AI9" i="5"/>
  <c r="AI10" i="5"/>
  <c r="AI11" i="5"/>
  <c r="AI12" i="5"/>
  <c r="AI13" i="5"/>
  <c r="AI4" i="5"/>
  <c r="AJ5" i="6"/>
  <c r="AI28" i="6"/>
  <c r="AI27" i="6"/>
  <c r="AI26" i="6"/>
  <c r="AI25" i="6"/>
  <c r="AI24" i="6"/>
  <c r="AI23" i="6"/>
  <c r="AI22" i="6"/>
  <c r="AI21" i="6"/>
  <c r="AI20" i="6"/>
  <c r="AI19" i="6"/>
  <c r="AI5" i="6"/>
  <c r="AI6" i="6"/>
  <c r="AI7" i="6"/>
  <c r="AI8" i="6"/>
  <c r="AI9" i="6"/>
  <c r="AI10" i="6"/>
  <c r="AI11" i="6"/>
  <c r="AI12" i="6"/>
  <c r="AI13" i="6"/>
  <c r="AI4" i="6"/>
  <c r="BE19" i="1"/>
  <c r="AZ19" i="1"/>
  <c r="AO28" i="5"/>
  <c r="AO27" i="5"/>
  <c r="AO26" i="5"/>
  <c r="AO25" i="5"/>
  <c r="AO24" i="5"/>
  <c r="AO23" i="5"/>
  <c r="AO22" i="5"/>
  <c r="AO21" i="5"/>
  <c r="AO20" i="5"/>
  <c r="AO19" i="5"/>
  <c r="AE28" i="5"/>
  <c r="AU28" i="5" s="1"/>
  <c r="AD28" i="5"/>
  <c r="AD27" i="5"/>
  <c r="AD26" i="5"/>
  <c r="AD25" i="5"/>
  <c r="AD24" i="5"/>
  <c r="AD23" i="5"/>
  <c r="AD22" i="5"/>
  <c r="AD21" i="5"/>
  <c r="AD20" i="5"/>
  <c r="AD19" i="5"/>
  <c r="AN28" i="5"/>
  <c r="AN27" i="5"/>
  <c r="AN26" i="5"/>
  <c r="AN25" i="5"/>
  <c r="AN24" i="5"/>
  <c r="AN23" i="5"/>
  <c r="AN22" i="5"/>
  <c r="AN21" i="5"/>
  <c r="AN20" i="5"/>
  <c r="AN19" i="5"/>
  <c r="AN5" i="5"/>
  <c r="AN6" i="5"/>
  <c r="AN7" i="5"/>
  <c r="AN8" i="5"/>
  <c r="AN9" i="5"/>
  <c r="AN11" i="5"/>
  <c r="AN12" i="5"/>
  <c r="AN13" i="5"/>
  <c r="AN4" i="5"/>
  <c r="AD5" i="5"/>
  <c r="AD6" i="5"/>
  <c r="AD7" i="5"/>
  <c r="AD8" i="5"/>
  <c r="AD9" i="5"/>
  <c r="AD10" i="5"/>
  <c r="AD11" i="5"/>
  <c r="AD12" i="5"/>
  <c r="AD13" i="5"/>
  <c r="AD4" i="5"/>
  <c r="AO28" i="6"/>
  <c r="AO27" i="6"/>
  <c r="AO26" i="6"/>
  <c r="AO25" i="6"/>
  <c r="AO24" i="6"/>
  <c r="AO23" i="6"/>
  <c r="AO22" i="6"/>
  <c r="AO21" i="6"/>
  <c r="AO20" i="6"/>
  <c r="AN20" i="6"/>
  <c r="AN21" i="6"/>
  <c r="AN22" i="6"/>
  <c r="AN23" i="6"/>
  <c r="AN24" i="6"/>
  <c r="AN25" i="6"/>
  <c r="AN26" i="6"/>
  <c r="AN27" i="6"/>
  <c r="AN28" i="6"/>
  <c r="AO19" i="6"/>
  <c r="AN19" i="6"/>
  <c r="AD20" i="6"/>
  <c r="AD21" i="6"/>
  <c r="AD22" i="6"/>
  <c r="AD23" i="6"/>
  <c r="AD24" i="6"/>
  <c r="AD25" i="6"/>
  <c r="AD26" i="6"/>
  <c r="AD27" i="6"/>
  <c r="AD28" i="6"/>
  <c r="AD19" i="6"/>
  <c r="AN5" i="6"/>
  <c r="AN6" i="6"/>
  <c r="AN7" i="6"/>
  <c r="AN8" i="6"/>
  <c r="AN11" i="6"/>
  <c r="AN12" i="6"/>
  <c r="AN4" i="6"/>
  <c r="AD5" i="6"/>
  <c r="AD6" i="6"/>
  <c r="AD7" i="6"/>
  <c r="AD8" i="6"/>
  <c r="AD9" i="6"/>
  <c r="AD10" i="6"/>
  <c r="AD11" i="6"/>
  <c r="AD12" i="6"/>
  <c r="AD13" i="6"/>
  <c r="AD4" i="6"/>
  <c r="BF29" i="6"/>
  <c r="BE29" i="6"/>
  <c r="BA29" i="6"/>
  <c r="AZ29" i="6"/>
  <c r="AP29" i="6"/>
  <c r="AK29" i="6"/>
  <c r="AF29" i="6"/>
  <c r="AE29" i="6"/>
  <c r="Z29" i="6"/>
  <c r="V29" i="6"/>
  <c r="R29" i="6"/>
  <c r="M29" i="6"/>
  <c r="I29" i="6"/>
  <c r="E29" i="6"/>
  <c r="BF14" i="6"/>
  <c r="BE14" i="6"/>
  <c r="BA14" i="6"/>
  <c r="AZ14" i="6"/>
  <c r="AV14" i="6"/>
  <c r="AU14" i="6"/>
  <c r="AP14" i="6"/>
  <c r="AO14" i="6"/>
  <c r="AK14" i="6"/>
  <c r="AJ14" i="6"/>
  <c r="AF14" i="6"/>
  <c r="AE14" i="6"/>
  <c r="Z14" i="6"/>
  <c r="V14" i="6"/>
  <c r="R14" i="6"/>
  <c r="M14" i="6"/>
  <c r="I14" i="6"/>
  <c r="E14" i="6"/>
  <c r="BE14" i="5"/>
  <c r="R14" i="5"/>
  <c r="V29" i="5"/>
  <c r="BF29" i="5"/>
  <c r="BA29" i="5"/>
  <c r="AZ29" i="5"/>
  <c r="AP29" i="5"/>
  <c r="AK29" i="5"/>
  <c r="AJ29" i="5"/>
  <c r="AF29" i="5"/>
  <c r="Z29" i="5"/>
  <c r="R29" i="5"/>
  <c r="M29" i="5"/>
  <c r="I29" i="5"/>
  <c r="E29" i="5"/>
  <c r="BF14" i="5"/>
  <c r="BA14" i="5"/>
  <c r="AV14" i="5"/>
  <c r="AU14" i="5"/>
  <c r="AP14" i="5"/>
  <c r="AE14" i="5"/>
  <c r="Z14" i="5"/>
  <c r="V14" i="5"/>
  <c r="M14" i="5"/>
  <c r="I14" i="5"/>
  <c r="E14" i="5"/>
  <c r="AO14" i="5"/>
  <c r="AZ14" i="5"/>
  <c r="AV20" i="1"/>
  <c r="AV21" i="1"/>
  <c r="AV22" i="1"/>
  <c r="AV23" i="1"/>
  <c r="AV24" i="1"/>
  <c r="AV25" i="1"/>
  <c r="AV26" i="1"/>
  <c r="AV27" i="1"/>
  <c r="AV28" i="1"/>
  <c r="AV19" i="1"/>
  <c r="AU21" i="1"/>
  <c r="AU22" i="1"/>
  <c r="AU23" i="1"/>
  <c r="AU24" i="1"/>
  <c r="AU25" i="1"/>
  <c r="AU26" i="1"/>
  <c r="AU27" i="1"/>
  <c r="AU28" i="1"/>
  <c r="AU19" i="1"/>
  <c r="AS20" i="1"/>
  <c r="AS21" i="1"/>
  <c r="AS22" i="1"/>
  <c r="AS23" i="1"/>
  <c r="AS24" i="1"/>
  <c r="AS25" i="1"/>
  <c r="AS26" i="1"/>
  <c r="AS27" i="1"/>
  <c r="AS28" i="1"/>
  <c r="AS19" i="1"/>
  <c r="BF29" i="1"/>
  <c r="BF14" i="1"/>
  <c r="BA29" i="1"/>
  <c r="BA14" i="1"/>
  <c r="AV14" i="1"/>
  <c r="AD29" i="6" l="1"/>
  <c r="AO29" i="6"/>
  <c r="U14" i="6"/>
  <c r="AU29" i="6"/>
  <c r="Y14" i="6"/>
  <c r="Y29" i="6"/>
  <c r="L29" i="6"/>
  <c r="U29" i="6"/>
  <c r="L14" i="6"/>
  <c r="H14" i="6"/>
  <c r="AI14" i="5"/>
  <c r="U14" i="5"/>
  <c r="Y14" i="5"/>
  <c r="AE29" i="5"/>
  <c r="AO29" i="5"/>
  <c r="AV29" i="5"/>
  <c r="H14" i="5"/>
  <c r="L14" i="5"/>
  <c r="Y29" i="5"/>
  <c r="AV29" i="1"/>
  <c r="U29" i="5"/>
  <c r="Q29" i="5"/>
  <c r="Q14" i="5"/>
  <c r="D14" i="5"/>
  <c r="Q29" i="6"/>
  <c r="Q14" i="6"/>
  <c r="H29" i="5"/>
  <c r="L29" i="5"/>
  <c r="D29" i="5"/>
  <c r="H29" i="6"/>
  <c r="D29" i="6"/>
  <c r="D14" i="6"/>
  <c r="AY29" i="5"/>
  <c r="BD29" i="5"/>
  <c r="BD14" i="5"/>
  <c r="AY14" i="5"/>
  <c r="AT14" i="5"/>
  <c r="BD29" i="6"/>
  <c r="AY29" i="6"/>
  <c r="AT14" i="6"/>
  <c r="AY14" i="6"/>
  <c r="BD14" i="6"/>
  <c r="AV29" i="6"/>
  <c r="AT29" i="6"/>
  <c r="AI29" i="5"/>
  <c r="AI29" i="6"/>
  <c r="AI14" i="6"/>
  <c r="AN29" i="5"/>
  <c r="AD29" i="5"/>
  <c r="AN14" i="5"/>
  <c r="AD14" i="5"/>
  <c r="AN29" i="6"/>
  <c r="AN14" i="6"/>
  <c r="AD14" i="6"/>
  <c r="AU29" i="5"/>
  <c r="AT29" i="5"/>
  <c r="AO23" i="1"/>
  <c r="V28" i="1"/>
  <c r="V23" i="1"/>
  <c r="V27" i="1"/>
  <c r="V22" i="1"/>
  <c r="V26" i="1"/>
  <c r="V21" i="1"/>
  <c r="R13" i="1"/>
  <c r="R14" i="1" s="1"/>
  <c r="V25" i="1"/>
  <c r="V20" i="1"/>
  <c r="V19" i="1"/>
  <c r="U13" i="1"/>
  <c r="AP29" i="1"/>
  <c r="AK29" i="1"/>
  <c r="AF29" i="1"/>
  <c r="AO28" i="1"/>
  <c r="AN28" i="1"/>
  <c r="AO27" i="1"/>
  <c r="AN27" i="1"/>
  <c r="AO26" i="1"/>
  <c r="AN26" i="1"/>
  <c r="AO25" i="1"/>
  <c r="AN25" i="1"/>
  <c r="AO24" i="1"/>
  <c r="AN24" i="1"/>
  <c r="AN23" i="1"/>
  <c r="AO22" i="1"/>
  <c r="AN22" i="1"/>
  <c r="AO21" i="1"/>
  <c r="AN21" i="1"/>
  <c r="AO20" i="1"/>
  <c r="AN20" i="1"/>
  <c r="AO19" i="1"/>
  <c r="AN19" i="1"/>
  <c r="AI28" i="1"/>
  <c r="AI27" i="1"/>
  <c r="AI26" i="1"/>
  <c r="AI25" i="1"/>
  <c r="AI24" i="1"/>
  <c r="AI23" i="1"/>
  <c r="AI22" i="1"/>
  <c r="AI21" i="1"/>
  <c r="AI20" i="1"/>
  <c r="AI19" i="1"/>
  <c r="AD28" i="1"/>
  <c r="AD27" i="1"/>
  <c r="AD26" i="1"/>
  <c r="AD25" i="1"/>
  <c r="AD24" i="1"/>
  <c r="AD23" i="1"/>
  <c r="AD22" i="1"/>
  <c r="AD21" i="1"/>
  <c r="AE20" i="1"/>
  <c r="AD20" i="1"/>
  <c r="AD19" i="1"/>
  <c r="AN13" i="1"/>
  <c r="AN12" i="1"/>
  <c r="AN11" i="1"/>
  <c r="AN10" i="1"/>
  <c r="AN9" i="1"/>
  <c r="AN8" i="1"/>
  <c r="AN7" i="1"/>
  <c r="AN6" i="1"/>
  <c r="AN5" i="1"/>
  <c r="AN4" i="1"/>
  <c r="AK14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AJ5" i="1"/>
  <c r="AI5" i="1"/>
  <c r="AJ4" i="1"/>
  <c r="AI4" i="1"/>
  <c r="AF14" i="1"/>
  <c r="AD13" i="1"/>
  <c r="AD12" i="1"/>
  <c r="AD11" i="1"/>
  <c r="AD10" i="1"/>
  <c r="AD9" i="1"/>
  <c r="AD8" i="1"/>
  <c r="AD7" i="1"/>
  <c r="AD6" i="1"/>
  <c r="AD5" i="1"/>
  <c r="AD4" i="1"/>
  <c r="BE29" i="1"/>
  <c r="AZ29" i="1"/>
  <c r="BD28" i="1"/>
  <c r="AY28" i="1"/>
  <c r="AT28" i="1"/>
  <c r="BD27" i="1"/>
  <c r="AY27" i="1"/>
  <c r="AT27" i="1"/>
  <c r="BD26" i="1"/>
  <c r="AY26" i="1"/>
  <c r="AT26" i="1"/>
  <c r="BD25" i="1"/>
  <c r="AY25" i="1"/>
  <c r="AT25" i="1"/>
  <c r="BD24" i="1"/>
  <c r="AY24" i="1"/>
  <c r="AT24" i="1"/>
  <c r="BD23" i="1"/>
  <c r="AY23" i="1"/>
  <c r="AT23" i="1"/>
  <c r="BD22" i="1"/>
  <c r="AY22" i="1"/>
  <c r="AT22" i="1"/>
  <c r="BD21" i="1"/>
  <c r="AY21" i="1"/>
  <c r="AT21" i="1"/>
  <c r="BD20" i="1"/>
  <c r="AY20" i="1"/>
  <c r="AT20" i="1"/>
  <c r="BD19" i="1"/>
  <c r="AY19" i="1"/>
  <c r="AT19" i="1"/>
  <c r="BE14" i="1"/>
  <c r="AZ14" i="1"/>
  <c r="AU14" i="1"/>
  <c r="BD13" i="1"/>
  <c r="AY13" i="1"/>
  <c r="AT13" i="1"/>
  <c r="BD12" i="1"/>
  <c r="AY12" i="1"/>
  <c r="AT12" i="1"/>
  <c r="BD11" i="1"/>
  <c r="AY11" i="1"/>
  <c r="AT11" i="1"/>
  <c r="BD10" i="1"/>
  <c r="AY10" i="1"/>
  <c r="AT10" i="1"/>
  <c r="BD9" i="1"/>
  <c r="AY9" i="1"/>
  <c r="AT9" i="1"/>
  <c r="BD8" i="1"/>
  <c r="AY8" i="1"/>
  <c r="AT8" i="1"/>
  <c r="BD7" i="1"/>
  <c r="AY7" i="1"/>
  <c r="AT7" i="1"/>
  <c r="BD6" i="1"/>
  <c r="AY6" i="1"/>
  <c r="AT6" i="1"/>
  <c r="BD5" i="1"/>
  <c r="AY5" i="1"/>
  <c r="AT5" i="1"/>
  <c r="AY4" i="1"/>
  <c r="AJ29" i="1"/>
  <c r="AE14" i="1"/>
  <c r="Z29" i="1"/>
  <c r="Y28" i="1"/>
  <c r="U28" i="1"/>
  <c r="Q28" i="1"/>
  <c r="Y27" i="1"/>
  <c r="U27" i="1"/>
  <c r="Q27" i="1"/>
  <c r="Y26" i="1"/>
  <c r="U26" i="1"/>
  <c r="Q26" i="1"/>
  <c r="Y25" i="1"/>
  <c r="U25" i="1"/>
  <c r="Q25" i="1"/>
  <c r="Y24" i="1"/>
  <c r="U24" i="1"/>
  <c r="Q24" i="1"/>
  <c r="Y23" i="1"/>
  <c r="U23" i="1"/>
  <c r="Q23" i="1"/>
  <c r="Y22" i="1"/>
  <c r="U22" i="1"/>
  <c r="Q22" i="1"/>
  <c r="Y21" i="1"/>
  <c r="U21" i="1"/>
  <c r="Q21" i="1"/>
  <c r="Y20" i="1"/>
  <c r="U20" i="1"/>
  <c r="R29" i="1"/>
  <c r="Q20" i="1"/>
  <c r="Y19" i="1"/>
  <c r="U19" i="1"/>
  <c r="Q19" i="1"/>
  <c r="Z14" i="1"/>
  <c r="V14" i="1"/>
  <c r="Y13" i="1"/>
  <c r="Q13" i="1"/>
  <c r="Y12" i="1"/>
  <c r="U12" i="1"/>
  <c r="Q12" i="1"/>
  <c r="Y11" i="1"/>
  <c r="U11" i="1"/>
  <c r="Q11" i="1"/>
  <c r="Y10" i="1"/>
  <c r="U10" i="1"/>
  <c r="Q10" i="1"/>
  <c r="Y9" i="1"/>
  <c r="U9" i="1"/>
  <c r="Q9" i="1"/>
  <c r="Y8" i="1"/>
  <c r="U8" i="1"/>
  <c r="Q8" i="1"/>
  <c r="Y7" i="1"/>
  <c r="U7" i="1"/>
  <c r="Q7" i="1"/>
  <c r="Y6" i="1"/>
  <c r="U6" i="1"/>
  <c r="Q6" i="1"/>
  <c r="Y5" i="1"/>
  <c r="U5" i="1"/>
  <c r="Q5" i="1"/>
  <c r="Y4" i="1"/>
  <c r="U4" i="1"/>
  <c r="Q4" i="1"/>
  <c r="M29" i="1"/>
  <c r="I29" i="1"/>
  <c r="L28" i="1"/>
  <c r="H28" i="1"/>
  <c r="D28" i="1"/>
  <c r="L27" i="1"/>
  <c r="H27" i="1"/>
  <c r="D27" i="1"/>
  <c r="L26" i="1"/>
  <c r="H26" i="1"/>
  <c r="D26" i="1"/>
  <c r="L25" i="1"/>
  <c r="H25" i="1"/>
  <c r="D25" i="1"/>
  <c r="L24" i="1"/>
  <c r="H24" i="1"/>
  <c r="D24" i="1"/>
  <c r="L23" i="1"/>
  <c r="H23" i="1"/>
  <c r="D23" i="1"/>
  <c r="L22" i="1"/>
  <c r="H22" i="1"/>
  <c r="D22" i="1"/>
  <c r="L21" i="1"/>
  <c r="H21" i="1"/>
  <c r="D21" i="1"/>
  <c r="L20" i="1"/>
  <c r="H20" i="1"/>
  <c r="E20" i="1"/>
  <c r="E29" i="1" s="1"/>
  <c r="D20" i="1"/>
  <c r="L19" i="1"/>
  <c r="H19" i="1"/>
  <c r="D19" i="1"/>
  <c r="M14" i="1"/>
  <c r="I14" i="1"/>
  <c r="E14" i="1"/>
  <c r="L13" i="1"/>
  <c r="H13" i="1"/>
  <c r="D13" i="1"/>
  <c r="L12" i="1"/>
  <c r="H12" i="1"/>
  <c r="D12" i="1"/>
  <c r="L11" i="1"/>
  <c r="H11" i="1"/>
  <c r="D11" i="1"/>
  <c r="L10" i="1"/>
  <c r="H10" i="1"/>
  <c r="D10" i="1"/>
  <c r="L9" i="1"/>
  <c r="H9" i="1"/>
  <c r="D9" i="1"/>
  <c r="L8" i="1"/>
  <c r="H8" i="1"/>
  <c r="D8" i="1"/>
  <c r="L7" i="1"/>
  <c r="H7" i="1"/>
  <c r="D7" i="1"/>
  <c r="L6" i="1"/>
  <c r="H6" i="1"/>
  <c r="D6" i="1"/>
  <c r="L5" i="1"/>
  <c r="H5" i="1"/>
  <c r="D5" i="1"/>
  <c r="L4" i="1"/>
  <c r="H4" i="1"/>
  <c r="D4" i="1"/>
  <c r="AE29" i="1" l="1"/>
  <c r="AU20" i="1"/>
  <c r="AU29" i="1" s="1"/>
  <c r="V29" i="1"/>
  <c r="AJ14" i="1"/>
  <c r="BD29" i="1"/>
  <c r="AO29" i="1"/>
  <c r="AD14" i="1"/>
  <c r="BD14" i="1"/>
  <c r="AI14" i="1"/>
  <c r="AY29" i="1"/>
  <c r="AD29" i="1"/>
  <c r="Y14" i="1"/>
  <c r="U29" i="1"/>
  <c r="AN14" i="1"/>
  <c r="AI29" i="1"/>
  <c r="AT14" i="1"/>
  <c r="AN29" i="1"/>
  <c r="AY14" i="1"/>
  <c r="AT29" i="1"/>
  <c r="Y29" i="1"/>
  <c r="Q29" i="1"/>
  <c r="U14" i="1"/>
  <c r="Q14" i="1"/>
  <c r="D29" i="1"/>
  <c r="H29" i="1"/>
  <c r="L29" i="1"/>
  <c r="D14" i="1"/>
  <c r="L14" i="1"/>
  <c r="H14" i="1"/>
</calcChain>
</file>

<file path=xl/sharedStrings.xml><?xml version="1.0" encoding="utf-8"?>
<sst xmlns="http://schemas.openxmlformats.org/spreadsheetml/2006/main" count="504" uniqueCount="52">
  <si>
    <t>Instance</t>
  </si>
  <si>
    <t>F</t>
  </si>
  <si>
    <t>P (%)</t>
  </si>
  <si>
    <t>n (%)</t>
  </si>
  <si>
    <t>RC1</t>
  </si>
  <si>
    <t>RC2</t>
  </si>
  <si>
    <t>RC3</t>
  </si>
  <si>
    <t>RC4</t>
  </si>
  <si>
    <t>RC5</t>
  </si>
  <si>
    <t>RC6</t>
  </si>
  <si>
    <t>RC7</t>
  </si>
  <si>
    <t>RC8</t>
  </si>
  <si>
    <t>RC9</t>
  </si>
  <si>
    <t>RC10</t>
  </si>
  <si>
    <t>Avg.</t>
  </si>
  <si>
    <t>n=100, m=2</t>
  </si>
  <si>
    <t>n=200, m=4</t>
  </si>
  <si>
    <t>n=300, m=6</t>
  </si>
  <si>
    <t>T5</t>
  </si>
  <si>
    <t>T10</t>
  </si>
  <si>
    <t>Single run</t>
  </si>
  <si>
    <t>T (s)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</si>
  <si>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</si>
  <si>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</si>
  <si>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</si>
  <si>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</si>
  <si>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</si>
  <si>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</si>
  <si>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</si>
  <si>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</si>
  <si>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</si>
  <si>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</si>
  <si>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</si>
  <si>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</si>
  <si>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</si>
  <si>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</si>
  <si>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</si>
  <si>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</si>
  <si>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</si>
  <si>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</si>
  <si>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</si>
  <si>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</si>
  <si>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F_day1</t>
  </si>
  <si>
    <t>Successive single period heuristic (SSPH)</t>
  </si>
  <si>
    <t>Patient-temporal decomposition based matheuristic (PTDM)</t>
  </si>
  <si>
    <t>Spatial-temporal decomposition with patient filtering (STDPF)</t>
  </si>
  <si>
    <t>n=100, m=(2,2)</t>
  </si>
  <si>
    <t>n=200, m=(4,4)</t>
  </si>
  <si>
    <t>n=300, m=(6,6)</t>
  </si>
  <si>
    <t>n=100, m=(1,1)</t>
  </si>
  <si>
    <t>n=200, m=(2,2)</t>
  </si>
  <si>
    <t>n=300, m=(3,3)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</si>
</sst>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7" borderId="5" xfId="0" applyFill="1" applyBorder="1"/>
    <xf numFmtId="0" fontId="0" fillId="7" borderId="7" xfId="0" applyFill="1" applyBorder="1"/>
    <xf numFmtId="0" fontId="0" fillId="3" borderId="6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164" fontId="0" fillId="8" borderId="1" xfId="0" applyNumberFormat="1" applyFill="1" applyBorder="1"/>
    <xf numFmtId="0" fontId="0" fillId="8" borderId="1" xfId="0" applyFill="1" applyBorder="1"/>
    <xf numFmtId="2" fontId="0" fillId="8" borderId="3" xfId="0" applyNumberFormat="1" applyFill="1" applyBorder="1" applyAlignment="1">
      <alignment horizontal="center"/>
    </xf>
    <xf numFmtId="164" fontId="0" fillId="0" borderId="1" xfId="0" applyNumberFormat="1" applyFill="1" applyBorder="1"/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  <xf numFmtId="2" fontId="1" fillId="0" borderId="0" xfId="0" applyNumberFormat="1" applyFont="1"/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4" borderId="1" xfId="0" applyNumberFormat="1" applyFill="1" applyBorder="1" applyAlignment="1">
      <alignment horizontal="right"/>
    </xf>
    <xf numFmtId="2" fontId="2" fillId="5" borderId="2" xfId="0" applyNumberFormat="1" applyFon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D002-1328-2641-950C-4B4C51052CC5}">
  <dimension ref="A1:CO31"/>
  <sheetViews>
    <sheetView zoomScale="115" zoomScaleNormal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7" sqref="A17:XFD18"/>
    </sheetView>
  </sheetViews>
  <sheetFormatPr baseColWidth="10" defaultRowHeight="16" x14ac:dyDescent="0.2"/>
  <cols>
    <col min="1" max="1" width="9" bestFit="1" customWidth="1"/>
    <col min="2" max="2" width="7" style="11" hidden="1" customWidth="1"/>
    <col min="3" max="3" width="7.6640625" style="12" customWidth="1"/>
    <col min="4" max="4" width="5.6640625" bestFit="1" customWidth="1"/>
    <col min="5" max="5" width="5.6640625" customWidth="1"/>
    <col min="6" max="6" width="7" hidden="1" customWidth="1"/>
    <col min="7" max="7" width="7.6640625" style="12" customWidth="1"/>
    <col min="8" max="9" width="5.6640625" customWidth="1"/>
    <col min="10" max="10" width="7" hidden="1" customWidth="1"/>
    <col min="11" max="11" width="7.6640625" style="12" customWidth="1"/>
    <col min="12" max="13" width="5.6640625" bestFit="1" customWidth="1"/>
    <col min="14" max="14" width="5.83203125" style="18" customWidth="1"/>
    <col min="15" max="15" width="7" style="11" hidden="1" customWidth="1"/>
    <col min="16" max="16" width="7.6640625" style="12" customWidth="1"/>
    <col min="17" max="17" width="5.6640625" bestFit="1" customWidth="1"/>
    <col min="18" max="18" width="6.6640625" bestFit="1" customWidth="1"/>
    <col min="19" max="19" width="7" hidden="1" customWidth="1"/>
    <col min="20" max="20" width="7.6640625" style="12" customWidth="1"/>
    <col min="21" max="22" width="5.6640625" customWidth="1"/>
    <col min="23" max="23" width="7" hidden="1" customWidth="1"/>
    <col min="24" max="24" width="7.6640625" style="12" customWidth="1"/>
    <col min="25" max="26" width="5.6640625" bestFit="1" customWidth="1"/>
    <col min="27" max="27" width="5.83203125" style="18" customWidth="1"/>
    <col min="28" max="28" width="7" style="11" hidden="1" customWidth="1"/>
    <col min="29" max="29" width="7.6640625" style="12" customWidth="1"/>
    <col min="30" max="30" width="5.6640625" bestFit="1" customWidth="1"/>
    <col min="31" max="31" width="6.83203125" bestFit="1" customWidth="1"/>
    <col min="32" max="32" width="7.6640625" customWidth="1"/>
    <col min="33" max="33" width="7" hidden="1" customWidth="1"/>
    <col min="34" max="34" width="7.6640625" style="12" customWidth="1"/>
    <col min="35" max="36" width="5.6640625" customWidth="1"/>
    <col min="37" max="37" width="7.6640625" customWidth="1"/>
    <col min="38" max="38" width="7" hidden="1" customWidth="1"/>
    <col min="39" max="39" width="7.6640625" style="12" customWidth="1"/>
    <col min="40" max="41" width="5.83203125" bestFit="1" customWidth="1"/>
    <col min="42" max="42" width="7.6640625" customWidth="1"/>
    <col min="43" max="43" width="5.83203125" style="18" customWidth="1"/>
    <col min="44" max="44" width="7" style="11" hidden="1" customWidth="1"/>
    <col min="45" max="45" width="7.6640625" style="12" customWidth="1"/>
    <col min="46" max="46" width="5.83203125" bestFit="1" customWidth="1"/>
    <col min="47" max="47" width="6.6640625" bestFit="1" customWidth="1"/>
    <col min="48" max="48" width="7.6640625" customWidth="1"/>
    <col min="49" max="49" width="7" hidden="1" customWidth="1"/>
    <col min="50" max="50" width="7.6640625" style="12" customWidth="1"/>
    <col min="51" max="51" width="5.6640625" customWidth="1"/>
    <col min="52" max="52" width="6.33203125" customWidth="1"/>
    <col min="53" max="53" width="7.6640625" customWidth="1"/>
    <col min="54" max="54" width="7" hidden="1" customWidth="1"/>
    <col min="55" max="55" width="7.6640625" style="12" customWidth="1"/>
    <col min="56" max="56" width="5.83203125" bestFit="1" customWidth="1"/>
    <col min="57" max="57" width="7.5" bestFit="1" customWidth="1"/>
    <col min="58" max="58" width="7.6640625" customWidth="1"/>
    <col min="59" max="59" width="5.83203125" style="18" customWidth="1"/>
  </cols>
  <sheetData>
    <row r="1" spans="1:59" x14ac:dyDescent="0.2">
      <c r="A1" s="52" t="s">
        <v>18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7"/>
      <c r="O1" s="49" t="s">
        <v>18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17"/>
      <c r="AB1" s="49" t="s">
        <v>18</v>
      </c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1"/>
      <c r="AQ1" s="17"/>
      <c r="AR1" s="49" t="s">
        <v>18</v>
      </c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17"/>
    </row>
    <row r="2" spans="1:59" x14ac:dyDescent="0.2">
      <c r="A2" s="53" t="s">
        <v>0</v>
      </c>
      <c r="B2" s="53" t="s">
        <v>42</v>
      </c>
      <c r="C2" s="55" t="s">
        <v>46</v>
      </c>
      <c r="D2" s="56"/>
      <c r="E2" s="57"/>
      <c r="F2" s="53" t="s">
        <v>42</v>
      </c>
      <c r="G2" s="55" t="s">
        <v>47</v>
      </c>
      <c r="H2" s="56"/>
      <c r="I2" s="57"/>
      <c r="J2" s="53" t="s">
        <v>42</v>
      </c>
      <c r="K2" s="55" t="s">
        <v>48</v>
      </c>
      <c r="L2" s="56"/>
      <c r="M2" s="57"/>
      <c r="O2" s="53" t="s">
        <v>42</v>
      </c>
      <c r="P2" s="55" t="s">
        <v>46</v>
      </c>
      <c r="Q2" s="56"/>
      <c r="R2" s="57"/>
      <c r="S2" s="53" t="s">
        <v>42</v>
      </c>
      <c r="T2" s="55" t="s">
        <v>47</v>
      </c>
      <c r="U2" s="56"/>
      <c r="V2" s="57"/>
      <c r="W2" s="53" t="s">
        <v>42</v>
      </c>
      <c r="X2" s="55" t="s">
        <v>48</v>
      </c>
      <c r="Y2" s="56"/>
      <c r="Z2" s="57"/>
      <c r="AB2" s="53" t="s">
        <v>42</v>
      </c>
      <c r="AC2" s="55" t="s">
        <v>46</v>
      </c>
      <c r="AD2" s="56"/>
      <c r="AE2" s="56"/>
      <c r="AF2" s="57"/>
      <c r="AG2" s="53" t="s">
        <v>42</v>
      </c>
      <c r="AH2" s="55" t="s">
        <v>47</v>
      </c>
      <c r="AI2" s="56"/>
      <c r="AJ2" s="56"/>
      <c r="AK2" s="57"/>
      <c r="AL2" s="53" t="s">
        <v>42</v>
      </c>
      <c r="AM2" s="55" t="s">
        <v>48</v>
      </c>
      <c r="AN2" s="56"/>
      <c r="AO2" s="56"/>
      <c r="AP2" s="57"/>
      <c r="AR2" s="53" t="s">
        <v>42</v>
      </c>
      <c r="AS2" s="55" t="s">
        <v>46</v>
      </c>
      <c r="AT2" s="56"/>
      <c r="AU2" s="56"/>
      <c r="AV2" s="57"/>
      <c r="AW2" s="53" t="s">
        <v>42</v>
      </c>
      <c r="AX2" s="55" t="s">
        <v>47</v>
      </c>
      <c r="AY2" s="56"/>
      <c r="AZ2" s="56"/>
      <c r="BA2" s="57"/>
      <c r="BB2" s="53" t="s">
        <v>42</v>
      </c>
      <c r="BC2" s="55" t="s">
        <v>48</v>
      </c>
      <c r="BD2" s="56"/>
      <c r="BE2" s="56"/>
      <c r="BF2" s="57"/>
    </row>
    <row r="3" spans="1:59" x14ac:dyDescent="0.2">
      <c r="A3" s="54"/>
      <c r="B3" s="54"/>
      <c r="C3" s="1" t="s">
        <v>1</v>
      </c>
      <c r="D3" s="2" t="s">
        <v>2</v>
      </c>
      <c r="E3" s="2" t="s">
        <v>3</v>
      </c>
      <c r="F3" s="54"/>
      <c r="G3" s="1" t="s">
        <v>1</v>
      </c>
      <c r="H3" s="2" t="s">
        <v>2</v>
      </c>
      <c r="I3" s="2" t="s">
        <v>3</v>
      </c>
      <c r="J3" s="54"/>
      <c r="K3" s="1" t="s">
        <v>1</v>
      </c>
      <c r="L3" s="2" t="s">
        <v>2</v>
      </c>
      <c r="M3" s="14" t="s">
        <v>3</v>
      </c>
      <c r="O3" s="54"/>
      <c r="P3" s="1" t="s">
        <v>1</v>
      </c>
      <c r="Q3" s="46" t="s">
        <v>2</v>
      </c>
      <c r="R3" s="46" t="s">
        <v>3</v>
      </c>
      <c r="S3" s="54"/>
      <c r="T3" s="1" t="s">
        <v>1</v>
      </c>
      <c r="U3" s="46" t="s">
        <v>2</v>
      </c>
      <c r="V3" s="46" t="s">
        <v>3</v>
      </c>
      <c r="W3" s="54"/>
      <c r="X3" s="1" t="s">
        <v>1</v>
      </c>
      <c r="Y3" s="46" t="s">
        <v>2</v>
      </c>
      <c r="Z3" s="45" t="s">
        <v>3</v>
      </c>
      <c r="AB3" s="54"/>
      <c r="AC3" s="20" t="s">
        <v>1</v>
      </c>
      <c r="AD3" s="19" t="s">
        <v>2</v>
      </c>
      <c r="AE3" s="19" t="s">
        <v>3</v>
      </c>
      <c r="AF3" s="19" t="s">
        <v>21</v>
      </c>
      <c r="AG3" s="54"/>
      <c r="AH3" s="20" t="s">
        <v>1</v>
      </c>
      <c r="AI3" s="19" t="s">
        <v>2</v>
      </c>
      <c r="AJ3" s="19" t="s">
        <v>3</v>
      </c>
      <c r="AK3" s="19" t="s">
        <v>21</v>
      </c>
      <c r="AL3" s="54"/>
      <c r="AM3" s="20" t="s">
        <v>1</v>
      </c>
      <c r="AN3" s="19" t="s">
        <v>2</v>
      </c>
      <c r="AO3" s="19" t="s">
        <v>3</v>
      </c>
      <c r="AP3" s="19" t="s">
        <v>21</v>
      </c>
      <c r="AR3" s="54"/>
      <c r="AS3" s="20" t="s">
        <v>1</v>
      </c>
      <c r="AT3" s="19" t="s">
        <v>2</v>
      </c>
      <c r="AU3" s="19" t="s">
        <v>3</v>
      </c>
      <c r="AV3" s="19" t="s">
        <v>21</v>
      </c>
      <c r="AW3" s="54"/>
      <c r="AX3" s="20" t="s">
        <v>1</v>
      </c>
      <c r="AY3" s="19" t="s">
        <v>2</v>
      </c>
      <c r="AZ3" s="19" t="s">
        <v>3</v>
      </c>
      <c r="BA3" s="19" t="s">
        <v>21</v>
      </c>
      <c r="BB3" s="54"/>
      <c r="BC3" s="20" t="s">
        <v>1</v>
      </c>
      <c r="BD3" s="19" t="s">
        <v>2</v>
      </c>
      <c r="BE3" s="19" t="s">
        <v>3</v>
      </c>
      <c r="BF3" s="19" t="s">
        <v>21</v>
      </c>
    </row>
    <row r="4" spans="1:59" x14ac:dyDescent="0.2">
      <c r="A4" s="27" t="s">
        <v>22</v>
      </c>
      <c r="B4" s="26">
        <v>210.2</v>
      </c>
      <c r="C4" s="68">
        <v>86.519199999999998</v>
      </c>
      <c r="D4" s="68">
        <f>C4/B4*100</f>
        <v>41.160418648905804</v>
      </c>
      <c r="E4" s="68">
        <v>57</v>
      </c>
      <c r="F4" s="26">
        <v>433.2</v>
      </c>
      <c r="G4" s="4">
        <v>0</v>
      </c>
      <c r="H4" s="5">
        <f>G4/F4*100</f>
        <v>0</v>
      </c>
      <c r="I4" s="15">
        <v>0</v>
      </c>
      <c r="J4" s="26">
        <v>651.70000000000005</v>
      </c>
      <c r="K4" s="4">
        <v>0</v>
      </c>
      <c r="L4" s="5">
        <f>K4/J4*100</f>
        <v>0</v>
      </c>
      <c r="M4" s="15">
        <v>0</v>
      </c>
      <c r="O4" s="26">
        <v>210.2</v>
      </c>
      <c r="P4" s="68">
        <v>128.88</v>
      </c>
      <c r="Q4" s="5">
        <f>P4/O4*100</f>
        <v>61.313035204567079</v>
      </c>
      <c r="R4" s="5">
        <v>87</v>
      </c>
      <c r="S4" s="26">
        <v>433.2</v>
      </c>
      <c r="T4" s="4">
        <v>0</v>
      </c>
      <c r="U4" s="5">
        <f>T4/S4*100</f>
        <v>0</v>
      </c>
      <c r="V4" s="15">
        <v>0</v>
      </c>
      <c r="W4" s="26">
        <v>651.70000000000005</v>
      </c>
      <c r="X4" s="4">
        <v>0</v>
      </c>
      <c r="Y4" s="5">
        <f>X4/W4*100</f>
        <v>0</v>
      </c>
      <c r="Z4" s="15">
        <v>0</v>
      </c>
      <c r="AB4" s="26">
        <v>210.2</v>
      </c>
      <c r="AC4" s="4">
        <v>165.346</v>
      </c>
      <c r="AD4" s="5">
        <f>AC4/AB4*100</f>
        <v>78.661274976213136</v>
      </c>
      <c r="AE4" s="5">
        <v>98</v>
      </c>
      <c r="AF4" s="5">
        <v>2898.25</v>
      </c>
      <c r="AG4" s="26">
        <v>433.2</v>
      </c>
      <c r="AH4" s="21">
        <v>305.40699999999998</v>
      </c>
      <c r="AI4" s="5">
        <f>AH4/AG4*100</f>
        <v>70.500230840258538</v>
      </c>
      <c r="AJ4" s="5">
        <f>170/2</f>
        <v>85</v>
      </c>
      <c r="AK4" s="5">
        <v>2587.91</v>
      </c>
      <c r="AL4" s="26">
        <v>651.70000000000005</v>
      </c>
      <c r="AM4" s="4">
        <v>411.96199999999999</v>
      </c>
      <c r="AN4" s="5">
        <f>AM4/AL4*100</f>
        <v>63.213441767684508</v>
      </c>
      <c r="AO4" s="5">
        <v>69</v>
      </c>
      <c r="AP4" s="5">
        <v>2945.05</v>
      </c>
      <c r="AR4" s="26">
        <v>210.2</v>
      </c>
      <c r="AS4" s="4">
        <v>163.583</v>
      </c>
      <c r="AT4" s="5">
        <f>AS4/AR4*100</f>
        <v>77.822549952426272</v>
      </c>
      <c r="AU4" s="5">
        <v>98</v>
      </c>
      <c r="AV4" s="5">
        <v>3607.92</v>
      </c>
      <c r="AW4" s="26">
        <v>433.2</v>
      </c>
      <c r="AX4" s="4">
        <v>343.84399999999999</v>
      </c>
      <c r="AY4" s="5">
        <f>AX4/AW4*100</f>
        <v>79.373037857802402</v>
      </c>
      <c r="AZ4" s="5">
        <v>100</v>
      </c>
      <c r="BA4" s="5">
        <v>3601.36</v>
      </c>
      <c r="BB4" s="26">
        <v>651.70000000000005</v>
      </c>
      <c r="BC4" s="4">
        <v>531.07299999999998</v>
      </c>
      <c r="BD4" s="5">
        <f>BC4/BB4*100</f>
        <v>81.490409697713659</v>
      </c>
      <c r="BE4" s="5">
        <v>100</v>
      </c>
      <c r="BF4" s="5">
        <v>3606.33</v>
      </c>
    </row>
    <row r="5" spans="1:59" x14ac:dyDescent="0.2">
      <c r="A5" s="28" t="s">
        <v>23</v>
      </c>
      <c r="B5" s="66">
        <v>231.2</v>
      </c>
      <c r="C5" s="69">
        <v>0</v>
      </c>
      <c r="D5" s="68">
        <f>C5/B5*100</f>
        <v>0</v>
      </c>
      <c r="E5" s="69">
        <v>0</v>
      </c>
      <c r="F5" s="66">
        <v>445.8</v>
      </c>
      <c r="G5" s="4">
        <v>0</v>
      </c>
      <c r="H5" s="5">
        <f t="shared" ref="H5:H13" si="0">G5/F5*100</f>
        <v>0</v>
      </c>
      <c r="I5" s="15">
        <v>0</v>
      </c>
      <c r="J5" s="67">
        <v>660</v>
      </c>
      <c r="K5" s="4">
        <v>0</v>
      </c>
      <c r="L5" s="5">
        <f t="shared" ref="L5:L13" si="1">K5/J5*100</f>
        <v>0</v>
      </c>
      <c r="M5" s="15">
        <v>0</v>
      </c>
      <c r="O5" s="66">
        <v>231.2</v>
      </c>
      <c r="P5" s="69">
        <v>133.36500000000001</v>
      </c>
      <c r="Q5" s="5">
        <f>P5/O5*100</f>
        <v>57.683823529411768</v>
      </c>
      <c r="R5" s="9">
        <v>81</v>
      </c>
      <c r="S5" s="66">
        <v>445.8</v>
      </c>
      <c r="T5" s="4">
        <v>0</v>
      </c>
      <c r="U5" s="5">
        <f t="shared" ref="U5:U13" si="2">T5/S5*100</f>
        <v>0</v>
      </c>
      <c r="V5" s="15">
        <v>0</v>
      </c>
      <c r="W5" s="67">
        <v>660</v>
      </c>
      <c r="X5" s="4">
        <v>0</v>
      </c>
      <c r="Y5" s="5">
        <f t="shared" ref="Y5:Y13" si="3">X5/W5*100</f>
        <v>0</v>
      </c>
      <c r="Z5" s="15">
        <v>0</v>
      </c>
      <c r="AB5" s="66">
        <v>231.2</v>
      </c>
      <c r="AC5" s="8">
        <v>175.71799999999999</v>
      </c>
      <c r="AD5" s="5">
        <f t="shared" ref="AD5:AD13" si="4">AC5/AB5*100</f>
        <v>76.002595155709344</v>
      </c>
      <c r="AE5" s="9">
        <v>95</v>
      </c>
      <c r="AF5" s="9">
        <v>3600</v>
      </c>
      <c r="AG5" s="66">
        <v>445.8</v>
      </c>
      <c r="AH5" s="22">
        <v>315.88799999999998</v>
      </c>
      <c r="AI5" s="5">
        <f t="shared" ref="AI5:AI13" si="5">AH5/AG5*100</f>
        <v>70.858681022880205</v>
      </c>
      <c r="AJ5" s="9">
        <v>84.5</v>
      </c>
      <c r="AK5" s="9">
        <v>2987.58</v>
      </c>
      <c r="AL5" s="67">
        <v>660</v>
      </c>
      <c r="AM5" s="8">
        <v>413.99200000000002</v>
      </c>
      <c r="AN5" s="5">
        <f t="shared" ref="AN5:AN13" si="6">AM5/AL5*100</f>
        <v>62.726060606060607</v>
      </c>
      <c r="AO5" s="9">
        <v>68</v>
      </c>
      <c r="AP5" s="5">
        <v>2618.2199999999998</v>
      </c>
      <c r="AR5" s="66">
        <v>231.2</v>
      </c>
      <c r="AS5" s="8">
        <v>178.40199999999999</v>
      </c>
      <c r="AT5" s="5">
        <f t="shared" ref="AT5:AT13" si="7">AS5/AR5*100</f>
        <v>77.163494809688586</v>
      </c>
      <c r="AU5" s="9">
        <v>98</v>
      </c>
      <c r="AV5" s="9">
        <v>3628.81</v>
      </c>
      <c r="AW5" s="66">
        <v>445.8</v>
      </c>
      <c r="AX5" s="8">
        <v>362.62799999999999</v>
      </c>
      <c r="AY5" s="5">
        <f t="shared" ref="AY5:AY13" si="8">AX5/AW5*100</f>
        <v>81.343203230148049</v>
      </c>
      <c r="AZ5" s="5">
        <v>100</v>
      </c>
      <c r="BA5" s="9">
        <v>3315.94</v>
      </c>
      <c r="BB5" s="67">
        <v>660</v>
      </c>
      <c r="BC5" s="8">
        <v>543.83900000000006</v>
      </c>
      <c r="BD5" s="5">
        <f t="shared" ref="BD5:BD13" si="9">BC5/BB5*100</f>
        <v>82.399848484848491</v>
      </c>
      <c r="BE5" s="9">
        <v>100</v>
      </c>
      <c r="BF5" s="9">
        <v>3614.22</v>
      </c>
    </row>
    <row r="6" spans="1:59" x14ac:dyDescent="0.2">
      <c r="A6" s="27" t="s">
        <v>24</v>
      </c>
      <c r="B6" s="66">
        <v>209.9</v>
      </c>
      <c r="C6" s="69">
        <v>104.483</v>
      </c>
      <c r="D6" s="68">
        <f>C6/B6*100</f>
        <v>49.777513101476892</v>
      </c>
      <c r="E6" s="69">
        <v>70</v>
      </c>
      <c r="F6" s="66">
        <v>431.7</v>
      </c>
      <c r="G6" s="4">
        <v>0</v>
      </c>
      <c r="H6" s="5">
        <f t="shared" si="0"/>
        <v>0</v>
      </c>
      <c r="I6" s="15">
        <v>0</v>
      </c>
      <c r="J6" s="67">
        <v>637.4</v>
      </c>
      <c r="K6" s="4">
        <v>0</v>
      </c>
      <c r="L6" s="5">
        <f t="shared" si="1"/>
        <v>0</v>
      </c>
      <c r="M6" s="15">
        <v>0</v>
      </c>
      <c r="O6" s="66">
        <v>209.9</v>
      </c>
      <c r="P6" s="69">
        <v>126.04300000000001</v>
      </c>
      <c r="Q6" s="5">
        <f t="shared" ref="Q6:Q13" si="10">P6/O6*100</f>
        <v>60.049070986183892</v>
      </c>
      <c r="R6" s="9">
        <v>95</v>
      </c>
      <c r="S6" s="66">
        <v>431.7</v>
      </c>
      <c r="T6" s="4">
        <v>0</v>
      </c>
      <c r="U6" s="5">
        <f t="shared" si="2"/>
        <v>0</v>
      </c>
      <c r="V6" s="15">
        <v>0</v>
      </c>
      <c r="W6" s="67">
        <v>637.4</v>
      </c>
      <c r="X6" s="4">
        <v>0</v>
      </c>
      <c r="Y6" s="5">
        <f t="shared" si="3"/>
        <v>0</v>
      </c>
      <c r="Z6" s="15">
        <v>0</v>
      </c>
      <c r="AB6" s="66">
        <v>209.9</v>
      </c>
      <c r="AC6" s="8">
        <v>166.85</v>
      </c>
      <c r="AD6" s="5">
        <f t="shared" si="4"/>
        <v>79.490233444497377</v>
      </c>
      <c r="AE6" s="9">
        <v>100</v>
      </c>
      <c r="AF6" s="9">
        <v>2880.26</v>
      </c>
      <c r="AG6" s="66">
        <v>431.7</v>
      </c>
      <c r="AH6" s="22">
        <v>316.834</v>
      </c>
      <c r="AI6" s="5">
        <f t="shared" si="5"/>
        <v>73.392170488765345</v>
      </c>
      <c r="AJ6" s="9">
        <v>90.5</v>
      </c>
      <c r="AK6" s="9">
        <v>3024.19</v>
      </c>
      <c r="AL6" s="67">
        <v>637.4</v>
      </c>
      <c r="AM6" s="8">
        <v>425.85300000000001</v>
      </c>
      <c r="AN6" s="5">
        <f t="shared" si="6"/>
        <v>66.810950737370561</v>
      </c>
      <c r="AO6" s="9">
        <v>73.333333333333329</v>
      </c>
      <c r="AP6" s="5">
        <v>2687.73</v>
      </c>
      <c r="AR6" s="66">
        <v>209.9</v>
      </c>
      <c r="AS6" s="8">
        <v>166.398</v>
      </c>
      <c r="AT6" s="5">
        <f t="shared" si="7"/>
        <v>79.274892806098137</v>
      </c>
      <c r="AU6" s="9">
        <v>100</v>
      </c>
      <c r="AV6" s="9">
        <v>2630.31</v>
      </c>
      <c r="AW6" s="66">
        <v>431.7</v>
      </c>
      <c r="AX6" s="4">
        <v>348.64100000000002</v>
      </c>
      <c r="AY6" s="5">
        <f t="shared" si="8"/>
        <v>80.760018531387544</v>
      </c>
      <c r="AZ6" s="5">
        <v>100</v>
      </c>
      <c r="BA6" s="9">
        <v>3600.57</v>
      </c>
      <c r="BB6" s="67">
        <v>637.4</v>
      </c>
      <c r="BC6" s="8">
        <v>539.51700000000005</v>
      </c>
      <c r="BD6" s="5">
        <f t="shared" si="9"/>
        <v>84.643395042359586</v>
      </c>
      <c r="BE6" s="9">
        <v>99.666666666666671</v>
      </c>
      <c r="BF6" s="9">
        <v>3600.24</v>
      </c>
    </row>
    <row r="7" spans="1:59" x14ac:dyDescent="0.2">
      <c r="A7" s="28" t="s">
        <v>25</v>
      </c>
      <c r="B7" s="66">
        <v>213.9</v>
      </c>
      <c r="C7" s="69">
        <v>0</v>
      </c>
      <c r="D7" s="68">
        <f>C7/B7*100</f>
        <v>0</v>
      </c>
      <c r="E7" s="69">
        <v>0</v>
      </c>
      <c r="F7" s="66">
        <v>439.4</v>
      </c>
      <c r="G7" s="4">
        <v>0</v>
      </c>
      <c r="H7" s="5">
        <f t="shared" si="0"/>
        <v>0</v>
      </c>
      <c r="I7" s="15">
        <v>0</v>
      </c>
      <c r="J7" s="67">
        <v>670.8</v>
      </c>
      <c r="K7" s="4">
        <v>0</v>
      </c>
      <c r="L7" s="5">
        <f t="shared" si="1"/>
        <v>0</v>
      </c>
      <c r="M7" s="15">
        <v>0</v>
      </c>
      <c r="O7" s="66">
        <v>213.9</v>
      </c>
      <c r="P7" s="69">
        <v>72.341999999999999</v>
      </c>
      <c r="Q7" s="5">
        <f t="shared" si="10"/>
        <v>33.820476858345025</v>
      </c>
      <c r="R7" s="9">
        <v>58</v>
      </c>
      <c r="S7" s="66">
        <v>439.4</v>
      </c>
      <c r="T7" s="4">
        <v>0</v>
      </c>
      <c r="U7" s="5">
        <f t="shared" si="2"/>
        <v>0</v>
      </c>
      <c r="V7" s="15">
        <v>0</v>
      </c>
      <c r="W7" s="67">
        <v>670.8</v>
      </c>
      <c r="X7" s="4">
        <v>0</v>
      </c>
      <c r="Y7" s="5">
        <f t="shared" si="3"/>
        <v>0</v>
      </c>
      <c r="Z7" s="15">
        <v>0</v>
      </c>
      <c r="AB7" s="66">
        <v>213.9</v>
      </c>
      <c r="AC7" s="8">
        <v>156.315</v>
      </c>
      <c r="AD7" s="5">
        <f t="shared" si="4"/>
        <v>73.078541374474042</v>
      </c>
      <c r="AE7" s="9">
        <v>92</v>
      </c>
      <c r="AF7" s="9">
        <v>3600</v>
      </c>
      <c r="AG7" s="66">
        <v>439.4</v>
      </c>
      <c r="AH7" s="22">
        <v>319.85599999999999</v>
      </c>
      <c r="AI7" s="5">
        <f t="shared" si="5"/>
        <v>72.793809740555304</v>
      </c>
      <c r="AJ7" s="9">
        <v>85.5</v>
      </c>
      <c r="AK7" s="9">
        <v>3010.22</v>
      </c>
      <c r="AL7" s="67">
        <v>670.8</v>
      </c>
      <c r="AM7" s="8">
        <v>443.15199999999999</v>
      </c>
      <c r="AN7" s="5">
        <f t="shared" si="6"/>
        <v>66.063208109719739</v>
      </c>
      <c r="AO7" s="9">
        <v>71.666666666666671</v>
      </c>
      <c r="AP7" s="9">
        <v>2846.91</v>
      </c>
      <c r="AR7" s="66">
        <v>213.9</v>
      </c>
      <c r="AS7" s="8">
        <v>167.22200000000001</v>
      </c>
      <c r="AT7" s="5">
        <f t="shared" si="7"/>
        <v>78.177653108929405</v>
      </c>
      <c r="AU7" s="9">
        <v>96</v>
      </c>
      <c r="AV7" s="9">
        <v>3261.55</v>
      </c>
      <c r="AW7" s="66">
        <v>439.4</v>
      </c>
      <c r="AX7" s="8">
        <v>361.22199999999998</v>
      </c>
      <c r="AY7" s="5">
        <f t="shared" si="8"/>
        <v>82.208010923987246</v>
      </c>
      <c r="AZ7" s="5">
        <v>100</v>
      </c>
      <c r="BA7" s="9">
        <v>3602.06</v>
      </c>
      <c r="BB7" s="67">
        <v>670.8</v>
      </c>
      <c r="BC7" s="8">
        <v>547.85</v>
      </c>
      <c r="BD7" s="5">
        <f t="shared" si="9"/>
        <v>81.67113893858081</v>
      </c>
      <c r="BE7" s="5">
        <v>100</v>
      </c>
      <c r="BF7" s="9">
        <v>3609.62</v>
      </c>
    </row>
    <row r="8" spans="1:59" x14ac:dyDescent="0.2">
      <c r="A8" s="27" t="s">
        <v>26</v>
      </c>
      <c r="B8" s="66">
        <v>222.1</v>
      </c>
      <c r="C8" s="69">
        <v>11.6</v>
      </c>
      <c r="D8" s="68">
        <f>C8/B8*100</f>
        <v>5.2228725799189553</v>
      </c>
      <c r="E8" s="69">
        <v>5</v>
      </c>
      <c r="F8" s="66">
        <v>447.9</v>
      </c>
      <c r="G8" s="4">
        <v>0</v>
      </c>
      <c r="H8" s="5">
        <f t="shared" si="0"/>
        <v>0</v>
      </c>
      <c r="I8" s="15">
        <v>0</v>
      </c>
      <c r="J8" s="67">
        <v>685.3</v>
      </c>
      <c r="K8" s="4">
        <v>0</v>
      </c>
      <c r="L8" s="5">
        <f t="shared" si="1"/>
        <v>0</v>
      </c>
      <c r="M8" s="15">
        <v>0</v>
      </c>
      <c r="O8" s="66">
        <v>222.1</v>
      </c>
      <c r="P8" s="69">
        <v>91.242900000000006</v>
      </c>
      <c r="Q8" s="5">
        <f t="shared" si="10"/>
        <v>41.081900045024767</v>
      </c>
      <c r="R8" s="9">
        <v>62</v>
      </c>
      <c r="S8" s="66">
        <v>447.9</v>
      </c>
      <c r="T8" s="4">
        <v>0</v>
      </c>
      <c r="U8" s="5">
        <f t="shared" si="2"/>
        <v>0</v>
      </c>
      <c r="V8" s="15">
        <v>0</v>
      </c>
      <c r="W8" s="67">
        <v>685.3</v>
      </c>
      <c r="X8" s="4">
        <v>0</v>
      </c>
      <c r="Y8" s="5">
        <f t="shared" si="3"/>
        <v>0</v>
      </c>
      <c r="Z8" s="15">
        <v>0</v>
      </c>
      <c r="AB8" s="66">
        <v>222.1</v>
      </c>
      <c r="AC8" s="8">
        <v>172.30099999999999</v>
      </c>
      <c r="AD8" s="5">
        <f t="shared" si="4"/>
        <v>77.578117964880676</v>
      </c>
      <c r="AE8" s="9">
        <v>93</v>
      </c>
      <c r="AF8" s="9">
        <v>3600</v>
      </c>
      <c r="AG8" s="66">
        <v>447.9</v>
      </c>
      <c r="AH8" s="22">
        <v>306.01</v>
      </c>
      <c r="AI8" s="5">
        <f t="shared" si="5"/>
        <v>68.321053806653282</v>
      </c>
      <c r="AJ8" s="9">
        <v>76.5</v>
      </c>
      <c r="AK8" s="9">
        <v>2891.99</v>
      </c>
      <c r="AL8" s="67">
        <v>685.3</v>
      </c>
      <c r="AM8" s="8">
        <v>385.84699999999998</v>
      </c>
      <c r="AN8" s="5">
        <f t="shared" si="6"/>
        <v>56.303370786516858</v>
      </c>
      <c r="AO8" s="9">
        <v>54.666666666666664</v>
      </c>
      <c r="AP8" s="9">
        <v>3130.16</v>
      </c>
      <c r="AR8" s="66">
        <v>222.1</v>
      </c>
      <c r="AS8" s="8">
        <v>170.482</v>
      </c>
      <c r="AT8" s="5">
        <f t="shared" si="7"/>
        <v>76.759117514633047</v>
      </c>
      <c r="AU8" s="9">
        <v>96</v>
      </c>
      <c r="AV8" s="9">
        <v>3630.01</v>
      </c>
      <c r="AW8" s="66">
        <v>447.9</v>
      </c>
      <c r="AX8" s="4">
        <v>355.279</v>
      </c>
      <c r="AY8" s="5">
        <f t="shared" si="8"/>
        <v>79.321053806653268</v>
      </c>
      <c r="AZ8" s="5">
        <v>100</v>
      </c>
      <c r="BA8" s="9">
        <v>3606.24</v>
      </c>
      <c r="BB8" s="67">
        <v>685.3</v>
      </c>
      <c r="BC8" s="4">
        <v>544.62400000000002</v>
      </c>
      <c r="BD8" s="5">
        <f t="shared" si="9"/>
        <v>79.472347876842264</v>
      </c>
      <c r="BE8" s="5">
        <v>100</v>
      </c>
      <c r="BF8" s="9">
        <v>3601.83</v>
      </c>
    </row>
    <row r="9" spans="1:59" x14ac:dyDescent="0.2">
      <c r="A9" s="28" t="s">
        <v>27</v>
      </c>
      <c r="B9" s="66">
        <v>241.7</v>
      </c>
      <c r="C9" s="69">
        <v>66.808300000000003</v>
      </c>
      <c r="D9" s="68">
        <f>C9/B9*100</f>
        <v>27.641001241208112</v>
      </c>
      <c r="E9" s="69">
        <v>37</v>
      </c>
      <c r="F9" s="66">
        <v>459.4</v>
      </c>
      <c r="G9" s="4">
        <v>0</v>
      </c>
      <c r="H9" s="5">
        <f t="shared" si="0"/>
        <v>0</v>
      </c>
      <c r="I9" s="15">
        <v>0</v>
      </c>
      <c r="J9" s="67">
        <v>694.4</v>
      </c>
      <c r="K9" s="4">
        <v>0</v>
      </c>
      <c r="L9" s="5">
        <f t="shared" si="1"/>
        <v>0</v>
      </c>
      <c r="M9" s="15">
        <v>0</v>
      </c>
      <c r="O9" s="66">
        <v>241.7</v>
      </c>
      <c r="P9" s="69">
        <v>169.108</v>
      </c>
      <c r="Q9" s="5">
        <f t="shared" si="10"/>
        <v>69.966073645014475</v>
      </c>
      <c r="R9" s="9">
        <v>97</v>
      </c>
      <c r="S9" s="66">
        <v>459.4</v>
      </c>
      <c r="T9" s="4">
        <v>0</v>
      </c>
      <c r="U9" s="5">
        <f t="shared" si="2"/>
        <v>0</v>
      </c>
      <c r="V9" s="15">
        <v>0</v>
      </c>
      <c r="W9" s="67">
        <v>694.4</v>
      </c>
      <c r="X9" s="4">
        <v>0</v>
      </c>
      <c r="Y9" s="5">
        <f t="shared" si="3"/>
        <v>0</v>
      </c>
      <c r="Z9" s="15">
        <v>0</v>
      </c>
      <c r="AB9" s="66">
        <v>241.7</v>
      </c>
      <c r="AC9" s="8">
        <v>190.91499999999999</v>
      </c>
      <c r="AD9" s="5">
        <f t="shared" si="4"/>
        <v>78.988415390980563</v>
      </c>
      <c r="AE9" s="9">
        <v>98</v>
      </c>
      <c r="AF9" s="9">
        <v>2884.78</v>
      </c>
      <c r="AG9" s="66">
        <v>459.4</v>
      </c>
      <c r="AH9" s="22">
        <v>331.786</v>
      </c>
      <c r="AI9" s="5">
        <f t="shared" si="5"/>
        <v>72.221593382673049</v>
      </c>
      <c r="AJ9" s="9">
        <v>86.5</v>
      </c>
      <c r="AK9" s="9">
        <v>2843.41</v>
      </c>
      <c r="AL9" s="67">
        <v>694.4</v>
      </c>
      <c r="AM9" s="8">
        <v>469.392</v>
      </c>
      <c r="AN9" s="5">
        <f t="shared" si="6"/>
        <v>67.596774193548399</v>
      </c>
      <c r="AO9" s="9">
        <v>76.666666666666671</v>
      </c>
      <c r="AP9" s="9">
        <v>2646.15</v>
      </c>
      <c r="AR9" s="66">
        <v>241.7</v>
      </c>
      <c r="AS9" s="8">
        <v>195.79</v>
      </c>
      <c r="AT9" s="5">
        <f t="shared" si="7"/>
        <v>81.005378568473319</v>
      </c>
      <c r="AU9" s="9">
        <v>100</v>
      </c>
      <c r="AV9" s="9">
        <v>2676.32</v>
      </c>
      <c r="AW9" s="66">
        <v>459.4</v>
      </c>
      <c r="AX9" s="8">
        <v>383.84500000000003</v>
      </c>
      <c r="AY9" s="5">
        <f t="shared" si="8"/>
        <v>83.55354810622552</v>
      </c>
      <c r="AZ9" s="5">
        <v>100</v>
      </c>
      <c r="BA9" s="9">
        <v>2690.59</v>
      </c>
      <c r="BB9" s="67">
        <v>694.4</v>
      </c>
      <c r="BC9" s="8">
        <v>595.23299999999995</v>
      </c>
      <c r="BD9" s="5">
        <f t="shared" si="9"/>
        <v>85.719038018433181</v>
      </c>
      <c r="BE9" s="5">
        <v>100</v>
      </c>
      <c r="BF9" s="9">
        <v>3600.47</v>
      </c>
    </row>
    <row r="10" spans="1:59" x14ac:dyDescent="0.2">
      <c r="A10" s="27" t="s">
        <v>28</v>
      </c>
      <c r="B10" s="66">
        <v>227.8</v>
      </c>
      <c r="C10" s="69">
        <v>116.65600000000001</v>
      </c>
      <c r="D10" s="68">
        <f>C10/B10*100</f>
        <v>51.209833187006147</v>
      </c>
      <c r="E10" s="69">
        <v>63</v>
      </c>
      <c r="F10" s="66">
        <v>448.1</v>
      </c>
      <c r="G10" s="4">
        <v>0</v>
      </c>
      <c r="H10" s="5">
        <f t="shared" si="0"/>
        <v>0</v>
      </c>
      <c r="I10" s="15">
        <v>0</v>
      </c>
      <c r="J10" s="67">
        <v>685.2</v>
      </c>
      <c r="K10" s="4">
        <v>0</v>
      </c>
      <c r="L10" s="5">
        <f t="shared" si="1"/>
        <v>0</v>
      </c>
      <c r="M10" s="15">
        <v>0</v>
      </c>
      <c r="O10" s="66">
        <v>227.8</v>
      </c>
      <c r="P10" s="69">
        <v>137.84</v>
      </c>
      <c r="Q10" s="5">
        <f t="shared" si="10"/>
        <v>60.509218612818259</v>
      </c>
      <c r="R10" s="9">
        <v>86</v>
      </c>
      <c r="S10" s="66">
        <v>448.1</v>
      </c>
      <c r="T10" s="4">
        <v>0</v>
      </c>
      <c r="U10" s="5">
        <f t="shared" si="2"/>
        <v>0</v>
      </c>
      <c r="V10" s="15">
        <v>0</v>
      </c>
      <c r="W10" s="67">
        <v>685.2</v>
      </c>
      <c r="X10" s="4">
        <v>0</v>
      </c>
      <c r="Y10" s="5">
        <f t="shared" si="3"/>
        <v>0</v>
      </c>
      <c r="Z10" s="15">
        <v>0</v>
      </c>
      <c r="AB10" s="66">
        <v>227.8</v>
      </c>
      <c r="AC10" s="8">
        <v>188.24199999999999</v>
      </c>
      <c r="AD10" s="5">
        <f t="shared" si="4"/>
        <v>82.634767339771713</v>
      </c>
      <c r="AE10" s="9">
        <v>100</v>
      </c>
      <c r="AF10" s="9">
        <v>2880.05</v>
      </c>
      <c r="AG10" s="66">
        <v>448.1</v>
      </c>
      <c r="AH10" s="22">
        <v>322.96100000000001</v>
      </c>
      <c r="AI10" s="5">
        <f t="shared" si="5"/>
        <v>72.073421111359067</v>
      </c>
      <c r="AJ10" s="9">
        <v>88</v>
      </c>
      <c r="AK10" s="9">
        <v>2756.74</v>
      </c>
      <c r="AL10" s="67">
        <v>685.2</v>
      </c>
      <c r="AM10" s="8">
        <v>433.56400000000002</v>
      </c>
      <c r="AN10" s="5">
        <f t="shared" si="6"/>
        <v>63.275539988324581</v>
      </c>
      <c r="AO10" s="9">
        <v>65.666666666666671</v>
      </c>
      <c r="AP10" s="9">
        <v>2738.39</v>
      </c>
      <c r="AR10" s="66">
        <v>227.8</v>
      </c>
      <c r="AS10" s="8">
        <v>185.96899999999999</v>
      </c>
      <c r="AT10" s="5">
        <f t="shared" si="7"/>
        <v>81.6369622475856</v>
      </c>
      <c r="AU10" s="9">
        <v>100</v>
      </c>
      <c r="AV10" s="9">
        <v>2646.1</v>
      </c>
      <c r="AW10" s="66">
        <v>448.1</v>
      </c>
      <c r="AX10" s="4">
        <v>374.27300000000002</v>
      </c>
      <c r="AY10" s="5">
        <f t="shared" si="8"/>
        <v>83.524436509707655</v>
      </c>
      <c r="AZ10" s="5">
        <v>100</v>
      </c>
      <c r="BA10" s="9">
        <v>3539.85</v>
      </c>
      <c r="BB10" s="67">
        <v>685.2</v>
      </c>
      <c r="BC10" s="4">
        <v>572.78700000000003</v>
      </c>
      <c r="BD10" s="5">
        <f t="shared" si="9"/>
        <v>83.594133099824859</v>
      </c>
      <c r="BE10" s="5">
        <v>100</v>
      </c>
      <c r="BF10" s="9">
        <v>2656.7</v>
      </c>
    </row>
    <row r="11" spans="1:59" x14ac:dyDescent="0.2">
      <c r="A11" s="28" t="s">
        <v>29</v>
      </c>
      <c r="B11" s="66">
        <v>229.2</v>
      </c>
      <c r="C11" s="69">
        <v>0</v>
      </c>
      <c r="D11" s="68">
        <f>C11/B11*100</f>
        <v>0</v>
      </c>
      <c r="E11" s="69">
        <v>0</v>
      </c>
      <c r="F11" s="66">
        <v>435</v>
      </c>
      <c r="G11" s="4">
        <v>0</v>
      </c>
      <c r="H11" s="5">
        <f t="shared" si="0"/>
        <v>0</v>
      </c>
      <c r="I11" s="15">
        <v>0</v>
      </c>
      <c r="J11" s="67">
        <v>647.1</v>
      </c>
      <c r="K11" s="4">
        <v>0</v>
      </c>
      <c r="L11" s="5">
        <f t="shared" si="1"/>
        <v>0</v>
      </c>
      <c r="M11" s="15">
        <v>0</v>
      </c>
      <c r="O11" s="66">
        <v>229.2</v>
      </c>
      <c r="P11" s="69">
        <v>125.51600000000001</v>
      </c>
      <c r="Q11" s="5">
        <f t="shared" si="10"/>
        <v>54.762652705061086</v>
      </c>
      <c r="R11" s="9">
        <v>80</v>
      </c>
      <c r="S11" s="66">
        <v>435</v>
      </c>
      <c r="T11" s="4">
        <v>0</v>
      </c>
      <c r="U11" s="5">
        <f t="shared" si="2"/>
        <v>0</v>
      </c>
      <c r="V11" s="15">
        <v>0</v>
      </c>
      <c r="W11" s="67">
        <v>647.1</v>
      </c>
      <c r="X11" s="4">
        <v>0</v>
      </c>
      <c r="Y11" s="5">
        <f t="shared" si="3"/>
        <v>0</v>
      </c>
      <c r="Z11" s="15">
        <v>0</v>
      </c>
      <c r="AB11" s="66">
        <v>229.2</v>
      </c>
      <c r="AC11" s="8">
        <v>170.989</v>
      </c>
      <c r="AD11" s="5">
        <f t="shared" si="4"/>
        <v>74.602530541012229</v>
      </c>
      <c r="AE11" s="9">
        <v>91</v>
      </c>
      <c r="AF11" s="9">
        <v>3600</v>
      </c>
      <c r="AG11" s="66">
        <v>435</v>
      </c>
      <c r="AH11" s="22">
        <v>296.14100000000002</v>
      </c>
      <c r="AI11" s="5">
        <f t="shared" si="5"/>
        <v>68.078390804597717</v>
      </c>
      <c r="AJ11" s="9">
        <v>81.5</v>
      </c>
      <c r="AK11" s="9">
        <v>2896.58</v>
      </c>
      <c r="AL11" s="67">
        <v>647.1</v>
      </c>
      <c r="AM11" s="8">
        <v>398.40800000000002</v>
      </c>
      <c r="AN11" s="5">
        <f t="shared" si="6"/>
        <v>61.568227476433314</v>
      </c>
      <c r="AO11" s="9">
        <v>69</v>
      </c>
      <c r="AP11" s="9">
        <v>2508.9299999999998</v>
      </c>
      <c r="AR11" s="66">
        <v>229.2</v>
      </c>
      <c r="AS11" s="8">
        <v>171.57599999999999</v>
      </c>
      <c r="AT11" s="5">
        <f t="shared" si="7"/>
        <v>74.858638743455501</v>
      </c>
      <c r="AU11" s="9">
        <v>95</v>
      </c>
      <c r="AV11" s="9">
        <v>3663.33</v>
      </c>
      <c r="AW11" s="66">
        <v>435</v>
      </c>
      <c r="AX11" s="8">
        <v>337.77600000000001</v>
      </c>
      <c r="AY11" s="5">
        <f t="shared" si="8"/>
        <v>77.649655172413802</v>
      </c>
      <c r="AZ11" s="5">
        <v>99.5</v>
      </c>
      <c r="BA11" s="9">
        <v>3601.37</v>
      </c>
      <c r="BB11" s="67">
        <v>647.1</v>
      </c>
      <c r="BC11" s="8">
        <v>517.05499999999995</v>
      </c>
      <c r="BD11" s="5">
        <f t="shared" si="9"/>
        <v>79.903415237212172</v>
      </c>
      <c r="BE11" s="5">
        <v>100</v>
      </c>
      <c r="BF11" s="9">
        <v>3600.51</v>
      </c>
    </row>
    <row r="12" spans="1:59" x14ac:dyDescent="0.2">
      <c r="A12" s="27" t="s">
        <v>30</v>
      </c>
      <c r="B12" s="66">
        <v>237.3</v>
      </c>
      <c r="C12" s="69">
        <v>98.443700000000007</v>
      </c>
      <c r="D12" s="68">
        <f>C12/B12*100</f>
        <v>41.484913611462289</v>
      </c>
      <c r="E12" s="69">
        <v>58</v>
      </c>
      <c r="F12" s="66">
        <v>463.2</v>
      </c>
      <c r="G12" s="4">
        <v>0</v>
      </c>
      <c r="H12" s="5">
        <f t="shared" si="0"/>
        <v>0</v>
      </c>
      <c r="I12" s="15">
        <v>0</v>
      </c>
      <c r="J12" s="67">
        <v>680.9</v>
      </c>
      <c r="K12" s="4">
        <v>0</v>
      </c>
      <c r="L12" s="5">
        <f t="shared" si="1"/>
        <v>0</v>
      </c>
      <c r="M12" s="15">
        <v>0</v>
      </c>
      <c r="O12" s="66">
        <v>237.3</v>
      </c>
      <c r="P12" s="69">
        <v>40.293999999999997</v>
      </c>
      <c r="Q12" s="5">
        <f t="shared" si="10"/>
        <v>16.980193847450483</v>
      </c>
      <c r="R12" s="9">
        <v>41</v>
      </c>
      <c r="S12" s="66">
        <v>463.2</v>
      </c>
      <c r="T12" s="4">
        <v>0</v>
      </c>
      <c r="U12" s="5">
        <f t="shared" si="2"/>
        <v>0</v>
      </c>
      <c r="V12" s="15">
        <v>0</v>
      </c>
      <c r="W12" s="67">
        <v>680.9</v>
      </c>
      <c r="X12" s="4">
        <v>0</v>
      </c>
      <c r="Y12" s="5">
        <f t="shared" si="3"/>
        <v>0</v>
      </c>
      <c r="Z12" s="15">
        <v>0</v>
      </c>
      <c r="AB12" s="66">
        <v>237.3</v>
      </c>
      <c r="AC12" s="8">
        <v>177.44300000000001</v>
      </c>
      <c r="AD12" s="5">
        <f t="shared" si="4"/>
        <v>74.775811209439524</v>
      </c>
      <c r="AE12" s="9">
        <v>96</v>
      </c>
      <c r="AF12" s="9">
        <v>3038.43</v>
      </c>
      <c r="AG12" s="66">
        <v>463.2</v>
      </c>
      <c r="AH12" s="22">
        <v>323.90499999999997</v>
      </c>
      <c r="AI12" s="5">
        <f t="shared" si="5"/>
        <v>69.927677029360964</v>
      </c>
      <c r="AJ12" s="9">
        <v>82</v>
      </c>
      <c r="AK12" s="9">
        <v>2903.43</v>
      </c>
      <c r="AL12" s="67">
        <v>680.9</v>
      </c>
      <c r="AM12" s="8">
        <v>414.28300000000002</v>
      </c>
      <c r="AN12" s="5">
        <f t="shared" si="6"/>
        <v>60.843442502570134</v>
      </c>
      <c r="AO12" s="9">
        <v>64.666666666666671</v>
      </c>
      <c r="AP12" s="9">
        <v>2278.66</v>
      </c>
      <c r="AR12" s="66">
        <v>237.3</v>
      </c>
      <c r="AS12" s="8">
        <v>182.99600000000001</v>
      </c>
      <c r="AT12" s="5">
        <f t="shared" si="7"/>
        <v>77.115887062789724</v>
      </c>
      <c r="AU12" s="9">
        <v>99</v>
      </c>
      <c r="AV12" s="9">
        <v>3199.78</v>
      </c>
      <c r="AW12" s="66">
        <v>463.2</v>
      </c>
      <c r="AX12" s="4">
        <v>367.697</v>
      </c>
      <c r="AY12" s="5">
        <f t="shared" si="8"/>
        <v>79.381908462867017</v>
      </c>
      <c r="AZ12" s="5">
        <v>100</v>
      </c>
      <c r="BA12" s="9">
        <v>3600.75</v>
      </c>
      <c r="BB12" s="67">
        <v>680.9</v>
      </c>
      <c r="BC12" s="4">
        <v>569.79100000000005</v>
      </c>
      <c r="BD12" s="5">
        <f t="shared" si="9"/>
        <v>83.682038478484372</v>
      </c>
      <c r="BE12" s="5">
        <v>99.333333333333329</v>
      </c>
      <c r="BF12" s="9">
        <v>3601.74</v>
      </c>
    </row>
    <row r="13" spans="1:59" x14ac:dyDescent="0.2">
      <c r="A13" s="28" t="s">
        <v>31</v>
      </c>
      <c r="B13" s="66">
        <v>214.6</v>
      </c>
      <c r="C13" s="69">
        <v>100.494</v>
      </c>
      <c r="D13" s="68">
        <f>C13/B13*100</f>
        <v>46.828518173345763</v>
      </c>
      <c r="E13" s="69">
        <v>57</v>
      </c>
      <c r="F13" s="66">
        <v>434.8</v>
      </c>
      <c r="G13" s="4">
        <v>0</v>
      </c>
      <c r="H13" s="5">
        <f t="shared" si="0"/>
        <v>0</v>
      </c>
      <c r="I13" s="15">
        <v>0</v>
      </c>
      <c r="J13" s="67">
        <v>655.4</v>
      </c>
      <c r="K13" s="4">
        <v>0</v>
      </c>
      <c r="L13" s="5">
        <f t="shared" si="1"/>
        <v>0</v>
      </c>
      <c r="M13" s="15">
        <v>0</v>
      </c>
      <c r="O13" s="66">
        <v>214.6</v>
      </c>
      <c r="P13" s="69">
        <v>137.27000000000001</v>
      </c>
      <c r="Q13" s="5">
        <f t="shared" si="10"/>
        <v>63.965517241379324</v>
      </c>
      <c r="R13" s="9">
        <v>93</v>
      </c>
      <c r="S13" s="66">
        <v>434.8</v>
      </c>
      <c r="T13" s="4">
        <v>0</v>
      </c>
      <c r="U13" s="5">
        <f t="shared" si="2"/>
        <v>0</v>
      </c>
      <c r="V13" s="15">
        <v>0</v>
      </c>
      <c r="W13" s="67">
        <v>655.4</v>
      </c>
      <c r="X13" s="4">
        <v>0</v>
      </c>
      <c r="Y13" s="5">
        <f t="shared" si="3"/>
        <v>0</v>
      </c>
      <c r="Z13" s="15">
        <v>0</v>
      </c>
      <c r="AB13" s="66">
        <v>214.6</v>
      </c>
      <c r="AC13" s="8">
        <v>174.43600000000001</v>
      </c>
      <c r="AD13" s="5">
        <f t="shared" si="4"/>
        <v>81.284249767008404</v>
      </c>
      <c r="AE13" s="9">
        <v>99</v>
      </c>
      <c r="AF13" s="9">
        <v>2886.02</v>
      </c>
      <c r="AG13" s="66">
        <v>434.8</v>
      </c>
      <c r="AH13" s="22">
        <v>317.30799999999999</v>
      </c>
      <c r="AI13" s="5">
        <f t="shared" si="5"/>
        <v>72.977920883164671</v>
      </c>
      <c r="AJ13" s="9">
        <v>89.5</v>
      </c>
      <c r="AK13" s="9">
        <v>2670.68</v>
      </c>
      <c r="AL13" s="67">
        <v>655.4</v>
      </c>
      <c r="AM13" s="8">
        <v>415.827</v>
      </c>
      <c r="AN13" s="5">
        <f t="shared" si="6"/>
        <v>63.446292340555388</v>
      </c>
      <c r="AO13" s="9">
        <v>67.666666666666671</v>
      </c>
      <c r="AP13" s="9">
        <v>2324.54</v>
      </c>
      <c r="AR13" s="66">
        <v>214.6</v>
      </c>
      <c r="AS13" s="8">
        <v>174.93299999999999</v>
      </c>
      <c r="AT13" s="5">
        <f t="shared" si="7"/>
        <v>81.515843429636533</v>
      </c>
      <c r="AU13" s="9">
        <v>99</v>
      </c>
      <c r="AV13" s="9">
        <v>2585.89</v>
      </c>
      <c r="AW13" s="66">
        <v>434.8</v>
      </c>
      <c r="AX13" s="8">
        <v>353.19600000000003</v>
      </c>
      <c r="AY13" s="5">
        <f t="shared" si="8"/>
        <v>81.231830726770937</v>
      </c>
      <c r="AZ13" s="5">
        <v>100</v>
      </c>
      <c r="BA13" s="9">
        <v>3600.64</v>
      </c>
      <c r="BB13" s="67">
        <v>655.4</v>
      </c>
      <c r="BC13" s="8">
        <v>538.20000000000005</v>
      </c>
      <c r="BD13" s="5">
        <f t="shared" si="9"/>
        <v>82.117790662191041</v>
      </c>
      <c r="BE13" s="5">
        <v>100</v>
      </c>
      <c r="BF13" s="9">
        <v>3600.68</v>
      </c>
    </row>
    <row r="14" spans="1:59" x14ac:dyDescent="0.2">
      <c r="A14" s="10" t="s">
        <v>14</v>
      </c>
      <c r="B14" s="10"/>
      <c r="C14" s="33"/>
      <c r="D14" s="32">
        <f>AVERAGE(D4,D5,D6,D7,D8:D13)</f>
        <v>26.332507054332392</v>
      </c>
      <c r="E14" s="29">
        <f>AVERAGE(E4,E5,E6,E7,E8:E13)</f>
        <v>34.700000000000003</v>
      </c>
      <c r="F14" s="34"/>
      <c r="G14" s="33"/>
      <c r="H14" s="32">
        <f>AVERAGE(H4,H5,H6,H7,H8:H13)</f>
        <v>0</v>
      </c>
      <c r="I14" s="29">
        <f>AVERAGE(I4,I5,I6,I7,I8:I13)</f>
        <v>0</v>
      </c>
      <c r="J14" s="34"/>
      <c r="K14" s="33"/>
      <c r="L14" s="32">
        <f>AVERAGE(L4,L5,L6,L7,L8:L13)</f>
        <v>0</v>
      </c>
      <c r="M14" s="35">
        <f>AVERAGE(M4,M5,M6,M7,M8:M13)</f>
        <v>0</v>
      </c>
      <c r="O14" s="10"/>
      <c r="P14" s="33"/>
      <c r="Q14" s="32">
        <f>AVERAGE(Q4,Q5,Q6,Q7,Q8:Q13)</f>
        <v>52.013196267525622</v>
      </c>
      <c r="R14" s="29">
        <f>AVERAGE(R4,R5,R6,R7,R8:R13)</f>
        <v>78</v>
      </c>
      <c r="S14" s="34"/>
      <c r="T14" s="33"/>
      <c r="U14" s="32">
        <f>AVERAGE(U4,U5,U6,U7,U8:U13)</f>
        <v>0</v>
      </c>
      <c r="V14" s="29">
        <f>AVERAGE(V4,V5,V6,V7,V8:V13)</f>
        <v>0</v>
      </c>
      <c r="W14" s="34"/>
      <c r="X14" s="33"/>
      <c r="Y14" s="32">
        <f>AVERAGE(Y4,Y5,Y6,Y7,Y8:Y13)</f>
        <v>0</v>
      </c>
      <c r="Z14" s="29">
        <f>AVERAGE(Z4,Z5,Z6,Z7,Z8:Z13)</f>
        <v>0</v>
      </c>
      <c r="AB14" s="10"/>
      <c r="AC14" s="33"/>
      <c r="AD14" s="32">
        <f>AVERAGE(AD4,AD5,AD6,AD7,AD8:AD13)</f>
        <v>77.709653716398705</v>
      </c>
      <c r="AE14" s="29">
        <f>AVERAGE(AE4,AE5,AE6,AE7,AE8:AE13)</f>
        <v>96.2</v>
      </c>
      <c r="AF14" s="29">
        <f>AVERAGE(AF4,AF5,AF6,AF7,AF8:AF13)</f>
        <v>3186.779</v>
      </c>
      <c r="AG14" s="34"/>
      <c r="AH14" s="33"/>
      <c r="AI14" s="32">
        <f>AVERAGE(AI4,AI5,AI6,AI7,AI8:AI13)</f>
        <v>71.11449491102681</v>
      </c>
      <c r="AJ14" s="29">
        <f>AVERAGE(AJ4,AJ5,AJ6,AJ7,AJ8:AJ13)</f>
        <v>84.95</v>
      </c>
      <c r="AK14" s="29">
        <f>AVERAGE(AK4,AK5,AK6,AK7,AK8:AK13)</f>
        <v>2857.2730000000001</v>
      </c>
      <c r="AL14" s="34"/>
      <c r="AM14" s="33"/>
      <c r="AN14" s="32">
        <f>AVERAGE(AN4,AN5,AN6,AN7,AN8:AN13)</f>
        <v>63.18473085087841</v>
      </c>
      <c r="AO14" s="29">
        <f>AVERAGE(AO4,AO5,AO6,AO7,AO8:AO13)</f>
        <v>68.033333333333331</v>
      </c>
      <c r="AP14" s="29">
        <f>AVERAGE(AP4,AP5,AP6,AP7,AP8:AP13)</f>
        <v>2672.4740000000002</v>
      </c>
      <c r="AR14" s="10"/>
      <c r="AS14" s="33"/>
      <c r="AT14" s="32">
        <f>AVERAGE(AT4,AT5,AT6,AT7,AT8:AT13)</f>
        <v>78.533041824371622</v>
      </c>
      <c r="AU14" s="29">
        <f>AVERAGE(AU4,AU5,AU6,AU7,AU8:AU13)</f>
        <v>98.1</v>
      </c>
      <c r="AV14" s="29">
        <f>AVERAGE(AV4,AV5,AV6,AV7,AV8:AV13)</f>
        <v>3153.0019999999995</v>
      </c>
      <c r="AW14" s="34"/>
      <c r="AX14" s="33"/>
      <c r="AY14" s="32">
        <f>AVERAGE(AY4,AY5,AY6,AY7,AY8:AY13)</f>
        <v>80.834670332796335</v>
      </c>
      <c r="AZ14" s="29">
        <f>AVERAGE(AZ4,AZ5,AZ6,AZ7,AZ8:AZ13)</f>
        <v>99.95</v>
      </c>
      <c r="BA14" s="29">
        <f>AVERAGE(BA4,BA5,BA6,BA7,BA8:BA13)</f>
        <v>3475.9369999999994</v>
      </c>
      <c r="BB14" s="34"/>
      <c r="BC14" s="33"/>
      <c r="BD14" s="32">
        <f>AVERAGE(BD4,BD5,BD6,BD7,BD8:BD13)</f>
        <v>82.469355553649052</v>
      </c>
      <c r="BE14" s="29">
        <f>AVERAGE(BE4,BE5,BE6,BE7,BE8:BE13)</f>
        <v>99.9</v>
      </c>
      <c r="BF14" s="29">
        <f>AVERAGE(BF4,BF5,BF6,BF7,BF8:BF13)</f>
        <v>3509.2339999999995</v>
      </c>
    </row>
    <row r="15" spans="1:59" x14ac:dyDescent="0.2">
      <c r="A15" s="59" t="s">
        <v>20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0"/>
      <c r="O15" s="61" t="s">
        <v>43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B15" s="62" t="s">
        <v>44</v>
      </c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4"/>
      <c r="AR15" s="62" t="s">
        <v>45</v>
      </c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4"/>
    </row>
    <row r="16" spans="1:59" x14ac:dyDescent="0.2">
      <c r="A16" s="52" t="s">
        <v>19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O16" s="49" t="s">
        <v>19</v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  <c r="AB16" s="52" t="s">
        <v>19</v>
      </c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R16" s="52" t="s">
        <v>19</v>
      </c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</row>
    <row r="17" spans="1:58" x14ac:dyDescent="0.2">
      <c r="A17" s="65" t="s">
        <v>0</v>
      </c>
      <c r="B17" s="65" t="s">
        <v>42</v>
      </c>
      <c r="C17" s="58" t="s">
        <v>49</v>
      </c>
      <c r="D17" s="58"/>
      <c r="E17" s="58"/>
      <c r="F17" s="65" t="s">
        <v>42</v>
      </c>
      <c r="G17" s="58" t="s">
        <v>50</v>
      </c>
      <c r="H17" s="58"/>
      <c r="I17" s="58"/>
      <c r="J17" s="65" t="s">
        <v>42</v>
      </c>
      <c r="K17" s="58" t="s">
        <v>51</v>
      </c>
      <c r="L17" s="58"/>
      <c r="M17" s="58"/>
      <c r="O17" s="65" t="s">
        <v>42</v>
      </c>
      <c r="P17" s="58" t="s">
        <v>15</v>
      </c>
      <c r="Q17" s="58"/>
      <c r="R17" s="58"/>
      <c r="S17" s="65" t="s">
        <v>42</v>
      </c>
      <c r="T17" s="58" t="s">
        <v>16</v>
      </c>
      <c r="U17" s="58"/>
      <c r="V17" s="58"/>
      <c r="W17" s="65" t="s">
        <v>42</v>
      </c>
      <c r="X17" s="58" t="s">
        <v>17</v>
      </c>
      <c r="Y17" s="58"/>
      <c r="Z17" s="58"/>
      <c r="AB17" s="65" t="s">
        <v>42</v>
      </c>
      <c r="AC17" s="58" t="s">
        <v>49</v>
      </c>
      <c r="AD17" s="58"/>
      <c r="AE17" s="58"/>
      <c r="AF17" s="58"/>
      <c r="AG17" s="65" t="s">
        <v>42</v>
      </c>
      <c r="AH17" s="58" t="s">
        <v>50</v>
      </c>
      <c r="AI17" s="58"/>
      <c r="AJ17" s="58"/>
      <c r="AK17" s="58"/>
      <c r="AL17" s="65" t="s">
        <v>42</v>
      </c>
      <c r="AM17" s="58" t="s">
        <v>51</v>
      </c>
      <c r="AN17" s="58"/>
      <c r="AO17" s="58"/>
      <c r="AP17" s="58"/>
      <c r="AR17" s="65" t="s">
        <v>42</v>
      </c>
      <c r="AS17" s="55" t="s">
        <v>49</v>
      </c>
      <c r="AT17" s="56"/>
      <c r="AU17" s="56"/>
      <c r="AV17" s="57"/>
      <c r="AW17" s="65" t="s">
        <v>42</v>
      </c>
      <c r="AX17" s="55" t="s">
        <v>50</v>
      </c>
      <c r="AY17" s="56"/>
      <c r="AZ17" s="56"/>
      <c r="BA17" s="57"/>
      <c r="BB17" s="65" t="s">
        <v>42</v>
      </c>
      <c r="BC17" s="55" t="s">
        <v>51</v>
      </c>
      <c r="BD17" s="56"/>
      <c r="BE17" s="56"/>
      <c r="BF17" s="57"/>
    </row>
    <row r="18" spans="1:58" x14ac:dyDescent="0.2">
      <c r="A18" s="65"/>
      <c r="B18" s="65"/>
      <c r="C18" s="1" t="s">
        <v>1</v>
      </c>
      <c r="D18" s="2" t="s">
        <v>2</v>
      </c>
      <c r="E18" s="13" t="s">
        <v>3</v>
      </c>
      <c r="F18" s="65"/>
      <c r="G18" s="1" t="s">
        <v>1</v>
      </c>
      <c r="H18" s="2" t="s">
        <v>2</v>
      </c>
      <c r="I18" s="13" t="s">
        <v>3</v>
      </c>
      <c r="J18" s="65"/>
      <c r="K18" s="13" t="s">
        <v>1</v>
      </c>
      <c r="L18" s="2" t="s">
        <v>2</v>
      </c>
      <c r="M18" s="16" t="s">
        <v>3</v>
      </c>
      <c r="O18" s="65"/>
      <c r="P18" s="1" t="s">
        <v>1</v>
      </c>
      <c r="Q18" s="2" t="s">
        <v>2</v>
      </c>
      <c r="R18" s="13" t="s">
        <v>3</v>
      </c>
      <c r="S18" s="65"/>
      <c r="T18" s="1" t="s">
        <v>1</v>
      </c>
      <c r="U18" s="2" t="s">
        <v>2</v>
      </c>
      <c r="V18" s="13" t="s">
        <v>3</v>
      </c>
      <c r="W18" s="65"/>
      <c r="X18" s="13" t="s">
        <v>1</v>
      </c>
      <c r="Y18" s="2" t="s">
        <v>2</v>
      </c>
      <c r="Z18" s="13" t="s">
        <v>3</v>
      </c>
      <c r="AB18" s="65"/>
      <c r="AC18" s="1" t="s">
        <v>1</v>
      </c>
      <c r="AD18" s="2" t="s">
        <v>2</v>
      </c>
      <c r="AE18" s="13" t="s">
        <v>3</v>
      </c>
      <c r="AF18" s="13" t="s">
        <v>21</v>
      </c>
      <c r="AG18" s="65"/>
      <c r="AH18" s="1" t="s">
        <v>1</v>
      </c>
      <c r="AI18" s="2" t="s">
        <v>2</v>
      </c>
      <c r="AJ18" s="13" t="s">
        <v>3</v>
      </c>
      <c r="AK18" s="13" t="s">
        <v>21</v>
      </c>
      <c r="AL18" s="65"/>
      <c r="AM18" s="13" t="s">
        <v>1</v>
      </c>
      <c r="AN18" s="2" t="s">
        <v>2</v>
      </c>
      <c r="AO18" s="13" t="s">
        <v>3</v>
      </c>
      <c r="AP18" s="13" t="s">
        <v>21</v>
      </c>
      <c r="AR18" s="65"/>
      <c r="AS18" s="1" t="s">
        <v>1</v>
      </c>
      <c r="AT18" s="2" t="s">
        <v>2</v>
      </c>
      <c r="AU18" s="13" t="s">
        <v>3</v>
      </c>
      <c r="AV18" s="13" t="s">
        <v>21</v>
      </c>
      <c r="AW18" s="65"/>
      <c r="AX18" s="1" t="s">
        <v>1</v>
      </c>
      <c r="AY18" s="2" t="s">
        <v>2</v>
      </c>
      <c r="AZ18" s="13" t="s">
        <v>3</v>
      </c>
      <c r="BA18" s="13" t="s">
        <v>21</v>
      </c>
      <c r="BB18" s="65"/>
      <c r="BC18" s="13" t="s">
        <v>1</v>
      </c>
      <c r="BD18" s="2" t="s">
        <v>2</v>
      </c>
      <c r="BE18" s="13" t="s">
        <v>3</v>
      </c>
      <c r="BF18" s="13" t="s">
        <v>21</v>
      </c>
    </row>
    <row r="19" spans="1:58" x14ac:dyDescent="0.2">
      <c r="A19" s="27" t="s">
        <v>22</v>
      </c>
      <c r="B19" s="26">
        <v>210.2</v>
      </c>
      <c r="C19" s="68">
        <v>97.677000000000007</v>
      </c>
      <c r="D19" s="5">
        <f>C19/B19*100</f>
        <v>46.468601332064708</v>
      </c>
      <c r="E19" s="5">
        <v>82</v>
      </c>
      <c r="F19" s="26">
        <v>433.2</v>
      </c>
      <c r="G19" s="4">
        <v>0</v>
      </c>
      <c r="H19" s="5">
        <f>G19/F19*100</f>
        <v>0</v>
      </c>
      <c r="I19" s="5">
        <v>0</v>
      </c>
      <c r="J19" s="26">
        <v>651.70000000000005</v>
      </c>
      <c r="K19" s="4">
        <v>0</v>
      </c>
      <c r="L19" s="5">
        <f>K19/J19*100</f>
        <v>0</v>
      </c>
      <c r="M19" s="15">
        <v>0</v>
      </c>
      <c r="O19" s="26">
        <v>210.2</v>
      </c>
      <c r="P19" s="68">
        <v>79.955399999999997</v>
      </c>
      <c r="Q19" s="5">
        <f>P19/O19*100</f>
        <v>38.037773549000953</v>
      </c>
      <c r="R19" s="5">
        <v>84</v>
      </c>
      <c r="S19" s="26">
        <v>433.2</v>
      </c>
      <c r="T19" s="68">
        <v>1.3107</v>
      </c>
      <c r="U19" s="5">
        <f>T19/S19*100</f>
        <v>0.30256232686980611</v>
      </c>
      <c r="V19" s="5">
        <v>0.5</v>
      </c>
      <c r="W19" s="26">
        <v>651.70000000000005</v>
      </c>
      <c r="X19" s="4">
        <v>0</v>
      </c>
      <c r="Y19" s="5">
        <f>X19/W19*100</f>
        <v>0</v>
      </c>
      <c r="Z19" s="15">
        <v>0</v>
      </c>
      <c r="AB19" s="26">
        <v>210.2</v>
      </c>
      <c r="AC19" s="4">
        <v>128.32300000000001</v>
      </c>
      <c r="AD19" s="5">
        <f>AC19/AB19*100</f>
        <v>61.048049476688874</v>
      </c>
      <c r="AE19" s="5">
        <v>97</v>
      </c>
      <c r="AF19" s="5">
        <v>2644.01</v>
      </c>
      <c r="AG19" s="26">
        <v>433.2</v>
      </c>
      <c r="AH19" s="21">
        <v>270.17599999999999</v>
      </c>
      <c r="AI19" s="5">
        <f>AH19/AG19*100</f>
        <v>62.367497691597421</v>
      </c>
      <c r="AJ19" s="23">
        <v>98</v>
      </c>
      <c r="AK19" s="9">
        <v>3600</v>
      </c>
      <c r="AL19" s="26">
        <v>651.70000000000005</v>
      </c>
      <c r="AM19" s="4">
        <v>374.322</v>
      </c>
      <c r="AN19" s="5">
        <f>AM19/AL19*100</f>
        <v>57.437778118766303</v>
      </c>
      <c r="AO19" s="5">
        <f>253/3</f>
        <v>84.333333333333329</v>
      </c>
      <c r="AP19" s="5">
        <v>3600</v>
      </c>
      <c r="AR19" s="26">
        <v>210.2</v>
      </c>
      <c r="AS19" s="4">
        <v>128.32300000000001</v>
      </c>
      <c r="AT19" s="5">
        <f>AS19/AR19*100</f>
        <v>61.048049476688874</v>
      </c>
      <c r="AU19" s="5">
        <f>AE19</f>
        <v>97</v>
      </c>
      <c r="AV19" s="5">
        <f>AF19</f>
        <v>2644.01</v>
      </c>
      <c r="AW19" s="26">
        <v>433.2</v>
      </c>
      <c r="AX19" s="4">
        <v>271.98399999999998</v>
      </c>
      <c r="AY19" s="5">
        <f>AX19/AW19*100</f>
        <v>62.784856879039694</v>
      </c>
      <c r="AZ19" s="5">
        <v>99.5</v>
      </c>
      <c r="BA19" s="5">
        <v>2955.97</v>
      </c>
      <c r="BB19" s="26">
        <v>651.70000000000005</v>
      </c>
      <c r="BC19" s="4">
        <v>411.42899999999997</v>
      </c>
      <c r="BD19" s="5">
        <f>BC19/BB19*100</f>
        <v>63.131655669786703</v>
      </c>
      <c r="BE19" s="5">
        <v>100</v>
      </c>
      <c r="BF19" s="5">
        <v>2980.36</v>
      </c>
    </row>
    <row r="20" spans="1:58" x14ac:dyDescent="0.2">
      <c r="A20" s="28" t="s">
        <v>23</v>
      </c>
      <c r="B20" s="66">
        <v>231.2</v>
      </c>
      <c r="C20" s="69">
        <v>76.465299999999999</v>
      </c>
      <c r="D20" s="5">
        <f>C20/B20*100</f>
        <v>33.073226643598616</v>
      </c>
      <c r="E20" s="9">
        <v>63</v>
      </c>
      <c r="F20" s="66">
        <v>445.8</v>
      </c>
      <c r="G20" s="8">
        <v>0</v>
      </c>
      <c r="H20" s="5">
        <f t="shared" ref="H20:H28" si="11">G20/F20*100</f>
        <v>0</v>
      </c>
      <c r="I20" s="5">
        <v>0</v>
      </c>
      <c r="J20" s="67">
        <v>660</v>
      </c>
      <c r="K20" s="4">
        <v>0</v>
      </c>
      <c r="L20" s="5">
        <f t="shared" ref="L20:L28" si="12">K20/J20*100</f>
        <v>0</v>
      </c>
      <c r="M20" s="15">
        <v>0</v>
      </c>
      <c r="O20" s="66">
        <v>231.2</v>
      </c>
      <c r="P20" s="69">
        <v>83.543499999999995</v>
      </c>
      <c r="Q20" s="5">
        <f t="shared" ref="Q20:Q28" si="13">P20/O20*100</f>
        <v>36.134731833910031</v>
      </c>
      <c r="R20" s="9">
        <v>84</v>
      </c>
      <c r="S20" s="66">
        <v>445.8</v>
      </c>
      <c r="T20" s="69">
        <v>0</v>
      </c>
      <c r="U20" s="5">
        <f t="shared" ref="U20:U28" si="14">T20/S20*100</f>
        <v>0</v>
      </c>
      <c r="V20" s="5">
        <v>0</v>
      </c>
      <c r="W20" s="67">
        <v>660</v>
      </c>
      <c r="X20" s="4">
        <v>0</v>
      </c>
      <c r="Y20" s="5">
        <f t="shared" ref="Y20:Y28" si="15">X20/W20*100</f>
        <v>0</v>
      </c>
      <c r="Z20" s="15">
        <v>0</v>
      </c>
      <c r="AB20" s="66">
        <v>231.2</v>
      </c>
      <c r="AC20" s="8">
        <v>139.14599999999999</v>
      </c>
      <c r="AD20" s="5">
        <f t="shared" ref="AD20:AD28" si="16">AC20/AB20*100</f>
        <v>60.184256055363313</v>
      </c>
      <c r="AE20" s="9">
        <v>94</v>
      </c>
      <c r="AF20" s="9">
        <v>3172.06</v>
      </c>
      <c r="AG20" s="66">
        <v>445.8</v>
      </c>
      <c r="AH20" s="22">
        <v>275.33300000000003</v>
      </c>
      <c r="AI20" s="5">
        <f t="shared" ref="AI20:AI28" si="17">AH20/AG20*100</f>
        <v>61.761552265589955</v>
      </c>
      <c r="AJ20" s="24">
        <v>88.5</v>
      </c>
      <c r="AK20" s="24">
        <v>3600</v>
      </c>
      <c r="AL20" s="67">
        <v>660</v>
      </c>
      <c r="AM20" s="8">
        <v>392.28</v>
      </c>
      <c r="AN20" s="5">
        <f t="shared" ref="AN20:AN28" si="18">AM20/AL20*100</f>
        <v>59.43636363636363</v>
      </c>
      <c r="AO20" s="9">
        <f>265/300*100</f>
        <v>88.333333333333329</v>
      </c>
      <c r="AP20" s="9">
        <v>3455.32</v>
      </c>
      <c r="AR20" s="66">
        <v>231.2</v>
      </c>
      <c r="AS20" s="8">
        <v>139.14599999999999</v>
      </c>
      <c r="AT20" s="5">
        <f t="shared" ref="AT20:AT28" si="19">AS20/AR20*100</f>
        <v>60.184256055363313</v>
      </c>
      <c r="AU20" s="5">
        <f t="shared" ref="AU20:AU28" si="20">AE20</f>
        <v>94</v>
      </c>
      <c r="AV20" s="5">
        <f t="shared" ref="AV20:AV28" si="21">AF20</f>
        <v>3172.06</v>
      </c>
      <c r="AW20" s="66">
        <v>445.8</v>
      </c>
      <c r="AX20" s="8">
        <v>260.55700000000002</v>
      </c>
      <c r="AY20" s="5">
        <f t="shared" ref="AY20:AY28" si="22">AX20/AW20*100</f>
        <v>58.44706146253926</v>
      </c>
      <c r="AZ20" s="5">
        <v>98</v>
      </c>
      <c r="BA20" s="9">
        <v>3780.43</v>
      </c>
      <c r="BB20" s="67">
        <v>660</v>
      </c>
      <c r="BC20" s="8">
        <v>398.74799999999999</v>
      </c>
      <c r="BD20" s="5">
        <f t="shared" ref="BD20:BD28" si="23">BC20/BB20*100</f>
        <v>60.416363636363634</v>
      </c>
      <c r="BE20" s="5">
        <v>98.333333333333329</v>
      </c>
      <c r="BF20" s="9">
        <v>3395.32</v>
      </c>
    </row>
    <row r="21" spans="1:58" x14ac:dyDescent="0.2">
      <c r="A21" s="27" t="s">
        <v>24</v>
      </c>
      <c r="B21" s="66">
        <v>209.9</v>
      </c>
      <c r="C21" s="69">
        <v>113.714</v>
      </c>
      <c r="D21" s="5">
        <f>C21/B21*100</f>
        <v>54.175321581705575</v>
      </c>
      <c r="E21" s="9">
        <v>93</v>
      </c>
      <c r="F21" s="66">
        <v>431.7</v>
      </c>
      <c r="G21" s="4">
        <v>0</v>
      </c>
      <c r="H21" s="5">
        <f t="shared" si="11"/>
        <v>0</v>
      </c>
      <c r="I21" s="5">
        <v>0</v>
      </c>
      <c r="J21" s="67">
        <v>637.4</v>
      </c>
      <c r="K21" s="4">
        <v>0</v>
      </c>
      <c r="L21" s="5">
        <f t="shared" si="12"/>
        <v>0</v>
      </c>
      <c r="M21" s="15">
        <v>0</v>
      </c>
      <c r="O21" s="66">
        <v>209.9</v>
      </c>
      <c r="P21" s="69">
        <v>105.66</v>
      </c>
      <c r="Q21" s="5">
        <f t="shared" si="13"/>
        <v>50.338256312529772</v>
      </c>
      <c r="R21" s="9">
        <v>100</v>
      </c>
      <c r="S21" s="66">
        <v>431.7</v>
      </c>
      <c r="T21" s="68">
        <v>5.4038000000000004</v>
      </c>
      <c r="U21" s="5">
        <f t="shared" si="14"/>
        <v>1.2517488996988653</v>
      </c>
      <c r="V21" s="5">
        <v>3.5</v>
      </c>
      <c r="W21" s="67">
        <v>637.4</v>
      </c>
      <c r="X21" s="4">
        <v>0</v>
      </c>
      <c r="Y21" s="5">
        <f t="shared" si="15"/>
        <v>0</v>
      </c>
      <c r="Z21" s="15">
        <v>0</v>
      </c>
      <c r="AB21" s="66">
        <v>209.9</v>
      </c>
      <c r="AC21" s="8">
        <v>130.19200000000001</v>
      </c>
      <c r="AD21" s="5">
        <f t="shared" si="16"/>
        <v>62.025726536445923</v>
      </c>
      <c r="AE21" s="9">
        <v>100</v>
      </c>
      <c r="AF21" s="9">
        <v>2524.64</v>
      </c>
      <c r="AG21" s="66">
        <v>431.7</v>
      </c>
      <c r="AH21" s="22">
        <v>265.82600000000002</v>
      </c>
      <c r="AI21" s="5">
        <f t="shared" si="17"/>
        <v>61.576557794764888</v>
      </c>
      <c r="AJ21" s="24">
        <v>95.5</v>
      </c>
      <c r="AK21" s="24">
        <v>3600</v>
      </c>
      <c r="AL21" s="67">
        <v>637.4</v>
      </c>
      <c r="AM21" s="8">
        <v>396.47300000000001</v>
      </c>
      <c r="AN21" s="5">
        <f t="shared" si="18"/>
        <v>62.201600251019769</v>
      </c>
      <c r="AO21" s="9">
        <f>299/3</f>
        <v>99.666666666666671</v>
      </c>
      <c r="AP21" s="9">
        <v>3600</v>
      </c>
      <c r="AR21" s="66">
        <v>209.9</v>
      </c>
      <c r="AS21" s="8">
        <v>130.19200000000001</v>
      </c>
      <c r="AT21" s="5">
        <f t="shared" si="19"/>
        <v>62.025726536445923</v>
      </c>
      <c r="AU21" s="5">
        <f t="shared" si="20"/>
        <v>100</v>
      </c>
      <c r="AV21" s="5">
        <f t="shared" si="21"/>
        <v>2524.64</v>
      </c>
      <c r="AW21" s="66">
        <v>431.7</v>
      </c>
      <c r="AX21" s="4">
        <v>272.24900000000002</v>
      </c>
      <c r="AY21" s="5">
        <f t="shared" si="22"/>
        <v>63.064396571693315</v>
      </c>
      <c r="AZ21" s="5">
        <v>100</v>
      </c>
      <c r="BA21" s="9">
        <v>2841.34</v>
      </c>
      <c r="BB21" s="67">
        <v>637.4</v>
      </c>
      <c r="BC21" s="4">
        <v>415.06099999999998</v>
      </c>
      <c r="BD21" s="5">
        <f t="shared" si="23"/>
        <v>65.117822403514282</v>
      </c>
      <c r="BE21" s="5">
        <v>100</v>
      </c>
      <c r="BF21" s="9">
        <v>2940.88</v>
      </c>
    </row>
    <row r="22" spans="1:58" x14ac:dyDescent="0.2">
      <c r="A22" s="28" t="s">
        <v>25</v>
      </c>
      <c r="B22" s="66">
        <v>213.9</v>
      </c>
      <c r="C22" s="69">
        <v>91.811899999999994</v>
      </c>
      <c r="D22" s="5">
        <f>C22/B22*100</f>
        <v>42.922814399251983</v>
      </c>
      <c r="E22" s="9">
        <v>71</v>
      </c>
      <c r="F22" s="66">
        <v>439.4</v>
      </c>
      <c r="G22" s="8">
        <v>0</v>
      </c>
      <c r="H22" s="5">
        <f t="shared" si="11"/>
        <v>0</v>
      </c>
      <c r="I22" s="5">
        <v>0</v>
      </c>
      <c r="J22" s="67">
        <v>670.8</v>
      </c>
      <c r="K22" s="4">
        <v>0</v>
      </c>
      <c r="L22" s="5">
        <f t="shared" si="12"/>
        <v>0</v>
      </c>
      <c r="M22" s="15">
        <v>0</v>
      </c>
      <c r="O22" s="66">
        <v>213.9</v>
      </c>
      <c r="P22" s="69">
        <v>96.1678</v>
      </c>
      <c r="Q22" s="5">
        <f t="shared" si="13"/>
        <v>44.95923328658251</v>
      </c>
      <c r="R22" s="9">
        <v>91</v>
      </c>
      <c r="S22" s="66">
        <v>439.4</v>
      </c>
      <c r="T22" s="69">
        <v>0.76600000000000001</v>
      </c>
      <c r="U22" s="5">
        <f t="shared" si="14"/>
        <v>0.17432862994993173</v>
      </c>
      <c r="V22" s="5">
        <v>1</v>
      </c>
      <c r="W22" s="67">
        <v>670.8</v>
      </c>
      <c r="X22" s="4">
        <v>0</v>
      </c>
      <c r="Y22" s="5">
        <f t="shared" si="15"/>
        <v>0</v>
      </c>
      <c r="Z22" s="15">
        <v>0</v>
      </c>
      <c r="AB22" s="66">
        <v>213.9</v>
      </c>
      <c r="AC22" s="8">
        <v>124.357</v>
      </c>
      <c r="AD22" s="5">
        <f t="shared" si="16"/>
        <v>58.137914913510983</v>
      </c>
      <c r="AE22" s="9">
        <v>91</v>
      </c>
      <c r="AF22" s="9">
        <v>2977.17</v>
      </c>
      <c r="AG22" s="66">
        <v>439.4</v>
      </c>
      <c r="AH22" s="22">
        <v>267.63</v>
      </c>
      <c r="AI22" s="5">
        <f t="shared" si="17"/>
        <v>60.908056440600824</v>
      </c>
      <c r="AJ22" s="24">
        <v>87.5</v>
      </c>
      <c r="AK22" s="24">
        <v>3600</v>
      </c>
      <c r="AL22" s="67">
        <v>670.8</v>
      </c>
      <c r="AM22" s="8">
        <v>404.51900000000001</v>
      </c>
      <c r="AN22" s="5">
        <f t="shared" si="18"/>
        <v>60.303965414430536</v>
      </c>
      <c r="AO22" s="9">
        <f>258/3</f>
        <v>86</v>
      </c>
      <c r="AP22" s="9">
        <v>3600</v>
      </c>
      <c r="AR22" s="66">
        <v>213.9</v>
      </c>
      <c r="AS22" s="8">
        <v>124.357</v>
      </c>
      <c r="AT22" s="5">
        <f t="shared" si="19"/>
        <v>58.137914913510983</v>
      </c>
      <c r="AU22" s="5">
        <f t="shared" si="20"/>
        <v>91</v>
      </c>
      <c r="AV22" s="5">
        <f t="shared" si="21"/>
        <v>2977.17</v>
      </c>
      <c r="AW22" s="66">
        <v>439.4</v>
      </c>
      <c r="AX22" s="8">
        <v>273.38400000000001</v>
      </c>
      <c r="AY22" s="5">
        <f t="shared" si="22"/>
        <v>62.217569412835694</v>
      </c>
      <c r="AZ22" s="5">
        <v>98.5</v>
      </c>
      <c r="BA22" s="9">
        <v>3366.67</v>
      </c>
      <c r="BB22" s="67">
        <v>670.8</v>
      </c>
      <c r="BC22" s="8">
        <v>420.11900000000003</v>
      </c>
      <c r="BD22" s="5">
        <f t="shared" si="23"/>
        <v>62.629546809779377</v>
      </c>
      <c r="BE22" s="5">
        <v>99.666666666666671</v>
      </c>
      <c r="BF22" s="9">
        <v>2955.1</v>
      </c>
    </row>
    <row r="23" spans="1:58" x14ac:dyDescent="0.2">
      <c r="A23" s="27" t="s">
        <v>26</v>
      </c>
      <c r="B23" s="66">
        <v>222.1</v>
      </c>
      <c r="C23" s="69">
        <v>76.090299999999999</v>
      </c>
      <c r="D23" s="5">
        <f>C23/B23*100</f>
        <v>34.259477712742012</v>
      </c>
      <c r="E23" s="9">
        <v>62</v>
      </c>
      <c r="F23" s="66">
        <v>447.9</v>
      </c>
      <c r="G23" s="4">
        <v>0</v>
      </c>
      <c r="H23" s="5">
        <f t="shared" si="11"/>
        <v>0</v>
      </c>
      <c r="I23" s="5">
        <v>0</v>
      </c>
      <c r="J23" s="67">
        <v>685.3</v>
      </c>
      <c r="K23" s="4">
        <v>0</v>
      </c>
      <c r="L23" s="5">
        <f t="shared" si="12"/>
        <v>0</v>
      </c>
      <c r="M23" s="15">
        <v>0</v>
      </c>
      <c r="O23" s="66">
        <v>222.1</v>
      </c>
      <c r="P23" s="69">
        <v>93.659499999999994</v>
      </c>
      <c r="Q23" s="5">
        <f t="shared" si="13"/>
        <v>42.169968482665467</v>
      </c>
      <c r="R23" s="9">
        <v>77</v>
      </c>
      <c r="S23" s="66">
        <v>447.9</v>
      </c>
      <c r="T23" s="68">
        <v>9.6452000000000009</v>
      </c>
      <c r="U23" s="5">
        <f t="shared" si="14"/>
        <v>2.1534271042643454</v>
      </c>
      <c r="V23" s="5">
        <v>4.5</v>
      </c>
      <c r="W23" s="67">
        <v>685.3</v>
      </c>
      <c r="X23" s="4">
        <v>0</v>
      </c>
      <c r="Y23" s="5">
        <f t="shared" si="15"/>
        <v>0</v>
      </c>
      <c r="Z23" s="15">
        <v>0</v>
      </c>
      <c r="AB23" s="66">
        <v>222.1</v>
      </c>
      <c r="AC23" s="8">
        <v>135.51599999999999</v>
      </c>
      <c r="AD23" s="5">
        <f t="shared" si="16"/>
        <v>61.015758667266994</v>
      </c>
      <c r="AE23" s="9">
        <v>87</v>
      </c>
      <c r="AF23" s="9">
        <v>3505.18</v>
      </c>
      <c r="AG23" s="66">
        <v>447.9</v>
      </c>
      <c r="AH23" s="22">
        <v>276.81900000000002</v>
      </c>
      <c r="AI23" s="5">
        <f t="shared" si="17"/>
        <v>61.803750837240464</v>
      </c>
      <c r="AJ23" s="24">
        <v>90.5</v>
      </c>
      <c r="AK23" s="24">
        <v>3600</v>
      </c>
      <c r="AL23" s="67">
        <v>685.3</v>
      </c>
      <c r="AM23" s="8">
        <v>396.78800000000001</v>
      </c>
      <c r="AN23" s="5">
        <f t="shared" si="18"/>
        <v>57.899897854954041</v>
      </c>
      <c r="AO23" s="9">
        <f>242/3</f>
        <v>80.666666666666671</v>
      </c>
      <c r="AP23" s="9">
        <v>3393.01</v>
      </c>
      <c r="AR23" s="66">
        <v>222.1</v>
      </c>
      <c r="AS23" s="8">
        <v>135.51599999999999</v>
      </c>
      <c r="AT23" s="5">
        <f t="shared" si="19"/>
        <v>61.015758667266994</v>
      </c>
      <c r="AU23" s="5">
        <f t="shared" si="20"/>
        <v>87</v>
      </c>
      <c r="AV23" s="5">
        <f t="shared" si="21"/>
        <v>3505.18</v>
      </c>
      <c r="AW23" s="66">
        <v>447.9</v>
      </c>
      <c r="AX23" s="4">
        <v>267.65800000000002</v>
      </c>
      <c r="AY23" s="5">
        <f t="shared" si="22"/>
        <v>59.75842822058496</v>
      </c>
      <c r="AZ23" s="5">
        <v>97.5</v>
      </c>
      <c r="BA23" s="9">
        <v>3379.14</v>
      </c>
      <c r="BB23" s="67">
        <v>685.3</v>
      </c>
      <c r="BC23" s="4">
        <v>413.66500000000002</v>
      </c>
      <c r="BD23" s="5">
        <f t="shared" si="23"/>
        <v>60.362614913176714</v>
      </c>
      <c r="BE23" s="5">
        <v>99.666666666666671</v>
      </c>
      <c r="BF23" s="9">
        <v>3367.02</v>
      </c>
    </row>
    <row r="24" spans="1:58" x14ac:dyDescent="0.2">
      <c r="A24" s="28" t="s">
        <v>27</v>
      </c>
      <c r="B24" s="66">
        <v>241.7</v>
      </c>
      <c r="C24" s="69">
        <v>137.61799999999999</v>
      </c>
      <c r="D24" s="5">
        <f>C24/B24*100</f>
        <v>56.937525858502283</v>
      </c>
      <c r="E24" s="9">
        <v>92</v>
      </c>
      <c r="F24" s="66">
        <v>459.4</v>
      </c>
      <c r="G24" s="8">
        <v>0</v>
      </c>
      <c r="H24" s="5">
        <f t="shared" si="11"/>
        <v>0</v>
      </c>
      <c r="I24" s="5">
        <v>0</v>
      </c>
      <c r="J24" s="67">
        <v>694.4</v>
      </c>
      <c r="K24" s="4">
        <v>0</v>
      </c>
      <c r="L24" s="5">
        <f t="shared" si="12"/>
        <v>0</v>
      </c>
      <c r="M24" s="15">
        <v>0</v>
      </c>
      <c r="O24" s="66">
        <v>241.7</v>
      </c>
      <c r="P24" s="69">
        <v>127.59</v>
      </c>
      <c r="Q24" s="5">
        <f t="shared" si="13"/>
        <v>52.78858088539512</v>
      </c>
      <c r="R24" s="9">
        <v>94</v>
      </c>
      <c r="S24" s="66">
        <v>459.4</v>
      </c>
      <c r="T24" s="69">
        <v>5.49</v>
      </c>
      <c r="U24" s="5">
        <f t="shared" si="14"/>
        <v>1.195037004788855</v>
      </c>
      <c r="V24" s="5">
        <v>1.5</v>
      </c>
      <c r="W24" s="67">
        <v>694.4</v>
      </c>
      <c r="X24" s="4">
        <v>0</v>
      </c>
      <c r="Y24" s="5">
        <f t="shared" si="15"/>
        <v>0</v>
      </c>
      <c r="Z24" s="15">
        <v>0</v>
      </c>
      <c r="AB24" s="66">
        <v>241.7</v>
      </c>
      <c r="AC24" s="8">
        <v>155.803</v>
      </c>
      <c r="AD24" s="5">
        <f t="shared" si="16"/>
        <v>64.461315680595774</v>
      </c>
      <c r="AE24" s="9">
        <v>98</v>
      </c>
      <c r="AF24" s="9">
        <v>2683.09</v>
      </c>
      <c r="AG24" s="66">
        <v>459.4</v>
      </c>
      <c r="AH24" s="22">
        <v>297.78300000000002</v>
      </c>
      <c r="AI24" s="5">
        <f t="shared" si="17"/>
        <v>64.81998258598172</v>
      </c>
      <c r="AJ24" s="24">
        <v>94.5</v>
      </c>
      <c r="AK24" s="24">
        <v>3600</v>
      </c>
      <c r="AL24" s="67">
        <v>694.4</v>
      </c>
      <c r="AM24" s="8">
        <v>417.66</v>
      </c>
      <c r="AN24" s="5">
        <f t="shared" si="18"/>
        <v>60.146889400921665</v>
      </c>
      <c r="AO24" s="9">
        <f>268/3</f>
        <v>89.333333333333329</v>
      </c>
      <c r="AP24" s="9">
        <v>3368.55</v>
      </c>
      <c r="AR24" s="66">
        <v>241.7</v>
      </c>
      <c r="AS24" s="8">
        <v>155.803</v>
      </c>
      <c r="AT24" s="5">
        <f t="shared" si="19"/>
        <v>64.461315680595774</v>
      </c>
      <c r="AU24" s="5">
        <f t="shared" si="20"/>
        <v>98</v>
      </c>
      <c r="AV24" s="5">
        <f t="shared" si="21"/>
        <v>2683.09</v>
      </c>
      <c r="AW24" s="66">
        <v>459.4</v>
      </c>
      <c r="AX24" s="8">
        <v>307.83199999999999</v>
      </c>
      <c r="AY24" s="5">
        <f t="shared" si="22"/>
        <v>67.007400957771011</v>
      </c>
      <c r="AZ24" s="5">
        <v>100</v>
      </c>
      <c r="BA24" s="9">
        <v>2939.41</v>
      </c>
      <c r="BB24" s="67">
        <v>694.4</v>
      </c>
      <c r="BC24" s="8">
        <v>453.815</v>
      </c>
      <c r="BD24" s="5">
        <f t="shared" si="23"/>
        <v>65.353542626728114</v>
      </c>
      <c r="BE24" s="5">
        <v>100</v>
      </c>
      <c r="BF24" s="9">
        <v>2940.89</v>
      </c>
    </row>
    <row r="25" spans="1:58" x14ac:dyDescent="0.2">
      <c r="A25" s="27" t="s">
        <v>28</v>
      </c>
      <c r="B25" s="66">
        <v>227.8</v>
      </c>
      <c r="C25" s="69">
        <v>116.776</v>
      </c>
      <c r="D25" s="5">
        <f>C25/B25*100</f>
        <v>51.262510974539069</v>
      </c>
      <c r="E25" s="9">
        <v>85</v>
      </c>
      <c r="F25" s="66">
        <v>448.1</v>
      </c>
      <c r="G25" s="4">
        <v>0</v>
      </c>
      <c r="H25" s="5">
        <f t="shared" si="11"/>
        <v>0</v>
      </c>
      <c r="I25" s="5">
        <v>0</v>
      </c>
      <c r="J25" s="67">
        <v>685.2</v>
      </c>
      <c r="K25" s="4">
        <v>0</v>
      </c>
      <c r="L25" s="5">
        <f t="shared" si="12"/>
        <v>0</v>
      </c>
      <c r="M25" s="15">
        <v>0</v>
      </c>
      <c r="O25" s="66">
        <v>227.8</v>
      </c>
      <c r="P25" s="69">
        <v>108.16500000000001</v>
      </c>
      <c r="Q25" s="5">
        <f t="shared" si="13"/>
        <v>47.482440737489021</v>
      </c>
      <c r="R25" s="9">
        <v>96</v>
      </c>
      <c r="S25" s="66">
        <v>448.1</v>
      </c>
      <c r="T25" s="68">
        <v>18.500499999999999</v>
      </c>
      <c r="U25" s="5">
        <f t="shared" si="14"/>
        <v>4.1286543182325373</v>
      </c>
      <c r="V25" s="5">
        <v>7</v>
      </c>
      <c r="W25" s="67">
        <v>685.2</v>
      </c>
      <c r="X25" s="4">
        <v>0</v>
      </c>
      <c r="Y25" s="5">
        <f t="shared" si="15"/>
        <v>0</v>
      </c>
      <c r="Z25" s="15">
        <v>0</v>
      </c>
      <c r="AB25" s="66">
        <v>227.8</v>
      </c>
      <c r="AC25" s="8">
        <v>153.316</v>
      </c>
      <c r="AD25" s="5">
        <f t="shared" si="16"/>
        <v>67.302897278314305</v>
      </c>
      <c r="AE25" s="9">
        <v>100</v>
      </c>
      <c r="AF25" s="9">
        <v>2180.39</v>
      </c>
      <c r="AG25" s="66">
        <v>448.1</v>
      </c>
      <c r="AH25" s="22">
        <v>290.61700000000002</v>
      </c>
      <c r="AI25" s="5">
        <f t="shared" si="17"/>
        <v>64.855389422004023</v>
      </c>
      <c r="AJ25" s="24">
        <v>98</v>
      </c>
      <c r="AK25" s="24">
        <v>3600</v>
      </c>
      <c r="AL25" s="67">
        <v>685.2</v>
      </c>
      <c r="AM25" s="8">
        <v>412.74</v>
      </c>
      <c r="AN25" s="5">
        <f t="shared" si="18"/>
        <v>60.236427320490357</v>
      </c>
      <c r="AO25" s="9">
        <f>277/3</f>
        <v>92.333333333333329</v>
      </c>
      <c r="AP25" s="9">
        <v>3600</v>
      </c>
      <c r="AR25" s="66">
        <v>227.8</v>
      </c>
      <c r="AS25" s="8">
        <v>153.316</v>
      </c>
      <c r="AT25" s="5">
        <f t="shared" si="19"/>
        <v>67.302897278314305</v>
      </c>
      <c r="AU25" s="5">
        <f t="shared" si="20"/>
        <v>100</v>
      </c>
      <c r="AV25" s="5">
        <f t="shared" si="21"/>
        <v>2180.39</v>
      </c>
      <c r="AW25" s="66">
        <v>448.1</v>
      </c>
      <c r="AX25" s="4">
        <v>287.09300000000002</v>
      </c>
      <c r="AY25" s="5">
        <f t="shared" si="22"/>
        <v>64.068957821914751</v>
      </c>
      <c r="AZ25" s="5">
        <v>100</v>
      </c>
      <c r="BA25" s="9">
        <v>2908</v>
      </c>
      <c r="BB25" s="67">
        <v>685.2</v>
      </c>
      <c r="BC25" s="4">
        <v>436.69499999999999</v>
      </c>
      <c r="BD25" s="5">
        <f t="shared" si="23"/>
        <v>63.73248686514885</v>
      </c>
      <c r="BE25" s="5">
        <v>100</v>
      </c>
      <c r="BF25" s="9">
        <v>2950.21</v>
      </c>
    </row>
    <row r="26" spans="1:58" x14ac:dyDescent="0.2">
      <c r="A26" s="28" t="s">
        <v>29</v>
      </c>
      <c r="B26" s="66">
        <v>229.2</v>
      </c>
      <c r="C26" s="69">
        <v>70.156899999999993</v>
      </c>
      <c r="D26" s="5">
        <f>C26/B26*100</f>
        <v>30.609467713787087</v>
      </c>
      <c r="E26" s="9">
        <v>65</v>
      </c>
      <c r="F26" s="66">
        <v>435</v>
      </c>
      <c r="G26" s="8">
        <v>0</v>
      </c>
      <c r="H26" s="5">
        <f t="shared" si="11"/>
        <v>0</v>
      </c>
      <c r="I26" s="5">
        <v>0</v>
      </c>
      <c r="J26" s="67">
        <v>647.1</v>
      </c>
      <c r="K26" s="4">
        <v>0</v>
      </c>
      <c r="L26" s="5">
        <f t="shared" si="12"/>
        <v>0</v>
      </c>
      <c r="M26" s="15">
        <v>0</v>
      </c>
      <c r="O26" s="66">
        <v>229.2</v>
      </c>
      <c r="P26" s="69">
        <v>78.638199999999998</v>
      </c>
      <c r="Q26" s="5">
        <f t="shared" si="13"/>
        <v>34.309860383944155</v>
      </c>
      <c r="R26" s="9">
        <v>73</v>
      </c>
      <c r="S26" s="66">
        <v>435</v>
      </c>
      <c r="T26" s="69">
        <v>8.1221999999999994</v>
      </c>
      <c r="U26" s="5">
        <f t="shared" si="14"/>
        <v>1.8671724137931032</v>
      </c>
      <c r="V26" s="5">
        <v>4</v>
      </c>
      <c r="W26" s="67">
        <v>647.1</v>
      </c>
      <c r="X26" s="4">
        <v>0</v>
      </c>
      <c r="Y26" s="5">
        <f t="shared" si="15"/>
        <v>0</v>
      </c>
      <c r="Z26" s="15">
        <v>0</v>
      </c>
      <c r="AB26" s="66">
        <v>229.2</v>
      </c>
      <c r="AC26" s="8">
        <v>133.06800000000001</v>
      </c>
      <c r="AD26" s="5">
        <f t="shared" si="16"/>
        <v>58.05759162303665</v>
      </c>
      <c r="AE26" s="9">
        <v>91</v>
      </c>
      <c r="AF26" s="9">
        <v>3251.7</v>
      </c>
      <c r="AG26" s="66">
        <v>435</v>
      </c>
      <c r="AH26" s="22">
        <v>250.739</v>
      </c>
      <c r="AI26" s="5">
        <f t="shared" si="17"/>
        <v>57.641149425287352</v>
      </c>
      <c r="AJ26" s="24">
        <v>87.5</v>
      </c>
      <c r="AK26" s="24">
        <v>3600</v>
      </c>
      <c r="AL26" s="67">
        <v>647.1</v>
      </c>
      <c r="AM26" s="8">
        <v>367.45699999999999</v>
      </c>
      <c r="AN26" s="5">
        <f t="shared" si="18"/>
        <v>56.785195487559882</v>
      </c>
      <c r="AO26" s="9">
        <f>243/3</f>
        <v>81</v>
      </c>
      <c r="AP26" s="9">
        <v>3354.03</v>
      </c>
      <c r="AR26" s="66">
        <v>229.2</v>
      </c>
      <c r="AS26" s="8">
        <v>133.06800000000001</v>
      </c>
      <c r="AT26" s="5">
        <f t="shared" si="19"/>
        <v>58.05759162303665</v>
      </c>
      <c r="AU26" s="5">
        <f t="shared" si="20"/>
        <v>91</v>
      </c>
      <c r="AV26" s="5">
        <f t="shared" si="21"/>
        <v>3251.7</v>
      </c>
      <c r="AW26" s="66">
        <v>435</v>
      </c>
      <c r="AX26" s="8">
        <v>252.95500000000001</v>
      </c>
      <c r="AY26" s="5">
        <f t="shared" si="22"/>
        <v>58.150574712643675</v>
      </c>
      <c r="AZ26" s="5">
        <v>99.5</v>
      </c>
      <c r="BA26" s="9">
        <v>3362.45</v>
      </c>
      <c r="BB26" s="67">
        <v>647.1</v>
      </c>
      <c r="BC26" s="8">
        <v>397.351</v>
      </c>
      <c r="BD26" s="5">
        <f t="shared" si="23"/>
        <v>61.404883325606555</v>
      </c>
      <c r="BE26" s="5">
        <v>99.666666666666671</v>
      </c>
      <c r="BF26" s="9">
        <v>3002.39</v>
      </c>
    </row>
    <row r="27" spans="1:58" x14ac:dyDescent="0.2">
      <c r="A27" s="27" t="s">
        <v>30</v>
      </c>
      <c r="B27" s="66">
        <v>237.3</v>
      </c>
      <c r="C27" s="69">
        <v>113.134</v>
      </c>
      <c r="D27" s="5">
        <f>C27/B27*100</f>
        <v>47.67551622418879</v>
      </c>
      <c r="E27" s="9">
        <v>86</v>
      </c>
      <c r="F27" s="66">
        <v>463.2</v>
      </c>
      <c r="G27" s="4">
        <v>0</v>
      </c>
      <c r="H27" s="5">
        <f t="shared" si="11"/>
        <v>0</v>
      </c>
      <c r="I27" s="5">
        <v>0</v>
      </c>
      <c r="J27" s="67">
        <v>680.9</v>
      </c>
      <c r="K27" s="4">
        <v>0</v>
      </c>
      <c r="L27" s="5">
        <f t="shared" si="12"/>
        <v>0</v>
      </c>
      <c r="M27" s="15">
        <v>0</v>
      </c>
      <c r="O27" s="66">
        <v>237.3</v>
      </c>
      <c r="P27" s="69">
        <v>95.765100000000004</v>
      </c>
      <c r="Q27" s="5">
        <f t="shared" si="13"/>
        <v>40.35613147914033</v>
      </c>
      <c r="R27" s="9">
        <v>89</v>
      </c>
      <c r="S27" s="66">
        <v>463.2</v>
      </c>
      <c r="T27" s="68">
        <v>8.7967999999999993</v>
      </c>
      <c r="U27" s="5">
        <f t="shared" si="14"/>
        <v>1.8991364421416235</v>
      </c>
      <c r="V27" s="5">
        <v>3</v>
      </c>
      <c r="W27" s="67">
        <v>680.9</v>
      </c>
      <c r="X27" s="4">
        <v>0</v>
      </c>
      <c r="Y27" s="5">
        <f t="shared" si="15"/>
        <v>0</v>
      </c>
      <c r="Z27" s="15">
        <v>0</v>
      </c>
      <c r="AB27" s="66">
        <v>237.3</v>
      </c>
      <c r="AC27" s="8">
        <v>142.173</v>
      </c>
      <c r="AD27" s="5">
        <f t="shared" si="16"/>
        <v>59.912768647281922</v>
      </c>
      <c r="AE27" s="9">
        <v>96</v>
      </c>
      <c r="AF27" s="9">
        <v>2899.32</v>
      </c>
      <c r="AG27" s="66">
        <v>463.2</v>
      </c>
      <c r="AH27" s="22">
        <v>281.59100000000001</v>
      </c>
      <c r="AI27" s="5">
        <f t="shared" si="17"/>
        <v>60.792530224525045</v>
      </c>
      <c r="AJ27" s="24">
        <v>96</v>
      </c>
      <c r="AK27" s="24">
        <v>3600</v>
      </c>
      <c r="AL27" s="67">
        <v>680.9</v>
      </c>
      <c r="AM27" s="8">
        <v>401.08300000000003</v>
      </c>
      <c r="AN27" s="5">
        <f t="shared" si="18"/>
        <v>58.904831840211493</v>
      </c>
      <c r="AO27" s="9">
        <f>247/3</f>
        <v>82.333333333333329</v>
      </c>
      <c r="AP27" s="9">
        <v>3514.33</v>
      </c>
      <c r="AR27" s="66">
        <v>237.3</v>
      </c>
      <c r="AS27" s="8">
        <v>142.173</v>
      </c>
      <c r="AT27" s="5">
        <f t="shared" si="19"/>
        <v>59.912768647281922</v>
      </c>
      <c r="AU27" s="5">
        <f t="shared" si="20"/>
        <v>96</v>
      </c>
      <c r="AV27" s="5">
        <f t="shared" si="21"/>
        <v>2899.32</v>
      </c>
      <c r="AW27" s="66">
        <v>463.2</v>
      </c>
      <c r="AX27" s="4">
        <v>283.38</v>
      </c>
      <c r="AY27" s="5">
        <f t="shared" si="22"/>
        <v>61.178756476683937</v>
      </c>
      <c r="AZ27" s="5">
        <v>98.5</v>
      </c>
      <c r="BA27" s="9">
        <v>3361.27</v>
      </c>
      <c r="BB27" s="67">
        <v>680.9</v>
      </c>
      <c r="BC27" s="4">
        <v>422.9</v>
      </c>
      <c r="BD27" s="5">
        <f t="shared" si="23"/>
        <v>62.108973417535616</v>
      </c>
      <c r="BE27" s="5">
        <v>100</v>
      </c>
      <c r="BF27" s="9">
        <v>2951.37</v>
      </c>
    </row>
    <row r="28" spans="1:58" x14ac:dyDescent="0.2">
      <c r="A28" s="28" t="s">
        <v>31</v>
      </c>
      <c r="B28" s="66">
        <v>214.6</v>
      </c>
      <c r="C28" s="69">
        <v>88.579800000000006</v>
      </c>
      <c r="D28" s="5">
        <f>C28/B28*100</f>
        <v>41.276700838769806</v>
      </c>
      <c r="E28" s="9">
        <v>76</v>
      </c>
      <c r="F28" s="66">
        <v>434.8</v>
      </c>
      <c r="G28" s="8">
        <v>0</v>
      </c>
      <c r="H28" s="5">
        <f t="shared" si="11"/>
        <v>0</v>
      </c>
      <c r="I28" s="5">
        <v>0</v>
      </c>
      <c r="J28" s="67">
        <v>655.4</v>
      </c>
      <c r="K28" s="4">
        <v>0</v>
      </c>
      <c r="L28" s="5">
        <f t="shared" si="12"/>
        <v>0</v>
      </c>
      <c r="M28" s="15">
        <v>0</v>
      </c>
      <c r="O28" s="66">
        <v>214.6</v>
      </c>
      <c r="P28" s="69">
        <v>106.723</v>
      </c>
      <c r="Q28" s="5">
        <f t="shared" si="13"/>
        <v>49.731127679403542</v>
      </c>
      <c r="R28" s="9">
        <v>94</v>
      </c>
      <c r="S28" s="66">
        <v>434.8</v>
      </c>
      <c r="T28" s="69">
        <v>37.400300000000001</v>
      </c>
      <c r="U28" s="5">
        <f t="shared" si="14"/>
        <v>8.6017249310027601</v>
      </c>
      <c r="V28" s="5">
        <v>13.5</v>
      </c>
      <c r="W28" s="67">
        <v>655.4</v>
      </c>
      <c r="X28" s="4">
        <v>0</v>
      </c>
      <c r="Y28" s="5">
        <f t="shared" si="15"/>
        <v>0</v>
      </c>
      <c r="Z28" s="15">
        <v>0</v>
      </c>
      <c r="AB28" s="66">
        <v>214.6</v>
      </c>
      <c r="AC28" s="8">
        <v>139.05000000000001</v>
      </c>
      <c r="AD28" s="5">
        <f t="shared" si="16"/>
        <v>64.794967381174288</v>
      </c>
      <c r="AE28" s="9">
        <f>98</f>
        <v>98</v>
      </c>
      <c r="AF28" s="9">
        <v>2549.66</v>
      </c>
      <c r="AG28" s="66">
        <v>434.8</v>
      </c>
      <c r="AH28" s="22">
        <v>271.85300000000001</v>
      </c>
      <c r="AI28" s="5">
        <f t="shared" si="17"/>
        <v>62.523689052437902</v>
      </c>
      <c r="AJ28" s="24">
        <v>91.5</v>
      </c>
      <c r="AK28" s="24">
        <v>3600</v>
      </c>
      <c r="AL28" s="67">
        <v>655.4</v>
      </c>
      <c r="AM28" s="8">
        <v>388.50299999999999</v>
      </c>
      <c r="AN28" s="5">
        <f t="shared" si="18"/>
        <v>59.277235276167225</v>
      </c>
      <c r="AO28" s="9">
        <f>266/3</f>
        <v>88.666666666666671</v>
      </c>
      <c r="AP28" s="9">
        <v>3600</v>
      </c>
      <c r="AR28" s="66">
        <v>214.6</v>
      </c>
      <c r="AS28" s="8">
        <v>139.05000000000001</v>
      </c>
      <c r="AT28" s="5">
        <f t="shared" si="19"/>
        <v>64.794967381174288</v>
      </c>
      <c r="AU28" s="5">
        <f t="shared" si="20"/>
        <v>98</v>
      </c>
      <c r="AV28" s="5">
        <f t="shared" si="21"/>
        <v>2549.66</v>
      </c>
      <c r="AW28" s="66">
        <v>434.8</v>
      </c>
      <c r="AX28" s="8">
        <v>279.79300000000001</v>
      </c>
      <c r="AY28" s="5">
        <f t="shared" si="22"/>
        <v>64.349816007359706</v>
      </c>
      <c r="AZ28" s="5">
        <v>100</v>
      </c>
      <c r="BA28" s="9">
        <v>2976.07</v>
      </c>
      <c r="BB28" s="67">
        <v>655.4</v>
      </c>
      <c r="BC28" s="8">
        <v>416.49700000000001</v>
      </c>
      <c r="BD28" s="5">
        <f t="shared" si="23"/>
        <v>63.548519987793718</v>
      </c>
      <c r="BE28" s="5">
        <v>100</v>
      </c>
      <c r="BF28" s="9">
        <v>2949.21</v>
      </c>
    </row>
    <row r="29" spans="1:58" x14ac:dyDescent="0.2">
      <c r="A29" s="10" t="s">
        <v>14</v>
      </c>
      <c r="B29" s="10"/>
      <c r="C29" s="33"/>
      <c r="D29" s="32">
        <f>AVERAGE(D19,D20,D21,D22,D23:D28)</f>
        <v>43.866116327914987</v>
      </c>
      <c r="E29" s="29">
        <f>AVERAGE(E19,E20,E21,E22,E23:E28)</f>
        <v>77.5</v>
      </c>
      <c r="F29" s="34"/>
      <c r="G29" s="33"/>
      <c r="H29" s="32">
        <f>AVERAGE(H19,H20,H21,H22,H23:H28)</f>
        <v>0</v>
      </c>
      <c r="I29" s="29">
        <f>AVERAGE(I19,I20,I21,I22,I23:I28)</f>
        <v>0</v>
      </c>
      <c r="J29" s="34"/>
      <c r="K29" s="31"/>
      <c r="L29" s="32">
        <f>AVERAGE(L19,L20,L21,L22,L23:L28)</f>
        <v>0</v>
      </c>
      <c r="M29" s="35">
        <f>AVERAGE(M19,M20,M21,M22,M23:M28)</f>
        <v>0</v>
      </c>
      <c r="O29" s="10"/>
      <c r="P29" s="33"/>
      <c r="Q29" s="32">
        <f>AVERAGE(Q19,Q20,Q21,Q22,Q23:Q28)</f>
        <v>43.630810463006085</v>
      </c>
      <c r="R29" s="29">
        <f>AVERAGE(R19,R20,R21,R22,R23:R28)</f>
        <v>88.2</v>
      </c>
      <c r="S29" s="34"/>
      <c r="T29" s="33"/>
      <c r="U29" s="32">
        <f>AVERAGE(U19,U20,U21,U22,U23:U28)</f>
        <v>2.1573792070741824</v>
      </c>
      <c r="V29" s="29">
        <f>AVERAGE(V19,V20,V21,V22,V23:V28)</f>
        <v>3.85</v>
      </c>
      <c r="W29" s="34"/>
      <c r="X29" s="31"/>
      <c r="Y29" s="32">
        <f>AVERAGE(Y19,Y20,Y21,Y22,Y23:Y28)</f>
        <v>0</v>
      </c>
      <c r="Z29" s="29">
        <f>AVERAGE(Z19,Z20,Z21,Z22,Z23:Z28)</f>
        <v>0</v>
      </c>
      <c r="AB29" s="10"/>
      <c r="AC29" s="33"/>
      <c r="AD29" s="32">
        <f>AVERAGE(AD19,AD20,AD21,AD22,AD23:AD28)</f>
        <v>61.694124625967902</v>
      </c>
      <c r="AE29" s="29">
        <f>AVERAGE(AE19,AE20,AE21,AE22,AE23:AE28)</f>
        <v>95.2</v>
      </c>
      <c r="AF29" s="29">
        <f>AVERAGE(AF19,AF20,AF21,AF22,AF23:AF28)</f>
        <v>2838.7220000000002</v>
      </c>
      <c r="AG29" s="34"/>
      <c r="AH29" s="33"/>
      <c r="AI29" s="32">
        <f>AVERAGE(AI19,AI20,AI21,AI22,AI23:AI28)</f>
        <v>61.905015574002974</v>
      </c>
      <c r="AJ29" s="29">
        <f>AVERAGE(AJ19,AJ20,AJ21,AJ22,AJ23:AJ28)</f>
        <v>92.75</v>
      </c>
      <c r="AK29" s="29">
        <f>AVERAGE(AK19,AK20,AK21,AK22,AK23:AK28)</f>
        <v>3600</v>
      </c>
      <c r="AL29" s="34"/>
      <c r="AM29" s="31"/>
      <c r="AN29" s="32">
        <f>AVERAGE(AN19,AN20,AN21,AN22,AN23:AN28)</f>
        <v>59.263018460088482</v>
      </c>
      <c r="AO29" s="29">
        <f>AVERAGE(AO19,AO20,AO21,AO22,AO23:AO28)</f>
        <v>87.26666666666668</v>
      </c>
      <c r="AP29" s="29">
        <f>AVERAGE(AP19,AP20,AP21,AP22,AP23:AP28)</f>
        <v>3508.5239999999999</v>
      </c>
      <c r="AR29" s="10"/>
      <c r="AS29" s="33"/>
      <c r="AT29" s="32">
        <f>AVERAGE(AT19,AT20,AT21,AT22,AT23:AT28)</f>
        <v>61.694124625967902</v>
      </c>
      <c r="AU29" s="29">
        <f>AVERAGE(AU19,AU20,AU21,AU22,AU23:AU28)</f>
        <v>95.2</v>
      </c>
      <c r="AV29" s="29">
        <f>AVERAGE(AV19,AV20,AV21,AV22,AV23:AV28)</f>
        <v>2838.7220000000002</v>
      </c>
      <c r="AW29" s="34"/>
      <c r="AX29" s="33"/>
      <c r="AY29" s="32">
        <f>AVERAGE(AY19,AY20,AY21,AY22,AY23:AY28)</f>
        <v>62.102781852306599</v>
      </c>
      <c r="AZ29" s="29">
        <f>AVERAGE(AZ19,AZ20,AZ21,AZ22,AZ23:AZ28)</f>
        <v>99.15</v>
      </c>
      <c r="BA29" s="29">
        <f>AVERAGE(BA19,BA20,BA21,BA22,BA23:BA28)</f>
        <v>3187.0749999999998</v>
      </c>
      <c r="BB29" s="34"/>
      <c r="BC29" s="31"/>
      <c r="BD29" s="32">
        <f>AVERAGE(BD19,BD20,BD21,BD22,BD23:BD28)</f>
        <v>62.780640965543355</v>
      </c>
      <c r="BE29" s="29">
        <f>AVERAGE(BE19,BE20,BE21,BE22,BE23:BE28)</f>
        <v>99.733333333333334</v>
      </c>
      <c r="BF29" s="29">
        <f>AVERAGE(BF19,BF20,BF21,BF22,BF23:BF28)</f>
        <v>3043.2750000000001</v>
      </c>
    </row>
    <row r="31" spans="1:58" x14ac:dyDescent="0.2">
      <c r="AN31" s="40"/>
      <c r="AO31" s="40"/>
      <c r="AP31" s="43"/>
      <c r="AY31" s="40"/>
      <c r="AZ31" s="41"/>
      <c r="BA31" s="42"/>
      <c r="BC31" s="44"/>
      <c r="BD31" s="40"/>
      <c r="BE31" s="41"/>
      <c r="BF31" s="40"/>
    </row>
  </sheetData>
  <mergeCells count="62">
    <mergeCell ref="BC17:BF17"/>
    <mergeCell ref="BB17:BB18"/>
    <mergeCell ref="AB17:AB18"/>
    <mergeCell ref="AC17:AF17"/>
    <mergeCell ref="AG17:AG18"/>
    <mergeCell ref="AH17:AK17"/>
    <mergeCell ref="AL17:AL18"/>
    <mergeCell ref="AM17:AP17"/>
    <mergeCell ref="AR17:AR18"/>
    <mergeCell ref="AS17:AV17"/>
    <mergeCell ref="AW17:AW18"/>
    <mergeCell ref="AX17:BA17"/>
    <mergeCell ref="W17:W18"/>
    <mergeCell ref="X17:Z17"/>
    <mergeCell ref="J17:J18"/>
    <mergeCell ref="A16:M16"/>
    <mergeCell ref="O16:Z16"/>
    <mergeCell ref="AB16:AP16"/>
    <mergeCell ref="A17:A18"/>
    <mergeCell ref="B17:B18"/>
    <mergeCell ref="C17:E17"/>
    <mergeCell ref="F17:F18"/>
    <mergeCell ref="G17:I17"/>
    <mergeCell ref="K17:M17"/>
    <mergeCell ref="O17:O18"/>
    <mergeCell ref="P17:R17"/>
    <mergeCell ref="S17:S18"/>
    <mergeCell ref="T17:V17"/>
    <mergeCell ref="AR16:BF16"/>
    <mergeCell ref="BC2:BF2"/>
    <mergeCell ref="BB2:BB3"/>
    <mergeCell ref="A15:M15"/>
    <mergeCell ref="O15:Z15"/>
    <mergeCell ref="AB15:AP15"/>
    <mergeCell ref="AR15:BF15"/>
    <mergeCell ref="AM2:AP2"/>
    <mergeCell ref="AR2:AR3"/>
    <mergeCell ref="AS2:AV2"/>
    <mergeCell ref="AW2:AW3"/>
    <mergeCell ref="AX2:BA2"/>
    <mergeCell ref="AL2:AL3"/>
    <mergeCell ref="X2:Z2"/>
    <mergeCell ref="AB2:AB3"/>
    <mergeCell ref="AC2:AF2"/>
    <mergeCell ref="AG2:AG3"/>
    <mergeCell ref="AH2:AK2"/>
    <mergeCell ref="W2:W3"/>
    <mergeCell ref="A2:A3"/>
    <mergeCell ref="B2:B3"/>
    <mergeCell ref="C2:E2"/>
    <mergeCell ref="F2:F3"/>
    <mergeCell ref="G2:I2"/>
    <mergeCell ref="J2:J3"/>
    <mergeCell ref="K2:M2"/>
    <mergeCell ref="O2:O3"/>
    <mergeCell ref="P2:R2"/>
    <mergeCell ref="S2:S3"/>
    <mergeCell ref="T2:V2"/>
    <mergeCell ref="A1:M1"/>
    <mergeCell ref="O1:Z1"/>
    <mergeCell ref="AB1:AP1"/>
    <mergeCell ref="AR1:BF1"/>
  </mergeCells>
  <phoneticPr fontId="3" type="noConversion"/>
  <pageMargins left="0.7" right="0.7" top="0.75" bottom="0.75" header="0.3" footer="0.3"/>
  <headerFooter>
    <oddHeader>&amp;C&amp;"Calibri"&amp;12&amp;KEEDC00 RMIT Classification: Trusted&amp;1#_x000D_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1DD7-F5B1-234C-8F62-07F6DBA8471F}">
  <dimension ref="A1:CO31"/>
  <sheetViews>
    <sheetView zoomScale="115" zoomScaleNormal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7" sqref="A17:XFD18"/>
    </sheetView>
  </sheetViews>
  <sheetFormatPr baseColWidth="10" defaultRowHeight="16" x14ac:dyDescent="0.2"/>
  <cols>
    <col min="1" max="1" width="9" bestFit="1" customWidth="1"/>
    <col min="2" max="2" width="7" style="11" hidden="1" customWidth="1"/>
    <col min="3" max="3" width="7.6640625" style="12" customWidth="1"/>
    <col min="4" max="4" width="5.83203125" bestFit="1" customWidth="1"/>
    <col min="5" max="5" width="5.6640625" customWidth="1"/>
    <col min="6" max="6" width="7" hidden="1" customWidth="1"/>
    <col min="7" max="7" width="7.6640625" style="12" customWidth="1"/>
    <col min="8" max="9" width="5.6640625" customWidth="1"/>
    <col min="10" max="10" width="7" hidden="1" customWidth="1"/>
    <col min="11" max="11" width="7.6640625" style="12" customWidth="1"/>
    <col min="12" max="13" width="5.83203125" bestFit="1" customWidth="1"/>
    <col min="14" max="14" width="5.83203125" style="18" customWidth="1"/>
    <col min="15" max="15" width="7" style="11" hidden="1" customWidth="1"/>
    <col min="16" max="16" width="7.6640625" style="12" customWidth="1"/>
    <col min="17" max="17" width="5.83203125" bestFit="1" customWidth="1"/>
    <col min="18" max="18" width="5.6640625" customWidth="1"/>
    <col min="19" max="19" width="7" hidden="1" customWidth="1"/>
    <col min="20" max="20" width="7.6640625" style="12" customWidth="1"/>
    <col min="21" max="22" width="5.6640625" customWidth="1"/>
    <col min="23" max="23" width="7" hidden="1" customWidth="1"/>
    <col min="24" max="24" width="7.6640625" style="12" customWidth="1"/>
    <col min="25" max="25" width="5.83203125" bestFit="1" customWidth="1"/>
    <col min="26" max="26" width="7.5" bestFit="1" customWidth="1"/>
    <col min="27" max="27" width="5.83203125" style="18" customWidth="1"/>
    <col min="28" max="28" width="7" style="11" hidden="1" customWidth="1"/>
    <col min="29" max="29" width="7.6640625" style="12" customWidth="1"/>
    <col min="30" max="30" width="5.83203125" bestFit="1" customWidth="1"/>
    <col min="31" max="31" width="7" bestFit="1" customWidth="1"/>
    <col min="32" max="32" width="7.6640625" customWidth="1"/>
    <col min="33" max="33" width="7" hidden="1" customWidth="1"/>
    <col min="34" max="34" width="7.6640625" style="12" customWidth="1"/>
    <col min="35" max="36" width="5.6640625" customWidth="1"/>
    <col min="37" max="37" width="7.6640625" customWidth="1"/>
    <col min="38" max="38" width="7" hidden="1" customWidth="1"/>
    <col min="39" max="39" width="7.6640625" style="12" customWidth="1"/>
    <col min="40" max="41" width="6" bestFit="1" customWidth="1"/>
    <col min="42" max="42" width="7.6640625" customWidth="1"/>
    <col min="43" max="43" width="5.83203125" style="18" customWidth="1"/>
    <col min="44" max="44" width="7" style="11" hidden="1" customWidth="1"/>
    <col min="45" max="45" width="7.6640625" style="12" customWidth="1"/>
    <col min="46" max="46" width="5.83203125" style="25" customWidth="1"/>
    <col min="47" max="47" width="7" style="25" customWidth="1"/>
    <col min="48" max="48" width="7.6640625" customWidth="1"/>
    <col min="49" max="49" width="7" hidden="1" customWidth="1"/>
    <col min="50" max="50" width="7.6640625" style="12" customWidth="1"/>
    <col min="51" max="51" width="5.6640625" customWidth="1"/>
    <col min="52" max="52" width="6.33203125" customWidth="1"/>
    <col min="53" max="53" width="7.6640625" customWidth="1"/>
    <col min="54" max="54" width="7" hidden="1" customWidth="1"/>
    <col min="55" max="55" width="7.6640625" style="12" customWidth="1"/>
    <col min="56" max="56" width="5.83203125" bestFit="1" customWidth="1"/>
    <col min="57" max="57" width="7.5" bestFit="1" customWidth="1"/>
    <col min="58" max="58" width="7.6640625" customWidth="1"/>
    <col min="59" max="59" width="5.83203125" style="18" customWidth="1"/>
  </cols>
  <sheetData>
    <row r="1" spans="1:59" x14ac:dyDescent="0.2">
      <c r="A1" s="52" t="s">
        <v>18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7"/>
      <c r="O1" s="49" t="s">
        <v>18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17"/>
      <c r="AB1" s="49" t="s">
        <v>18</v>
      </c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1"/>
      <c r="AQ1" s="17"/>
      <c r="AR1" s="49" t="s">
        <v>18</v>
      </c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17"/>
    </row>
    <row r="2" spans="1:59" x14ac:dyDescent="0.2">
      <c r="A2" s="53" t="s">
        <v>0</v>
      </c>
      <c r="B2" s="53" t="s">
        <v>42</v>
      </c>
      <c r="C2" s="55" t="s">
        <v>46</v>
      </c>
      <c r="D2" s="56"/>
      <c r="E2" s="57"/>
      <c r="F2" s="53" t="s">
        <v>42</v>
      </c>
      <c r="G2" s="55" t="s">
        <v>47</v>
      </c>
      <c r="H2" s="56"/>
      <c r="I2" s="57"/>
      <c r="J2" s="53" t="s">
        <v>42</v>
      </c>
      <c r="K2" s="55" t="s">
        <v>48</v>
      </c>
      <c r="L2" s="56"/>
      <c r="M2" s="57"/>
      <c r="O2" s="53" t="s">
        <v>42</v>
      </c>
      <c r="P2" s="55" t="s">
        <v>46</v>
      </c>
      <c r="Q2" s="56"/>
      <c r="R2" s="57"/>
      <c r="S2" s="53" t="s">
        <v>42</v>
      </c>
      <c r="T2" s="55" t="s">
        <v>47</v>
      </c>
      <c r="U2" s="56"/>
      <c r="V2" s="57"/>
      <c r="W2" s="53" t="s">
        <v>42</v>
      </c>
      <c r="X2" s="55" t="s">
        <v>48</v>
      </c>
      <c r="Y2" s="56"/>
      <c r="Z2" s="57"/>
      <c r="AB2" s="53" t="s">
        <v>42</v>
      </c>
      <c r="AC2" s="55" t="s">
        <v>46</v>
      </c>
      <c r="AD2" s="56"/>
      <c r="AE2" s="56"/>
      <c r="AF2" s="57"/>
      <c r="AG2" s="53" t="s">
        <v>42</v>
      </c>
      <c r="AH2" s="55" t="s">
        <v>47</v>
      </c>
      <c r="AI2" s="56"/>
      <c r="AJ2" s="56"/>
      <c r="AK2" s="57"/>
      <c r="AL2" s="53" t="s">
        <v>42</v>
      </c>
      <c r="AM2" s="55" t="s">
        <v>48</v>
      </c>
      <c r="AN2" s="56"/>
      <c r="AO2" s="56"/>
      <c r="AP2" s="57"/>
      <c r="AR2" s="53" t="s">
        <v>42</v>
      </c>
      <c r="AS2" s="55" t="s">
        <v>46</v>
      </c>
      <c r="AT2" s="56"/>
      <c r="AU2" s="56"/>
      <c r="AV2" s="57"/>
      <c r="AW2" s="53" t="s">
        <v>42</v>
      </c>
      <c r="AX2" s="55" t="s">
        <v>47</v>
      </c>
      <c r="AY2" s="56"/>
      <c r="AZ2" s="56"/>
      <c r="BA2" s="57"/>
      <c r="BB2" s="53" t="s">
        <v>42</v>
      </c>
      <c r="BC2" s="55" t="s">
        <v>48</v>
      </c>
      <c r="BD2" s="56"/>
      <c r="BE2" s="56"/>
      <c r="BF2" s="57"/>
    </row>
    <row r="3" spans="1:59" x14ac:dyDescent="0.2">
      <c r="A3" s="54"/>
      <c r="B3" s="54"/>
      <c r="C3" s="1" t="s">
        <v>1</v>
      </c>
      <c r="D3" s="46" t="s">
        <v>2</v>
      </c>
      <c r="E3" s="46" t="s">
        <v>3</v>
      </c>
      <c r="F3" s="54"/>
      <c r="G3" s="1" t="s">
        <v>1</v>
      </c>
      <c r="H3" s="46" t="s">
        <v>2</v>
      </c>
      <c r="I3" s="46" t="s">
        <v>3</v>
      </c>
      <c r="J3" s="54"/>
      <c r="K3" s="1" t="s">
        <v>1</v>
      </c>
      <c r="L3" s="46" t="s">
        <v>2</v>
      </c>
      <c r="M3" s="45" t="s">
        <v>3</v>
      </c>
      <c r="O3" s="54"/>
      <c r="P3" s="1" t="s">
        <v>1</v>
      </c>
      <c r="Q3" s="46" t="s">
        <v>2</v>
      </c>
      <c r="R3" s="46" t="s">
        <v>3</v>
      </c>
      <c r="S3" s="54"/>
      <c r="T3" s="1" t="s">
        <v>1</v>
      </c>
      <c r="U3" s="46" t="s">
        <v>2</v>
      </c>
      <c r="V3" s="46" t="s">
        <v>3</v>
      </c>
      <c r="W3" s="54"/>
      <c r="X3" s="1" t="s">
        <v>1</v>
      </c>
      <c r="Y3" s="46" t="s">
        <v>2</v>
      </c>
      <c r="Z3" s="45" t="s">
        <v>3</v>
      </c>
      <c r="AB3" s="54"/>
      <c r="AC3" s="20" t="s">
        <v>1</v>
      </c>
      <c r="AD3" s="19" t="s">
        <v>2</v>
      </c>
      <c r="AE3" s="19" t="s">
        <v>3</v>
      </c>
      <c r="AF3" s="19" t="s">
        <v>21</v>
      </c>
      <c r="AG3" s="54"/>
      <c r="AH3" s="20" t="s">
        <v>1</v>
      </c>
      <c r="AI3" s="19" t="s">
        <v>2</v>
      </c>
      <c r="AJ3" s="19" t="s">
        <v>3</v>
      </c>
      <c r="AK3" s="19" t="s">
        <v>21</v>
      </c>
      <c r="AL3" s="54"/>
      <c r="AM3" s="20" t="s">
        <v>1</v>
      </c>
      <c r="AN3" s="19" t="s">
        <v>2</v>
      </c>
      <c r="AO3" s="19" t="s">
        <v>3</v>
      </c>
      <c r="AP3" s="19" t="s">
        <v>21</v>
      </c>
      <c r="AR3" s="54"/>
      <c r="AS3" s="20" t="s">
        <v>1</v>
      </c>
      <c r="AT3" s="19" t="s">
        <v>2</v>
      </c>
      <c r="AU3" s="19" t="s">
        <v>3</v>
      </c>
      <c r="AV3" s="19" t="s">
        <v>21</v>
      </c>
      <c r="AW3" s="54"/>
      <c r="AX3" s="20" t="s">
        <v>1</v>
      </c>
      <c r="AY3" s="19" t="s">
        <v>2</v>
      </c>
      <c r="AZ3" s="19" t="s">
        <v>3</v>
      </c>
      <c r="BA3" s="19" t="s">
        <v>21</v>
      </c>
      <c r="BB3" s="54"/>
      <c r="BC3" s="20" t="s">
        <v>1</v>
      </c>
      <c r="BD3" s="19" t="s">
        <v>2</v>
      </c>
      <c r="BE3" s="19" t="s">
        <v>3</v>
      </c>
      <c r="BF3" s="19" t="s">
        <v>21</v>
      </c>
    </row>
    <row r="4" spans="1:59" x14ac:dyDescent="0.2">
      <c r="A4" s="27" t="s">
        <v>32</v>
      </c>
      <c r="B4" s="27">
        <v>223.2</v>
      </c>
      <c r="C4" s="70">
        <v>70.396299999999997</v>
      </c>
      <c r="D4" s="68">
        <f>C4/B4*100</f>
        <v>31.53956093189964</v>
      </c>
      <c r="E4" s="5">
        <v>48</v>
      </c>
      <c r="F4" s="47">
        <v>439.9</v>
      </c>
      <c r="G4" s="4">
        <v>0</v>
      </c>
      <c r="H4" s="5">
        <f>G4/F4*100</f>
        <v>0</v>
      </c>
      <c r="I4" s="5">
        <v>0</v>
      </c>
      <c r="J4" s="47">
        <v>670.5</v>
      </c>
      <c r="K4" s="4">
        <v>0</v>
      </c>
      <c r="L4" s="5">
        <f>K4/J4*100</f>
        <v>0</v>
      </c>
      <c r="M4" s="5">
        <v>0</v>
      </c>
      <c r="O4" s="48">
        <v>223.2</v>
      </c>
      <c r="P4" s="70">
        <v>136.27199999999999</v>
      </c>
      <c r="Q4" s="5">
        <f>P4/O4*100</f>
        <v>61.053763440860209</v>
      </c>
      <c r="R4" s="5">
        <v>86</v>
      </c>
      <c r="S4" s="47">
        <v>439.9</v>
      </c>
      <c r="T4" s="4">
        <v>0</v>
      </c>
      <c r="U4" s="5">
        <f>T4/S4*100</f>
        <v>0</v>
      </c>
      <c r="V4" s="5">
        <v>0</v>
      </c>
      <c r="W4" s="47">
        <v>670.5</v>
      </c>
      <c r="X4" s="4">
        <v>0</v>
      </c>
      <c r="Y4" s="5">
        <f>X4/W4*100</f>
        <v>0</v>
      </c>
      <c r="Z4" s="5">
        <v>0</v>
      </c>
      <c r="AB4" s="48">
        <v>223.2</v>
      </c>
      <c r="AC4" s="4">
        <v>178.47800000000001</v>
      </c>
      <c r="AD4" s="5">
        <f>AC4/AB4*100</f>
        <v>79.963261648745529</v>
      </c>
      <c r="AE4" s="5">
        <v>99</v>
      </c>
      <c r="AF4" s="5">
        <v>2884.93</v>
      </c>
      <c r="AG4" s="47">
        <v>439.9</v>
      </c>
      <c r="AH4" s="21">
        <v>297.30500000000001</v>
      </c>
      <c r="AI4" s="5">
        <f>AH4/AG4*100</f>
        <v>67.584678335985458</v>
      </c>
      <c r="AJ4" s="5">
        <v>76</v>
      </c>
      <c r="AK4" s="5">
        <v>3121.76</v>
      </c>
      <c r="AL4" s="47">
        <v>670.5</v>
      </c>
      <c r="AM4" s="8">
        <v>407.11700000000002</v>
      </c>
      <c r="AN4" s="5">
        <f>AM4/AL4*100</f>
        <v>60.718419090231166</v>
      </c>
      <c r="AO4" s="9">
        <v>61</v>
      </c>
      <c r="AP4" s="5">
        <v>3264.28</v>
      </c>
      <c r="AR4" s="48">
        <v>223.2</v>
      </c>
      <c r="AS4" s="4">
        <v>175.43799999999999</v>
      </c>
      <c r="AT4" s="5">
        <f>AS4/AR4*100</f>
        <v>78.601254480286741</v>
      </c>
      <c r="AU4" s="5">
        <v>98</v>
      </c>
      <c r="AV4" s="5">
        <v>3605.25</v>
      </c>
      <c r="AW4" s="47">
        <v>439.9</v>
      </c>
      <c r="AX4" s="4">
        <v>351.173</v>
      </c>
      <c r="AY4" s="5">
        <f>AX4/AW4*100</f>
        <v>79.830188679245282</v>
      </c>
      <c r="AZ4" s="5">
        <v>100</v>
      </c>
      <c r="BA4" s="5">
        <v>3605.62</v>
      </c>
      <c r="BB4" s="47">
        <v>670.5</v>
      </c>
      <c r="BC4" s="8">
        <v>536.04499999999996</v>
      </c>
      <c r="BD4" s="9">
        <f t="shared" ref="BD4:BD7" si="0">BC4/BB4*100</f>
        <v>79.947054436987315</v>
      </c>
      <c r="BE4" s="9">
        <v>100</v>
      </c>
      <c r="BF4" s="9">
        <v>3601.62</v>
      </c>
    </row>
    <row r="5" spans="1:59" x14ac:dyDescent="0.2">
      <c r="A5" s="28" t="s">
        <v>33</v>
      </c>
      <c r="B5" s="7">
        <v>225.2</v>
      </c>
      <c r="C5" s="71">
        <v>119.774</v>
      </c>
      <c r="D5" s="68">
        <f t="shared" ref="D5:D13" si="1">C5/B5*100</f>
        <v>53.185612788632334</v>
      </c>
      <c r="E5" s="9">
        <v>82</v>
      </c>
      <c r="F5" s="72">
        <v>448.4</v>
      </c>
      <c r="G5" s="8">
        <v>0</v>
      </c>
      <c r="H5" s="5">
        <f t="shared" ref="H5:H13" si="2">G5/F5*100</f>
        <v>0</v>
      </c>
      <c r="I5" s="5">
        <v>0</v>
      </c>
      <c r="J5" s="73">
        <v>668.1</v>
      </c>
      <c r="K5" s="8">
        <v>0</v>
      </c>
      <c r="L5" s="5">
        <f t="shared" ref="L5:L13" si="3">K5/J5*100</f>
        <v>0</v>
      </c>
      <c r="M5" s="5">
        <v>0</v>
      </c>
      <c r="O5" s="7">
        <v>225.2</v>
      </c>
      <c r="P5" s="71">
        <v>122.20399999999999</v>
      </c>
      <c r="Q5" s="5">
        <f t="shared" ref="Q5:Q13" si="4">P5/O5*100</f>
        <v>54.264653641207815</v>
      </c>
      <c r="R5" s="9">
        <v>87</v>
      </c>
      <c r="S5" s="72">
        <v>448.4</v>
      </c>
      <c r="T5" s="4">
        <v>0</v>
      </c>
      <c r="U5" s="5">
        <f t="shared" ref="U5:U13" si="5">T5/S5*100</f>
        <v>0</v>
      </c>
      <c r="V5" s="5">
        <v>0</v>
      </c>
      <c r="W5" s="73">
        <v>668.1</v>
      </c>
      <c r="X5" s="4">
        <v>0</v>
      </c>
      <c r="Y5" s="5">
        <f t="shared" ref="Y5:Y13" si="6">X5/W5*100</f>
        <v>0</v>
      </c>
      <c r="Z5" s="5">
        <v>0</v>
      </c>
      <c r="AB5" s="7">
        <v>225.2</v>
      </c>
      <c r="AC5" s="8">
        <v>177.86099999999999</v>
      </c>
      <c r="AD5" s="5">
        <f t="shared" ref="AD5:AD13" si="7">AC5/AB5*100</f>
        <v>78.979129662522212</v>
      </c>
      <c r="AE5" s="9">
        <v>100</v>
      </c>
      <c r="AF5" s="9">
        <v>2880.45</v>
      </c>
      <c r="AG5" s="72">
        <v>448.4</v>
      </c>
      <c r="AH5" s="22">
        <v>324.40199999999999</v>
      </c>
      <c r="AI5" s="5">
        <f t="shared" ref="AI5:AI13" si="8">AH5/AG5*100</f>
        <v>72.346565566458523</v>
      </c>
      <c r="AJ5" s="9">
        <f>177/2</f>
        <v>88.5</v>
      </c>
      <c r="AK5" s="9">
        <v>3001.66</v>
      </c>
      <c r="AL5" s="73">
        <v>668.1</v>
      </c>
      <c r="AM5" s="8">
        <v>416.68599999999998</v>
      </c>
      <c r="AN5" s="5">
        <f t="shared" ref="AN5:AN13" si="9">AM5/AL5*100</f>
        <v>62.368807064810653</v>
      </c>
      <c r="AO5" s="9">
        <v>67.333333333333329</v>
      </c>
      <c r="AP5" s="5">
        <v>2577.7800000000002</v>
      </c>
      <c r="AR5" s="7">
        <v>225.2</v>
      </c>
      <c r="AS5" s="8">
        <v>179</v>
      </c>
      <c r="AT5" s="5">
        <f t="shared" ref="AT5:AT13" si="10">AS5/AR5*100</f>
        <v>79.484902309058612</v>
      </c>
      <c r="AU5" s="9">
        <v>100</v>
      </c>
      <c r="AV5" s="9">
        <v>2495.4</v>
      </c>
      <c r="AW5" s="72">
        <v>448.4</v>
      </c>
      <c r="AX5" s="8">
        <v>363.33699999999999</v>
      </c>
      <c r="AY5" s="5">
        <f t="shared" ref="AY5:AY13" si="11">AX5/AW5*100</f>
        <v>81.029661016949149</v>
      </c>
      <c r="AZ5" s="5">
        <v>99.5</v>
      </c>
      <c r="BA5" s="9">
        <v>3602.3</v>
      </c>
      <c r="BB5" s="73">
        <v>668.1</v>
      </c>
      <c r="BC5" s="8">
        <v>558.22900000000004</v>
      </c>
      <c r="BD5" s="9">
        <f t="shared" si="0"/>
        <v>83.554707379134868</v>
      </c>
      <c r="BE5" s="9">
        <v>99.666666666666671</v>
      </c>
      <c r="BF5" s="9">
        <v>3602.74</v>
      </c>
    </row>
    <row r="6" spans="1:59" x14ac:dyDescent="0.2">
      <c r="A6" s="27" t="s">
        <v>34</v>
      </c>
      <c r="B6" s="7">
        <v>216.4</v>
      </c>
      <c r="C6" s="71">
        <v>85.759799999999998</v>
      </c>
      <c r="D6" s="68">
        <f t="shared" si="1"/>
        <v>39.63022181146026</v>
      </c>
      <c r="E6" s="9">
        <v>61</v>
      </c>
      <c r="F6" s="72">
        <v>436.1</v>
      </c>
      <c r="G6" s="4">
        <v>0</v>
      </c>
      <c r="H6" s="5">
        <f t="shared" si="2"/>
        <v>0</v>
      </c>
      <c r="I6" s="5">
        <v>0</v>
      </c>
      <c r="J6" s="73">
        <v>655.7</v>
      </c>
      <c r="K6" s="4">
        <v>0</v>
      </c>
      <c r="L6" s="5">
        <f t="shared" si="3"/>
        <v>0</v>
      </c>
      <c r="M6" s="5">
        <v>0</v>
      </c>
      <c r="O6" s="7">
        <v>216.4</v>
      </c>
      <c r="P6" s="71">
        <v>120.349</v>
      </c>
      <c r="Q6" s="5">
        <f t="shared" si="4"/>
        <v>55.614140480591502</v>
      </c>
      <c r="R6" s="9">
        <v>80</v>
      </c>
      <c r="S6" s="72">
        <v>436.1</v>
      </c>
      <c r="T6" s="4">
        <v>0</v>
      </c>
      <c r="U6" s="5">
        <f t="shared" si="5"/>
        <v>0</v>
      </c>
      <c r="V6" s="5">
        <v>0</v>
      </c>
      <c r="W6" s="73">
        <v>655.7</v>
      </c>
      <c r="X6" s="4">
        <v>0</v>
      </c>
      <c r="Y6" s="5">
        <f t="shared" si="6"/>
        <v>0</v>
      </c>
      <c r="Z6" s="5">
        <v>0</v>
      </c>
      <c r="AB6" s="7">
        <v>216.4</v>
      </c>
      <c r="AC6" s="8">
        <v>166.57499999999999</v>
      </c>
      <c r="AD6" s="5">
        <f t="shared" si="7"/>
        <v>76.975508317929751</v>
      </c>
      <c r="AE6" s="9">
        <v>100</v>
      </c>
      <c r="AF6" s="9">
        <v>3131.19</v>
      </c>
      <c r="AG6" s="72">
        <v>436.1</v>
      </c>
      <c r="AH6" s="22">
        <v>319.995</v>
      </c>
      <c r="AI6" s="5">
        <f t="shared" si="8"/>
        <v>73.376519146984634</v>
      </c>
      <c r="AJ6" s="9">
        <v>89</v>
      </c>
      <c r="AK6" s="9">
        <v>2899.56</v>
      </c>
      <c r="AL6" s="73">
        <v>655.7</v>
      </c>
      <c r="AM6" s="8">
        <v>409.35700000000003</v>
      </c>
      <c r="AN6" s="5">
        <f t="shared" si="9"/>
        <v>62.430532255604696</v>
      </c>
      <c r="AO6" s="9">
        <v>63.333333333333336</v>
      </c>
      <c r="AP6" s="5">
        <v>2892.18</v>
      </c>
      <c r="AR6" s="7">
        <v>216.4</v>
      </c>
      <c r="AS6" s="8">
        <v>167.49</v>
      </c>
      <c r="AT6" s="5">
        <f t="shared" si="10"/>
        <v>77.39833641404806</v>
      </c>
      <c r="AU6" s="9">
        <v>100</v>
      </c>
      <c r="AV6" s="9">
        <v>3609.78</v>
      </c>
      <c r="AW6" s="72">
        <v>436.1</v>
      </c>
      <c r="AX6" s="4">
        <v>367.15800000000002</v>
      </c>
      <c r="AY6" s="5">
        <f t="shared" si="11"/>
        <v>84.191240541160283</v>
      </c>
      <c r="AZ6" s="5">
        <v>100</v>
      </c>
      <c r="BA6" s="9">
        <v>2605.9699999999998</v>
      </c>
      <c r="BB6" s="73">
        <v>655.7</v>
      </c>
      <c r="BC6" s="8">
        <v>548.17100000000005</v>
      </c>
      <c r="BD6" s="9">
        <f t="shared" si="0"/>
        <v>83.600884550861679</v>
      </c>
      <c r="BE6" s="9">
        <v>100</v>
      </c>
      <c r="BF6" s="9">
        <v>2755.98</v>
      </c>
    </row>
    <row r="7" spans="1:59" x14ac:dyDescent="0.2">
      <c r="A7" s="28" t="s">
        <v>35</v>
      </c>
      <c r="B7" s="7">
        <v>224.6</v>
      </c>
      <c r="C7" s="71">
        <v>103.669</v>
      </c>
      <c r="D7" s="68">
        <f t="shared" si="1"/>
        <v>46.157168299198574</v>
      </c>
      <c r="E7" s="9">
        <v>61</v>
      </c>
      <c r="F7" s="72">
        <v>443.2</v>
      </c>
      <c r="G7" s="8">
        <v>0</v>
      </c>
      <c r="H7" s="5">
        <f t="shared" si="2"/>
        <v>0</v>
      </c>
      <c r="I7" s="5">
        <v>0</v>
      </c>
      <c r="J7" s="73">
        <v>672.2</v>
      </c>
      <c r="K7" s="8">
        <v>0</v>
      </c>
      <c r="L7" s="5">
        <f t="shared" si="3"/>
        <v>0</v>
      </c>
      <c r="M7" s="5">
        <v>0</v>
      </c>
      <c r="O7" s="7">
        <v>224.6</v>
      </c>
      <c r="P7" s="71">
        <v>137.14699999999999</v>
      </c>
      <c r="Q7" s="5">
        <f t="shared" si="4"/>
        <v>61.062778272484422</v>
      </c>
      <c r="R7" s="9">
        <v>86</v>
      </c>
      <c r="S7" s="72">
        <v>443.2</v>
      </c>
      <c r="T7" s="4">
        <v>0</v>
      </c>
      <c r="U7" s="5">
        <f t="shared" si="5"/>
        <v>0</v>
      </c>
      <c r="V7" s="5">
        <v>0</v>
      </c>
      <c r="W7" s="73">
        <v>672.2</v>
      </c>
      <c r="X7" s="4">
        <v>0</v>
      </c>
      <c r="Y7" s="5">
        <f t="shared" si="6"/>
        <v>0</v>
      </c>
      <c r="Z7" s="5">
        <v>0</v>
      </c>
      <c r="AB7" s="7">
        <v>224.6</v>
      </c>
      <c r="AC7" s="8">
        <v>175.37299999999999</v>
      </c>
      <c r="AD7" s="5">
        <f t="shared" si="7"/>
        <v>78.082368655387356</v>
      </c>
      <c r="AE7" s="9">
        <v>98</v>
      </c>
      <c r="AF7" s="9">
        <v>2892</v>
      </c>
      <c r="AG7" s="72">
        <v>443.2</v>
      </c>
      <c r="AH7" s="22">
        <v>307.61200000000002</v>
      </c>
      <c r="AI7" s="5">
        <f t="shared" si="8"/>
        <v>69.407039711191345</v>
      </c>
      <c r="AJ7" s="9">
        <v>78.5</v>
      </c>
      <c r="AK7" s="9">
        <v>3053.96</v>
      </c>
      <c r="AL7" s="73">
        <v>672.2</v>
      </c>
      <c r="AM7" s="8">
        <v>408.03800000000001</v>
      </c>
      <c r="AN7" s="5">
        <f t="shared" si="9"/>
        <v>60.701874442130318</v>
      </c>
      <c r="AO7" s="9">
        <v>63</v>
      </c>
      <c r="AP7" s="9">
        <v>2913.75</v>
      </c>
      <c r="AR7" s="7">
        <v>224.6</v>
      </c>
      <c r="AS7" s="8">
        <v>177.261</v>
      </c>
      <c r="AT7" s="5">
        <f t="shared" si="10"/>
        <v>78.922974176313446</v>
      </c>
      <c r="AU7" s="9">
        <v>100</v>
      </c>
      <c r="AV7" s="9">
        <v>3600.7</v>
      </c>
      <c r="AW7" s="72">
        <v>443.2</v>
      </c>
      <c r="AX7" s="8">
        <v>356.70499999999998</v>
      </c>
      <c r="AY7" s="5">
        <f t="shared" si="11"/>
        <v>80.483980144404327</v>
      </c>
      <c r="AZ7" s="5">
        <v>100</v>
      </c>
      <c r="BA7" s="9">
        <v>3605.29</v>
      </c>
      <c r="BB7" s="73">
        <v>672.2</v>
      </c>
      <c r="BC7" s="8">
        <v>547.52800000000002</v>
      </c>
      <c r="BD7" s="9">
        <f t="shared" si="0"/>
        <v>81.453138946742044</v>
      </c>
      <c r="BE7" s="5">
        <v>100</v>
      </c>
      <c r="BF7" s="9">
        <v>3600.71</v>
      </c>
    </row>
    <row r="8" spans="1:59" x14ac:dyDescent="0.2">
      <c r="A8" s="27" t="s">
        <v>36</v>
      </c>
      <c r="B8" s="7">
        <v>205.4</v>
      </c>
      <c r="C8" s="71">
        <v>93.898700000000005</v>
      </c>
      <c r="D8" s="68">
        <f t="shared" si="1"/>
        <v>45.715043816942554</v>
      </c>
      <c r="E8" s="9">
        <v>57</v>
      </c>
      <c r="F8" s="72">
        <v>429.1</v>
      </c>
      <c r="G8" s="4">
        <v>0</v>
      </c>
      <c r="H8" s="5">
        <f t="shared" si="2"/>
        <v>0</v>
      </c>
      <c r="I8" s="5">
        <v>0</v>
      </c>
      <c r="J8" s="73">
        <v>657</v>
      </c>
      <c r="K8" s="4">
        <v>0</v>
      </c>
      <c r="L8" s="5">
        <f t="shared" si="3"/>
        <v>0</v>
      </c>
      <c r="M8" s="5">
        <v>0</v>
      </c>
      <c r="O8" s="7">
        <v>205.4</v>
      </c>
      <c r="P8" s="71">
        <v>106.629</v>
      </c>
      <c r="Q8" s="5">
        <f t="shared" si="4"/>
        <v>51.912852969814992</v>
      </c>
      <c r="R8" s="9">
        <v>80</v>
      </c>
      <c r="S8" s="72">
        <v>429.1</v>
      </c>
      <c r="T8" s="4">
        <v>0</v>
      </c>
      <c r="U8" s="5">
        <f t="shared" si="5"/>
        <v>0</v>
      </c>
      <c r="V8" s="5">
        <v>0</v>
      </c>
      <c r="W8" s="73">
        <v>657</v>
      </c>
      <c r="X8" s="4">
        <v>0</v>
      </c>
      <c r="Y8" s="5">
        <f t="shared" si="6"/>
        <v>0</v>
      </c>
      <c r="Z8" s="5">
        <v>0</v>
      </c>
      <c r="AB8" s="7">
        <v>205.4</v>
      </c>
      <c r="AC8" s="8">
        <v>159.529</v>
      </c>
      <c r="AD8" s="5">
        <f t="shared" si="7"/>
        <v>77.667478091528722</v>
      </c>
      <c r="AE8" s="9">
        <v>98</v>
      </c>
      <c r="AF8" s="9">
        <v>3095.83</v>
      </c>
      <c r="AG8" s="72">
        <v>429.1</v>
      </c>
      <c r="AH8" s="22">
        <v>303.24099999999999</v>
      </c>
      <c r="AI8" s="5">
        <f t="shared" si="8"/>
        <v>70.669074807737118</v>
      </c>
      <c r="AJ8" s="9">
        <v>88</v>
      </c>
      <c r="AK8" s="9">
        <v>3076.82</v>
      </c>
      <c r="AL8" s="73">
        <v>657</v>
      </c>
      <c r="AM8" s="8">
        <v>398.90699999999998</v>
      </c>
      <c r="AN8" s="5">
        <f t="shared" si="9"/>
        <v>60.716438356164382</v>
      </c>
      <c r="AO8" s="9">
        <v>66.666666666666671</v>
      </c>
      <c r="AP8" s="9">
        <v>2394.2399999999998</v>
      </c>
      <c r="AR8" s="7">
        <v>205.4</v>
      </c>
      <c r="AS8" s="8">
        <v>159.49600000000001</v>
      </c>
      <c r="AT8" s="5">
        <f t="shared" si="10"/>
        <v>77.651411879259982</v>
      </c>
      <c r="AU8" s="9">
        <v>98</v>
      </c>
      <c r="AV8" s="9">
        <v>3601.88</v>
      </c>
      <c r="AW8" s="72">
        <v>429.1</v>
      </c>
      <c r="AX8" s="4">
        <v>347.78300000000002</v>
      </c>
      <c r="AY8" s="5">
        <f t="shared" si="11"/>
        <v>81.049405732929387</v>
      </c>
      <c r="AZ8" s="5">
        <v>100</v>
      </c>
      <c r="BA8" s="9">
        <v>2921.39</v>
      </c>
      <c r="BB8" s="73">
        <v>657</v>
      </c>
      <c r="BC8" s="4">
        <v>540.76099999999997</v>
      </c>
      <c r="BD8" s="9">
        <f>BC8/BB8*100</f>
        <v>82.307610350076104</v>
      </c>
      <c r="BE8" s="5">
        <v>100</v>
      </c>
      <c r="BF8" s="9">
        <v>3600.28</v>
      </c>
    </row>
    <row r="9" spans="1:59" x14ac:dyDescent="0.2">
      <c r="A9" s="28" t="s">
        <v>37</v>
      </c>
      <c r="B9" s="7">
        <v>239.2</v>
      </c>
      <c r="C9" s="71">
        <v>12.5</v>
      </c>
      <c r="D9" s="68">
        <f t="shared" si="1"/>
        <v>5.2257525083612038</v>
      </c>
      <c r="E9" s="9">
        <v>4</v>
      </c>
      <c r="F9" s="72">
        <v>464.9</v>
      </c>
      <c r="G9" s="8">
        <v>0</v>
      </c>
      <c r="H9" s="5">
        <f t="shared" si="2"/>
        <v>0</v>
      </c>
      <c r="I9" s="5">
        <v>0</v>
      </c>
      <c r="J9" s="73">
        <v>694.8</v>
      </c>
      <c r="K9" s="8">
        <v>0</v>
      </c>
      <c r="L9" s="5">
        <f t="shared" si="3"/>
        <v>0</v>
      </c>
      <c r="M9" s="5">
        <v>0</v>
      </c>
      <c r="O9" s="7">
        <v>239.2</v>
      </c>
      <c r="P9" s="71">
        <v>141.77199999999999</v>
      </c>
      <c r="Q9" s="5">
        <f t="shared" si="4"/>
        <v>59.269230769230759</v>
      </c>
      <c r="R9" s="9">
        <v>81</v>
      </c>
      <c r="S9" s="72">
        <v>464.9</v>
      </c>
      <c r="T9" s="4">
        <v>0</v>
      </c>
      <c r="U9" s="5">
        <f t="shared" si="5"/>
        <v>0</v>
      </c>
      <c r="V9" s="5">
        <v>0</v>
      </c>
      <c r="W9" s="73">
        <v>694.8</v>
      </c>
      <c r="X9" s="4">
        <v>0</v>
      </c>
      <c r="Y9" s="5">
        <f t="shared" si="6"/>
        <v>0</v>
      </c>
      <c r="Z9" s="5">
        <v>0</v>
      </c>
      <c r="AB9" s="7">
        <v>239.2</v>
      </c>
      <c r="AC9" s="8">
        <v>182.00299999999999</v>
      </c>
      <c r="AD9" s="5">
        <f t="shared" si="7"/>
        <v>76.088210702341129</v>
      </c>
      <c r="AE9" s="9">
        <v>93</v>
      </c>
      <c r="AF9" s="9">
        <v>3600</v>
      </c>
      <c r="AG9" s="72">
        <v>464.9</v>
      </c>
      <c r="AH9" s="22">
        <v>320.23700000000002</v>
      </c>
      <c r="AI9" s="5">
        <f t="shared" si="8"/>
        <v>68.882985588298567</v>
      </c>
      <c r="AJ9" s="9">
        <v>78.5</v>
      </c>
      <c r="AK9" s="9">
        <v>3106.77</v>
      </c>
      <c r="AL9" s="73">
        <v>694.8</v>
      </c>
      <c r="AM9" s="8">
        <v>433.56</v>
      </c>
      <c r="AN9" s="5">
        <f t="shared" si="9"/>
        <v>62.400690846286707</v>
      </c>
      <c r="AO9" s="9">
        <v>65</v>
      </c>
      <c r="AP9" s="9">
        <v>2961.26</v>
      </c>
      <c r="AR9" s="7">
        <v>239.2</v>
      </c>
      <c r="AS9" s="8">
        <v>185.15299999999999</v>
      </c>
      <c r="AT9" s="5">
        <f t="shared" si="10"/>
        <v>77.405100334448164</v>
      </c>
      <c r="AU9" s="9">
        <v>99</v>
      </c>
      <c r="AV9" s="9">
        <v>3604.13</v>
      </c>
      <c r="AW9" s="72">
        <v>464.9</v>
      </c>
      <c r="AX9" s="8">
        <v>362.31400000000002</v>
      </c>
      <c r="AY9" s="5">
        <f t="shared" si="11"/>
        <v>77.933749193374922</v>
      </c>
      <c r="AZ9" s="5">
        <v>100</v>
      </c>
      <c r="BA9" s="9">
        <v>3602.48</v>
      </c>
      <c r="BB9" s="73">
        <v>694.8</v>
      </c>
      <c r="BC9" s="8">
        <v>577.29300000000001</v>
      </c>
      <c r="BD9" s="9">
        <f t="shared" ref="BD9:BD13" si="12">BC9/BB9*100</f>
        <v>83.087651122625218</v>
      </c>
      <c r="BE9" s="5">
        <v>100</v>
      </c>
      <c r="BF9" s="9">
        <v>3601.72</v>
      </c>
    </row>
    <row r="10" spans="1:59" x14ac:dyDescent="0.2">
      <c r="A10" s="27" t="s">
        <v>38</v>
      </c>
      <c r="B10" s="7">
        <v>214.4</v>
      </c>
      <c r="C10" s="71">
        <v>0</v>
      </c>
      <c r="D10" s="68">
        <f t="shared" si="1"/>
        <v>0</v>
      </c>
      <c r="E10" s="9">
        <v>0</v>
      </c>
      <c r="F10" s="72">
        <v>433</v>
      </c>
      <c r="G10" s="4">
        <v>0</v>
      </c>
      <c r="H10" s="5">
        <f t="shared" si="2"/>
        <v>0</v>
      </c>
      <c r="I10" s="5">
        <v>0</v>
      </c>
      <c r="J10" s="73">
        <v>650</v>
      </c>
      <c r="K10" s="4">
        <v>0</v>
      </c>
      <c r="L10" s="5">
        <f t="shared" si="3"/>
        <v>0</v>
      </c>
      <c r="M10" s="5">
        <v>0</v>
      </c>
      <c r="O10" s="7">
        <v>214.4</v>
      </c>
      <c r="P10" s="71">
        <v>76.555999999999997</v>
      </c>
      <c r="Q10" s="5">
        <f t="shared" si="4"/>
        <v>35.707089552238799</v>
      </c>
      <c r="R10" s="9">
        <v>41</v>
      </c>
      <c r="S10" s="72">
        <v>433</v>
      </c>
      <c r="T10" s="4">
        <v>0</v>
      </c>
      <c r="U10" s="5">
        <f t="shared" si="5"/>
        <v>0</v>
      </c>
      <c r="V10" s="5">
        <v>0</v>
      </c>
      <c r="W10" s="73">
        <v>650</v>
      </c>
      <c r="X10" s="4">
        <v>0</v>
      </c>
      <c r="Y10" s="5">
        <f t="shared" si="6"/>
        <v>0</v>
      </c>
      <c r="Z10" s="5">
        <v>0</v>
      </c>
      <c r="AB10" s="7">
        <v>214.4</v>
      </c>
      <c r="AC10" s="8">
        <v>163.32</v>
      </c>
      <c r="AD10" s="5">
        <f t="shared" si="7"/>
        <v>76.175373134328353</v>
      </c>
      <c r="AE10" s="9">
        <v>93</v>
      </c>
      <c r="AF10" s="9">
        <v>3600</v>
      </c>
      <c r="AG10" s="72">
        <v>433</v>
      </c>
      <c r="AH10" s="22">
        <v>316.27100000000002</v>
      </c>
      <c r="AI10" s="5">
        <f t="shared" si="8"/>
        <v>73.041801385681296</v>
      </c>
      <c r="AJ10" s="9">
        <v>84.5</v>
      </c>
      <c r="AK10" s="9">
        <v>3037.22</v>
      </c>
      <c r="AL10" s="73">
        <v>650</v>
      </c>
      <c r="AM10" s="8">
        <v>366.13099999999997</v>
      </c>
      <c r="AN10" s="5">
        <f t="shared" si="9"/>
        <v>56.327846153846153</v>
      </c>
      <c r="AO10" s="9">
        <v>53.333333333333336</v>
      </c>
      <c r="AP10" s="9">
        <v>2988.87</v>
      </c>
      <c r="AR10" s="7">
        <v>214.4</v>
      </c>
      <c r="AS10" s="8">
        <v>167.774</v>
      </c>
      <c r="AT10" s="5">
        <f t="shared" si="10"/>
        <v>78.252798507462686</v>
      </c>
      <c r="AU10" s="9">
        <v>95</v>
      </c>
      <c r="AV10" s="9">
        <v>3823.33</v>
      </c>
      <c r="AW10" s="72">
        <v>433</v>
      </c>
      <c r="AX10" s="4">
        <v>354.56900000000002</v>
      </c>
      <c r="AY10" s="5">
        <f t="shared" si="11"/>
        <v>81.886605080831416</v>
      </c>
      <c r="AZ10" s="5">
        <v>100</v>
      </c>
      <c r="BA10" s="9">
        <v>3770.65</v>
      </c>
      <c r="BB10" s="73">
        <v>650</v>
      </c>
      <c r="BC10" s="4">
        <v>535.87</v>
      </c>
      <c r="BD10" s="9">
        <f t="shared" si="12"/>
        <v>82.441538461538471</v>
      </c>
      <c r="BE10" s="5">
        <v>100</v>
      </c>
      <c r="BF10" s="9">
        <v>3601.87</v>
      </c>
    </row>
    <row r="11" spans="1:59" x14ac:dyDescent="0.2">
      <c r="A11" s="28" t="s">
        <v>39</v>
      </c>
      <c r="B11" s="7">
        <v>231.5</v>
      </c>
      <c r="C11" s="71">
        <v>0</v>
      </c>
      <c r="D11" s="68">
        <f t="shared" si="1"/>
        <v>0</v>
      </c>
      <c r="E11" s="9">
        <v>0</v>
      </c>
      <c r="F11" s="72">
        <v>455.1</v>
      </c>
      <c r="G11" s="8">
        <v>0</v>
      </c>
      <c r="H11" s="5">
        <f t="shared" si="2"/>
        <v>0</v>
      </c>
      <c r="I11" s="5">
        <v>0</v>
      </c>
      <c r="J11" s="73">
        <v>680.6</v>
      </c>
      <c r="K11" s="8">
        <v>0</v>
      </c>
      <c r="L11" s="5">
        <f t="shared" si="3"/>
        <v>0</v>
      </c>
      <c r="M11" s="5">
        <v>0</v>
      </c>
      <c r="O11" s="7">
        <v>231.5</v>
      </c>
      <c r="P11" s="71">
        <v>142</v>
      </c>
      <c r="Q11" s="5">
        <f t="shared" si="4"/>
        <v>61.339092872570191</v>
      </c>
      <c r="R11" s="9">
        <v>88</v>
      </c>
      <c r="S11" s="72">
        <v>455.1</v>
      </c>
      <c r="T11" s="4">
        <v>0</v>
      </c>
      <c r="U11" s="5">
        <f t="shared" si="5"/>
        <v>0</v>
      </c>
      <c r="V11" s="5">
        <v>0</v>
      </c>
      <c r="W11" s="73">
        <v>680.6</v>
      </c>
      <c r="X11" s="4">
        <v>0</v>
      </c>
      <c r="Y11" s="5">
        <f t="shared" si="6"/>
        <v>0</v>
      </c>
      <c r="Z11" s="5">
        <v>0</v>
      </c>
      <c r="AB11" s="7">
        <v>231.5</v>
      </c>
      <c r="AC11" s="8">
        <v>183.892</v>
      </c>
      <c r="AD11" s="5">
        <f t="shared" si="7"/>
        <v>79.434989200863924</v>
      </c>
      <c r="AE11" s="9">
        <v>100</v>
      </c>
      <c r="AF11" s="9">
        <v>2899.36</v>
      </c>
      <c r="AG11" s="72">
        <v>455.1</v>
      </c>
      <c r="AH11" s="22">
        <v>319.637</v>
      </c>
      <c r="AI11" s="5">
        <f t="shared" si="8"/>
        <v>70.234453966161283</v>
      </c>
      <c r="AJ11" s="9">
        <v>86.5</v>
      </c>
      <c r="AK11" s="9">
        <v>3260.61</v>
      </c>
      <c r="AL11" s="73">
        <v>680.6</v>
      </c>
      <c r="AM11" s="8">
        <v>409.702</v>
      </c>
      <c r="AN11" s="5">
        <f t="shared" si="9"/>
        <v>60.197178959741407</v>
      </c>
      <c r="AO11" s="9">
        <v>65.333333333333329</v>
      </c>
      <c r="AP11" s="9">
        <v>3042.94</v>
      </c>
      <c r="AR11" s="7">
        <v>231.5</v>
      </c>
      <c r="AS11" s="8">
        <v>184.47900000000001</v>
      </c>
      <c r="AT11" s="5">
        <f t="shared" si="10"/>
        <v>79.688552915766735</v>
      </c>
      <c r="AU11" s="9">
        <v>100</v>
      </c>
      <c r="AV11" s="9">
        <v>3600.5</v>
      </c>
      <c r="AW11" s="72">
        <v>455.1</v>
      </c>
      <c r="AX11" s="8">
        <v>362.88</v>
      </c>
      <c r="AY11" s="5">
        <f t="shared" si="11"/>
        <v>79.736321687541192</v>
      </c>
      <c r="AZ11" s="5">
        <v>100</v>
      </c>
      <c r="BA11" s="9">
        <v>3604.85</v>
      </c>
      <c r="BB11" s="73">
        <v>680.6</v>
      </c>
      <c r="BC11" s="8">
        <v>540.62199999999996</v>
      </c>
      <c r="BD11" s="9">
        <f t="shared" si="12"/>
        <v>79.433147223038489</v>
      </c>
      <c r="BE11" s="5">
        <v>99.333333333333329</v>
      </c>
      <c r="BF11" s="9">
        <v>3602.59</v>
      </c>
    </row>
    <row r="12" spans="1:59" x14ac:dyDescent="0.2">
      <c r="A12" s="27" t="s">
        <v>40</v>
      </c>
      <c r="B12" s="7">
        <v>239.5</v>
      </c>
      <c r="C12" s="71">
        <v>0.8</v>
      </c>
      <c r="D12" s="68">
        <f t="shared" si="1"/>
        <v>0.33402922755741127</v>
      </c>
      <c r="E12" s="9">
        <v>1</v>
      </c>
      <c r="F12" s="72">
        <v>445.9</v>
      </c>
      <c r="G12" s="4">
        <v>0</v>
      </c>
      <c r="H12" s="5">
        <f t="shared" si="2"/>
        <v>0</v>
      </c>
      <c r="I12" s="5">
        <v>0</v>
      </c>
      <c r="J12" s="73">
        <v>683.1</v>
      </c>
      <c r="K12" s="4">
        <v>0</v>
      </c>
      <c r="L12" s="5">
        <f t="shared" si="3"/>
        <v>0</v>
      </c>
      <c r="M12" s="5">
        <v>0</v>
      </c>
      <c r="O12" s="7">
        <v>239.5</v>
      </c>
      <c r="P12" s="71">
        <v>141.066</v>
      </c>
      <c r="Q12" s="5">
        <f t="shared" si="4"/>
        <v>58.900208768267227</v>
      </c>
      <c r="R12" s="9">
        <v>86</v>
      </c>
      <c r="S12" s="72">
        <v>445.9</v>
      </c>
      <c r="T12" s="4">
        <v>0</v>
      </c>
      <c r="U12" s="5">
        <f t="shared" si="5"/>
        <v>0</v>
      </c>
      <c r="V12" s="5">
        <v>0</v>
      </c>
      <c r="W12" s="73">
        <v>683.1</v>
      </c>
      <c r="X12" s="4">
        <v>0</v>
      </c>
      <c r="Y12" s="5">
        <f t="shared" si="6"/>
        <v>0</v>
      </c>
      <c r="Z12" s="5">
        <v>0</v>
      </c>
      <c r="AB12" s="7">
        <v>239.5</v>
      </c>
      <c r="AC12" s="8">
        <v>185.898</v>
      </c>
      <c r="AD12" s="5">
        <f t="shared" si="7"/>
        <v>77.619206680584554</v>
      </c>
      <c r="AE12" s="9">
        <v>98</v>
      </c>
      <c r="AF12" s="9">
        <v>2940.9</v>
      </c>
      <c r="AG12" s="72">
        <v>445.9</v>
      </c>
      <c r="AH12" s="22">
        <v>316.66199999999998</v>
      </c>
      <c r="AI12" s="5">
        <f t="shared" si="8"/>
        <v>71.016371383718322</v>
      </c>
      <c r="AJ12" s="9">
        <v>82.5</v>
      </c>
      <c r="AK12" s="9">
        <v>2914.8</v>
      </c>
      <c r="AL12" s="73">
        <v>683.1</v>
      </c>
      <c r="AM12" s="8">
        <v>406.35300000000001</v>
      </c>
      <c r="AN12" s="5">
        <f t="shared" si="9"/>
        <v>59.486605182257357</v>
      </c>
      <c r="AO12" s="9">
        <v>61</v>
      </c>
      <c r="AP12" s="9">
        <v>2326.86</v>
      </c>
      <c r="AR12" s="7">
        <v>239.5</v>
      </c>
      <c r="AS12" s="8">
        <v>185.44300000000001</v>
      </c>
      <c r="AT12" s="5">
        <f t="shared" si="10"/>
        <v>77.429227557411267</v>
      </c>
      <c r="AU12" s="9">
        <v>100</v>
      </c>
      <c r="AV12" s="9">
        <v>3153.5</v>
      </c>
      <c r="AW12" s="72">
        <v>445.9</v>
      </c>
      <c r="AX12" s="4">
        <v>355.03800000000001</v>
      </c>
      <c r="AY12" s="5">
        <f t="shared" si="11"/>
        <v>79.622785377887425</v>
      </c>
      <c r="AZ12" s="5">
        <v>100</v>
      </c>
      <c r="BA12" s="9">
        <v>3607.6</v>
      </c>
      <c r="BB12" s="73">
        <v>683.1</v>
      </c>
      <c r="BC12" s="4">
        <v>567.87300000000005</v>
      </c>
      <c r="BD12" s="9">
        <f t="shared" si="12"/>
        <v>83.131752305665358</v>
      </c>
      <c r="BE12" s="5">
        <v>100</v>
      </c>
      <c r="BF12" s="9">
        <v>3600.11</v>
      </c>
    </row>
    <row r="13" spans="1:59" x14ac:dyDescent="0.2">
      <c r="A13" s="28" t="s">
        <v>41</v>
      </c>
      <c r="B13" s="7">
        <v>221.1</v>
      </c>
      <c r="C13" s="71">
        <v>95.449200000000005</v>
      </c>
      <c r="D13" s="68">
        <f t="shared" si="1"/>
        <v>43.170149253731353</v>
      </c>
      <c r="E13" s="9">
        <v>56</v>
      </c>
      <c r="F13" s="72">
        <v>461</v>
      </c>
      <c r="G13" s="8">
        <v>0</v>
      </c>
      <c r="H13" s="5">
        <f t="shared" si="2"/>
        <v>0</v>
      </c>
      <c r="I13" s="5">
        <v>0</v>
      </c>
      <c r="J13" s="73">
        <v>671.9</v>
      </c>
      <c r="K13" s="8">
        <v>0</v>
      </c>
      <c r="L13" s="5">
        <f t="shared" si="3"/>
        <v>0</v>
      </c>
      <c r="M13" s="5">
        <v>0</v>
      </c>
      <c r="O13" s="7">
        <v>221.1</v>
      </c>
      <c r="P13" s="71">
        <v>131.245</v>
      </c>
      <c r="Q13" s="5">
        <f t="shared" si="4"/>
        <v>59.360018091361376</v>
      </c>
      <c r="R13" s="9">
        <v>83</v>
      </c>
      <c r="S13" s="72">
        <v>461</v>
      </c>
      <c r="T13" s="4">
        <v>0</v>
      </c>
      <c r="U13" s="5">
        <f t="shared" si="5"/>
        <v>0</v>
      </c>
      <c r="V13" s="5">
        <v>0</v>
      </c>
      <c r="W13" s="73">
        <v>671.9</v>
      </c>
      <c r="X13" s="4">
        <v>0</v>
      </c>
      <c r="Y13" s="5">
        <f t="shared" si="6"/>
        <v>0</v>
      </c>
      <c r="Z13" s="5">
        <v>0</v>
      </c>
      <c r="AB13" s="7">
        <v>221.1</v>
      </c>
      <c r="AC13" s="8">
        <v>176.09</v>
      </c>
      <c r="AD13" s="5">
        <f t="shared" si="7"/>
        <v>79.642695612844875</v>
      </c>
      <c r="AE13" s="9">
        <v>96</v>
      </c>
      <c r="AF13" s="9">
        <v>2894.08</v>
      </c>
      <c r="AG13" s="72">
        <v>461</v>
      </c>
      <c r="AH13" s="22">
        <v>337.90300000000002</v>
      </c>
      <c r="AI13" s="5">
        <f t="shared" si="8"/>
        <v>73.297830802603031</v>
      </c>
      <c r="AJ13" s="9">
        <v>91</v>
      </c>
      <c r="AK13" s="9">
        <v>3048.58</v>
      </c>
      <c r="AL13" s="73">
        <v>671.9</v>
      </c>
      <c r="AM13" s="8">
        <v>438.32600000000002</v>
      </c>
      <c r="AN13" s="5">
        <f t="shared" si="9"/>
        <v>65.236791189165061</v>
      </c>
      <c r="AO13" s="9">
        <v>70.666666666666671</v>
      </c>
      <c r="AP13" s="9">
        <v>2960.17</v>
      </c>
      <c r="AR13" s="7">
        <v>221.1</v>
      </c>
      <c r="AS13" s="8">
        <v>178.12</v>
      </c>
      <c r="AT13" s="5">
        <f t="shared" si="10"/>
        <v>80.56083220262326</v>
      </c>
      <c r="AU13" s="9">
        <v>98</v>
      </c>
      <c r="AV13" s="9">
        <v>3460.69</v>
      </c>
      <c r="AW13" s="72">
        <v>461</v>
      </c>
      <c r="AX13" s="8">
        <v>371.875</v>
      </c>
      <c r="AY13" s="5">
        <f t="shared" si="11"/>
        <v>80.667028199566161</v>
      </c>
      <c r="AZ13" s="5">
        <v>99.5</v>
      </c>
      <c r="BA13" s="9">
        <v>3605.67</v>
      </c>
      <c r="BB13" s="73">
        <v>671.9</v>
      </c>
      <c r="BC13" s="8">
        <v>543.86500000000001</v>
      </c>
      <c r="BD13" s="9">
        <f t="shared" si="12"/>
        <v>80.944336954904003</v>
      </c>
      <c r="BE13" s="5">
        <v>100</v>
      </c>
      <c r="BF13" s="9">
        <v>3604.89</v>
      </c>
    </row>
    <row r="14" spans="1:59" x14ac:dyDescent="0.2">
      <c r="A14" s="10" t="s">
        <v>14</v>
      </c>
      <c r="B14" s="10"/>
      <c r="C14" s="33"/>
      <c r="D14" s="32">
        <f>AVERAGE(D4,D5,D6,D7,D8:D13)</f>
        <v>26.495753863778333</v>
      </c>
      <c r="E14" s="29">
        <f>AVERAGE(E4,E5,E6,E7,E8:E13)</f>
        <v>37</v>
      </c>
      <c r="F14" s="34"/>
      <c r="G14" s="33"/>
      <c r="H14" s="32">
        <f>AVERAGE(H4,H5,H6,H7,H8:H13)</f>
        <v>0</v>
      </c>
      <c r="I14" s="29">
        <f>AVERAGE(I4,I5,I6,I7,I8:I13)</f>
        <v>0</v>
      </c>
      <c r="J14" s="34"/>
      <c r="K14" s="33"/>
      <c r="L14" s="32">
        <f>AVERAGE(L4,L5,L6,L7,L8:L13)</f>
        <v>0</v>
      </c>
      <c r="M14" s="35">
        <f>AVERAGE(M4,M5,M6,M7,M8:M13)</f>
        <v>0</v>
      </c>
      <c r="O14" s="10"/>
      <c r="P14" s="33"/>
      <c r="Q14" s="32">
        <f>AVERAGE(Q4,Q5,Q6,Q7,Q8:Q13)</f>
        <v>55.848382885862733</v>
      </c>
      <c r="R14" s="29">
        <f>AVERAGE(R4,R5,R6,R7,R8:R13)</f>
        <v>79.8</v>
      </c>
      <c r="S14" s="34"/>
      <c r="T14" s="33"/>
      <c r="U14" s="32">
        <f>AVERAGE(U4,U5,U6,U7,U8:U13)</f>
        <v>0</v>
      </c>
      <c r="V14" s="29">
        <f>AVERAGE(V4,V5,V6,V7,V8:V13)</f>
        <v>0</v>
      </c>
      <c r="W14" s="34"/>
      <c r="X14" s="33"/>
      <c r="Y14" s="32">
        <f>AVERAGE(Y4,Y5,Y6,Y7,Y8:Y13)</f>
        <v>0</v>
      </c>
      <c r="Z14" s="29">
        <f>AVERAGE(Z4,Z5,Z6,Z7,Z8:Z13)</f>
        <v>0</v>
      </c>
      <c r="AB14" s="10"/>
      <c r="AC14" s="33"/>
      <c r="AD14" s="32">
        <f>AVERAGE(AD4,AD5,AD6,AD7,AD8:AD13)</f>
        <v>78.062822170707634</v>
      </c>
      <c r="AE14" s="29">
        <f>AVERAGE(AE4,AE5,AE6,AE7,AE8:AE13)</f>
        <v>97.5</v>
      </c>
      <c r="AF14" s="29">
        <f>AVERAGE(AF4,AF5,AF6,AF7,AF8:AF13)</f>
        <v>3081.8740000000007</v>
      </c>
      <c r="AG14" s="34"/>
      <c r="AH14" s="33"/>
      <c r="AI14" s="32">
        <f>AVERAGE(AI4,AI5,AI6,AI7,AI8:AI13)</f>
        <v>70.985732069481955</v>
      </c>
      <c r="AJ14" s="29">
        <f>AVERAGE(AJ4,AJ5,AJ6,AJ7,AJ8:AJ13)</f>
        <v>84.3</v>
      </c>
      <c r="AK14" s="29">
        <f>AVERAGE(AK4,AK5,AK6,AK7,AK8:AK13)</f>
        <v>3052.174</v>
      </c>
      <c r="AL14" s="34"/>
      <c r="AM14" s="33"/>
      <c r="AN14" s="32">
        <f>AVERAGE(AN4,AN5,AN6,AN7,AN8:AN13)</f>
        <v>61.058518354023782</v>
      </c>
      <c r="AO14" s="29">
        <f>AVERAGE(AO4,AO5,AO6,AO7,AO8:AO13)</f>
        <v>63.666666666666664</v>
      </c>
      <c r="AP14" s="29">
        <f>AVERAGE(AP4,AP5,AP6,AP7,AP8:AP13)</f>
        <v>2832.2329999999993</v>
      </c>
      <c r="AR14" s="10"/>
      <c r="AS14" s="33"/>
      <c r="AT14" s="32">
        <f>AVERAGE(AT4,AT5,AT6,AT7,AT8:AT13)</f>
        <v>78.539539077667911</v>
      </c>
      <c r="AU14" s="29">
        <f>AVERAGE(AU4,AU5,AU6,AU7,AU8:AU13)</f>
        <v>98.8</v>
      </c>
      <c r="AV14" s="29">
        <f>AVERAGE(AV4,AV5,AV6,AV7,AV8:AV13)</f>
        <v>3455.5160000000005</v>
      </c>
      <c r="AW14" s="34"/>
      <c r="AX14" s="33"/>
      <c r="AY14" s="32">
        <f>AVERAGE(AY4,AY5,AY6,AY7,AY8:AY13)</f>
        <v>80.643096565388959</v>
      </c>
      <c r="AZ14" s="29">
        <f>AVERAGE(AZ4,AZ5,AZ6,AZ7,AZ8:AZ13)</f>
        <v>99.9</v>
      </c>
      <c r="BA14" s="29">
        <f>AVERAGE(BA4,BA5,BA6,BA7,BA8:BA13)</f>
        <v>3453.1819999999998</v>
      </c>
      <c r="BB14" s="34"/>
      <c r="BC14" s="33"/>
      <c r="BD14" s="32">
        <f>AVERAGE(BD4,BD5,BD6,BD7,BD8:BD13)</f>
        <v>81.990182173157365</v>
      </c>
      <c r="BE14" s="29">
        <f>AVERAGE(BE4,BE5,BE6,BE7,BE8:BE13)</f>
        <v>99.9</v>
      </c>
      <c r="BF14" s="29">
        <f>AVERAGE(BF4,BF5,BF6,BF7,BF8:BF13)</f>
        <v>3517.2510000000002</v>
      </c>
    </row>
    <row r="15" spans="1:59" x14ac:dyDescent="0.2">
      <c r="A15" s="59" t="s">
        <v>20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0"/>
      <c r="O15" s="61" t="s">
        <v>43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B15" s="62" t="s">
        <v>44</v>
      </c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4"/>
      <c r="AR15" s="62" t="s">
        <v>45</v>
      </c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4"/>
    </row>
    <row r="16" spans="1:59" x14ac:dyDescent="0.2">
      <c r="A16" s="52" t="s">
        <v>19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O16" s="49" t="s">
        <v>19</v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  <c r="AB16" s="52" t="s">
        <v>19</v>
      </c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R16" s="52" t="s">
        <v>19</v>
      </c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</row>
    <row r="17" spans="1:58" x14ac:dyDescent="0.2">
      <c r="A17" s="65" t="s">
        <v>0</v>
      </c>
      <c r="B17" s="65" t="s">
        <v>42</v>
      </c>
      <c r="C17" s="58" t="s">
        <v>49</v>
      </c>
      <c r="D17" s="58"/>
      <c r="E17" s="58"/>
      <c r="F17" s="65" t="s">
        <v>42</v>
      </c>
      <c r="G17" s="58" t="s">
        <v>50</v>
      </c>
      <c r="H17" s="58"/>
      <c r="I17" s="58"/>
      <c r="J17" s="65" t="s">
        <v>42</v>
      </c>
      <c r="K17" s="58" t="s">
        <v>51</v>
      </c>
      <c r="L17" s="58"/>
      <c r="M17" s="58"/>
      <c r="O17" s="65" t="s">
        <v>42</v>
      </c>
      <c r="P17" s="58" t="s">
        <v>15</v>
      </c>
      <c r="Q17" s="58"/>
      <c r="R17" s="58"/>
      <c r="S17" s="65" t="s">
        <v>42</v>
      </c>
      <c r="T17" s="58" t="s">
        <v>16</v>
      </c>
      <c r="U17" s="58"/>
      <c r="V17" s="58"/>
      <c r="W17" s="65" t="s">
        <v>42</v>
      </c>
      <c r="X17" s="58" t="s">
        <v>17</v>
      </c>
      <c r="Y17" s="58"/>
      <c r="Z17" s="58"/>
      <c r="AB17" s="65" t="s">
        <v>42</v>
      </c>
      <c r="AC17" s="58" t="s">
        <v>49</v>
      </c>
      <c r="AD17" s="58"/>
      <c r="AE17" s="58"/>
      <c r="AF17" s="58"/>
      <c r="AG17" s="65" t="s">
        <v>42</v>
      </c>
      <c r="AH17" s="58" t="s">
        <v>50</v>
      </c>
      <c r="AI17" s="58"/>
      <c r="AJ17" s="58"/>
      <c r="AK17" s="58"/>
      <c r="AL17" s="65" t="s">
        <v>42</v>
      </c>
      <c r="AM17" s="58" t="s">
        <v>51</v>
      </c>
      <c r="AN17" s="58"/>
      <c r="AO17" s="58"/>
      <c r="AP17" s="58"/>
      <c r="AR17" s="65" t="s">
        <v>42</v>
      </c>
      <c r="AS17" s="55" t="s">
        <v>49</v>
      </c>
      <c r="AT17" s="56"/>
      <c r="AU17" s="56"/>
      <c r="AV17" s="57"/>
      <c r="AW17" s="65" t="s">
        <v>42</v>
      </c>
      <c r="AX17" s="55" t="s">
        <v>50</v>
      </c>
      <c r="AY17" s="56"/>
      <c r="AZ17" s="56"/>
      <c r="BA17" s="57"/>
      <c r="BB17" s="65" t="s">
        <v>42</v>
      </c>
      <c r="BC17" s="55" t="s">
        <v>51</v>
      </c>
      <c r="BD17" s="56"/>
      <c r="BE17" s="56"/>
      <c r="BF17" s="57"/>
    </row>
    <row r="18" spans="1:58" x14ac:dyDescent="0.2">
      <c r="A18" s="65"/>
      <c r="B18" s="65"/>
      <c r="C18" s="1" t="s">
        <v>1</v>
      </c>
      <c r="D18" s="46" t="s">
        <v>2</v>
      </c>
      <c r="E18" s="13" t="s">
        <v>3</v>
      </c>
      <c r="F18" s="65"/>
      <c r="G18" s="1" t="s">
        <v>1</v>
      </c>
      <c r="H18" s="46" t="s">
        <v>2</v>
      </c>
      <c r="I18" s="13" t="s">
        <v>3</v>
      </c>
      <c r="J18" s="65"/>
      <c r="K18" s="13" t="s">
        <v>1</v>
      </c>
      <c r="L18" s="46" t="s">
        <v>2</v>
      </c>
      <c r="M18" s="16" t="s">
        <v>3</v>
      </c>
      <c r="O18" s="65"/>
      <c r="P18" s="1" t="s">
        <v>1</v>
      </c>
      <c r="Q18" s="46" t="s">
        <v>2</v>
      </c>
      <c r="R18" s="13" t="s">
        <v>3</v>
      </c>
      <c r="S18" s="65"/>
      <c r="T18" s="1" t="s">
        <v>1</v>
      </c>
      <c r="U18" s="46" t="s">
        <v>2</v>
      </c>
      <c r="V18" s="13" t="s">
        <v>3</v>
      </c>
      <c r="W18" s="65"/>
      <c r="X18" s="13" t="s">
        <v>1</v>
      </c>
      <c r="Y18" s="46" t="s">
        <v>2</v>
      </c>
      <c r="Z18" s="13" t="s">
        <v>3</v>
      </c>
      <c r="AB18" s="65"/>
      <c r="AC18" s="1" t="s">
        <v>1</v>
      </c>
      <c r="AD18" s="46" t="s">
        <v>2</v>
      </c>
      <c r="AE18" s="13" t="s">
        <v>3</v>
      </c>
      <c r="AF18" s="13" t="s">
        <v>21</v>
      </c>
      <c r="AG18" s="65"/>
      <c r="AH18" s="1" t="s">
        <v>1</v>
      </c>
      <c r="AI18" s="46" t="s">
        <v>2</v>
      </c>
      <c r="AJ18" s="13" t="s">
        <v>3</v>
      </c>
      <c r="AK18" s="13" t="s">
        <v>21</v>
      </c>
      <c r="AL18" s="65"/>
      <c r="AM18" s="13" t="s">
        <v>1</v>
      </c>
      <c r="AN18" s="46" t="s">
        <v>2</v>
      </c>
      <c r="AO18" s="13" t="s">
        <v>3</v>
      </c>
      <c r="AP18" s="13" t="s">
        <v>21</v>
      </c>
      <c r="AR18" s="65"/>
      <c r="AS18" s="1" t="s">
        <v>1</v>
      </c>
      <c r="AT18" s="46" t="s">
        <v>2</v>
      </c>
      <c r="AU18" s="13" t="s">
        <v>3</v>
      </c>
      <c r="AV18" s="13" t="s">
        <v>21</v>
      </c>
      <c r="AW18" s="65"/>
      <c r="AX18" s="1" t="s">
        <v>1</v>
      </c>
      <c r="AY18" s="46" t="s">
        <v>2</v>
      </c>
      <c r="AZ18" s="13" t="s">
        <v>3</v>
      </c>
      <c r="BA18" s="13" t="s">
        <v>21</v>
      </c>
      <c r="BB18" s="65"/>
      <c r="BC18" s="13" t="s">
        <v>1</v>
      </c>
      <c r="BD18" s="46" t="s">
        <v>2</v>
      </c>
      <c r="BE18" s="13" t="s">
        <v>3</v>
      </c>
      <c r="BF18" s="13" t="s">
        <v>21</v>
      </c>
    </row>
    <row r="19" spans="1:58" x14ac:dyDescent="0.2">
      <c r="A19" s="27" t="s">
        <v>32</v>
      </c>
      <c r="B19" s="48">
        <v>223.2</v>
      </c>
      <c r="C19" s="70">
        <v>106.09399999999999</v>
      </c>
      <c r="D19" s="68">
        <f t="shared" ref="D19:D28" si="13">C19/B19*100</f>
        <v>47.533154121863795</v>
      </c>
      <c r="E19" s="5">
        <v>81</v>
      </c>
      <c r="F19" s="47">
        <v>439.9</v>
      </c>
      <c r="G19" s="4">
        <v>0</v>
      </c>
      <c r="H19" s="5">
        <f>G19/F19*100</f>
        <v>0</v>
      </c>
      <c r="I19" s="5">
        <v>0</v>
      </c>
      <c r="J19" s="47">
        <v>670.5</v>
      </c>
      <c r="K19" s="4">
        <v>0</v>
      </c>
      <c r="L19" s="5">
        <f>K19/J19*100</f>
        <v>0</v>
      </c>
      <c r="M19" s="5">
        <v>0</v>
      </c>
      <c r="O19" s="48">
        <v>223.2</v>
      </c>
      <c r="P19" s="4">
        <v>91.946799999999996</v>
      </c>
      <c r="Q19" s="5">
        <f>P19/O19*100</f>
        <v>41.194802867383515</v>
      </c>
      <c r="R19" s="5">
        <v>82</v>
      </c>
      <c r="S19" s="47">
        <v>439.9</v>
      </c>
      <c r="T19" s="4">
        <v>3.2</v>
      </c>
      <c r="U19" s="5">
        <f>T19/S19*100</f>
        <v>0.72743805410320539</v>
      </c>
      <c r="V19" s="5">
        <v>0.5</v>
      </c>
      <c r="W19" s="47">
        <v>670.5</v>
      </c>
      <c r="X19" s="4">
        <v>0</v>
      </c>
      <c r="Y19" s="5">
        <f>X19/W19*100</f>
        <v>0</v>
      </c>
      <c r="Z19" s="5">
        <v>0</v>
      </c>
      <c r="AB19" s="48">
        <v>223.2</v>
      </c>
      <c r="AC19" s="4">
        <v>136.33500000000001</v>
      </c>
      <c r="AD19" s="5">
        <f>AC19/AB19*100</f>
        <v>61.081989247311832</v>
      </c>
      <c r="AE19" s="5">
        <v>96</v>
      </c>
      <c r="AF19" s="5">
        <v>2889.24</v>
      </c>
      <c r="AG19" s="47">
        <v>439.9</v>
      </c>
      <c r="AH19" s="21">
        <v>256.61500000000001</v>
      </c>
      <c r="AI19" s="5">
        <f>AH19/AG19*100</f>
        <v>58.334848829279387</v>
      </c>
      <c r="AJ19" s="23">
        <v>87</v>
      </c>
      <c r="AK19" s="9">
        <v>3600</v>
      </c>
      <c r="AL19" s="47">
        <v>670.5</v>
      </c>
      <c r="AM19" s="4">
        <v>384.28899999999999</v>
      </c>
      <c r="AN19" s="5">
        <f>AM19/AL19*100</f>
        <v>57.313795674869496</v>
      </c>
      <c r="AO19" s="5">
        <f>238/3</f>
        <v>79.333333333333329</v>
      </c>
      <c r="AP19" s="5">
        <v>3600</v>
      </c>
      <c r="AR19" s="48">
        <v>223.2</v>
      </c>
      <c r="AS19" s="4">
        <f>AC19</f>
        <v>136.33500000000001</v>
      </c>
      <c r="AT19" s="5">
        <f>AS19/AR19*100</f>
        <v>61.081989247311832</v>
      </c>
      <c r="AU19" s="5">
        <f>AE19</f>
        <v>96</v>
      </c>
      <c r="AV19" s="5">
        <f>AF19</f>
        <v>2889.24</v>
      </c>
      <c r="AW19" s="47">
        <v>439.9</v>
      </c>
      <c r="AX19" s="4">
        <v>263.17599999999999</v>
      </c>
      <c r="AY19" s="5">
        <f>AX19/AW19*100</f>
        <v>59.826324164582857</v>
      </c>
      <c r="AZ19" s="5">
        <v>96.5</v>
      </c>
      <c r="BA19" s="5">
        <v>3379.67</v>
      </c>
      <c r="BB19" s="47">
        <v>670.5</v>
      </c>
      <c r="BC19" s="4">
        <v>402.46499999999997</v>
      </c>
      <c r="BD19" s="5">
        <f>BC19/BB19*100</f>
        <v>60.024608501118557</v>
      </c>
      <c r="BE19" s="5">
        <v>99.666666666666671</v>
      </c>
      <c r="BF19" s="5">
        <v>3362.01</v>
      </c>
    </row>
    <row r="20" spans="1:58" x14ac:dyDescent="0.2">
      <c r="A20" s="28" t="s">
        <v>33</v>
      </c>
      <c r="B20" s="7">
        <v>225.2</v>
      </c>
      <c r="C20" s="71">
        <v>88.504400000000004</v>
      </c>
      <c r="D20" s="68">
        <f t="shared" si="13"/>
        <v>39.30035523978686</v>
      </c>
      <c r="E20" s="9">
        <v>75</v>
      </c>
      <c r="F20" s="72">
        <v>448.4</v>
      </c>
      <c r="G20" s="8">
        <v>0</v>
      </c>
      <c r="H20" s="5">
        <f t="shared" ref="H20:H28" si="14">G20/F20*100</f>
        <v>0</v>
      </c>
      <c r="I20" s="5">
        <v>0</v>
      </c>
      <c r="J20" s="73">
        <v>668.1</v>
      </c>
      <c r="K20" s="8">
        <v>0</v>
      </c>
      <c r="L20" s="5">
        <f t="shared" ref="L20:L28" si="15">K20/J20*100</f>
        <v>0</v>
      </c>
      <c r="M20" s="5">
        <v>0</v>
      </c>
      <c r="O20" s="7">
        <v>225.2</v>
      </c>
      <c r="P20" s="8">
        <v>97.419499999999999</v>
      </c>
      <c r="Q20" s="5">
        <f t="shared" ref="Q20:Q28" si="16">P20/O20*100</f>
        <v>43.259103019538195</v>
      </c>
      <c r="R20" s="9">
        <v>93</v>
      </c>
      <c r="S20" s="72">
        <v>448.4</v>
      </c>
      <c r="T20" s="8">
        <v>3.7418999999999998</v>
      </c>
      <c r="U20" s="5">
        <f t="shared" ref="U20:U28" si="17">T20/S20*100</f>
        <v>0.83450044603033002</v>
      </c>
      <c r="V20" s="5">
        <v>2</v>
      </c>
      <c r="W20" s="73">
        <v>668.1</v>
      </c>
      <c r="X20" s="4">
        <v>0</v>
      </c>
      <c r="Y20" s="5">
        <f t="shared" ref="Y20:Y28" si="18">X20/W20*100</f>
        <v>0</v>
      </c>
      <c r="Z20" s="5">
        <v>0</v>
      </c>
      <c r="AB20" s="7">
        <v>225.2</v>
      </c>
      <c r="AC20" s="8">
        <v>139.57599999999999</v>
      </c>
      <c r="AD20" s="5">
        <f t="shared" ref="AD20:AD28" si="19">AC20/AB20*100</f>
        <v>61.978685612788631</v>
      </c>
      <c r="AE20" s="9">
        <v>100</v>
      </c>
      <c r="AF20" s="9">
        <v>2527.7800000000002</v>
      </c>
      <c r="AG20" s="72">
        <v>448.4</v>
      </c>
      <c r="AH20" s="22">
        <v>277.291</v>
      </c>
      <c r="AI20" s="5">
        <f t="shared" ref="AI20:AI28" si="20">AH20/AG20*100</f>
        <v>61.840098126672615</v>
      </c>
      <c r="AJ20" s="24">
        <v>94</v>
      </c>
      <c r="AK20" s="24">
        <v>3600</v>
      </c>
      <c r="AL20" s="73">
        <v>668.1</v>
      </c>
      <c r="AM20" s="8">
        <v>387.34399999999999</v>
      </c>
      <c r="AN20" s="5">
        <f t="shared" ref="AN20:AN28" si="21">AM20/AL20*100</f>
        <v>57.976949558449334</v>
      </c>
      <c r="AO20" s="9">
        <f>264/3</f>
        <v>88</v>
      </c>
      <c r="AP20" s="9">
        <v>3600</v>
      </c>
      <c r="AR20" s="7">
        <v>225.2</v>
      </c>
      <c r="AS20" s="4">
        <f t="shared" ref="AS20:AS28" si="22">AC20</f>
        <v>139.57599999999999</v>
      </c>
      <c r="AT20" s="5">
        <f t="shared" ref="AT20:AT28" si="23">AS20/AR20*100</f>
        <v>61.978685612788631</v>
      </c>
      <c r="AU20" s="5">
        <f t="shared" ref="AU20:AU28" si="24">AE20</f>
        <v>100</v>
      </c>
      <c r="AV20" s="5">
        <f t="shared" ref="AV20:AV28" si="25">AF20</f>
        <v>2527.7800000000002</v>
      </c>
      <c r="AW20" s="72">
        <v>448.4</v>
      </c>
      <c r="AX20" s="8">
        <v>282.65499999999997</v>
      </c>
      <c r="AY20" s="5">
        <f t="shared" ref="AY20:AY28" si="26">AX20/AW20*100</f>
        <v>63.03635147190009</v>
      </c>
      <c r="AZ20" s="5">
        <v>98</v>
      </c>
      <c r="BA20" s="9">
        <v>2980.76</v>
      </c>
      <c r="BB20" s="73">
        <v>668.1</v>
      </c>
      <c r="BC20" s="8">
        <v>421.61599999999999</v>
      </c>
      <c r="BD20" s="5">
        <f t="shared" ref="BD20:BD28" si="27">BC20/BB20*100</f>
        <v>63.106720550815744</v>
      </c>
      <c r="BE20" s="5">
        <v>100</v>
      </c>
      <c r="BF20" s="9">
        <v>2965.61</v>
      </c>
    </row>
    <row r="21" spans="1:58" x14ac:dyDescent="0.2">
      <c r="A21" s="27" t="s">
        <v>34</v>
      </c>
      <c r="B21" s="7">
        <v>216.4</v>
      </c>
      <c r="C21" s="71">
        <v>79.220799999999997</v>
      </c>
      <c r="D21" s="68">
        <f t="shared" si="13"/>
        <v>36.608502772643256</v>
      </c>
      <c r="E21" s="9">
        <v>68</v>
      </c>
      <c r="F21" s="72">
        <v>436.1</v>
      </c>
      <c r="G21" s="4">
        <v>0</v>
      </c>
      <c r="H21" s="5">
        <f t="shared" si="14"/>
        <v>0</v>
      </c>
      <c r="I21" s="5">
        <v>0</v>
      </c>
      <c r="J21" s="73">
        <v>655.7</v>
      </c>
      <c r="K21" s="4">
        <v>0</v>
      </c>
      <c r="L21" s="5">
        <f t="shared" si="15"/>
        <v>0</v>
      </c>
      <c r="M21" s="5">
        <v>0</v>
      </c>
      <c r="O21" s="7">
        <v>216.4</v>
      </c>
      <c r="P21" s="8">
        <v>93.763400000000004</v>
      </c>
      <c r="Q21" s="5">
        <f t="shared" si="16"/>
        <v>43.328743068391866</v>
      </c>
      <c r="R21" s="9">
        <v>86</v>
      </c>
      <c r="S21" s="72">
        <v>436.1</v>
      </c>
      <c r="T21" s="4">
        <v>2.681</v>
      </c>
      <c r="U21" s="5">
        <f t="shared" si="17"/>
        <v>0.6147672552166934</v>
      </c>
      <c r="V21" s="5">
        <v>2</v>
      </c>
      <c r="W21" s="73">
        <v>655.7</v>
      </c>
      <c r="X21" s="4">
        <v>0</v>
      </c>
      <c r="Y21" s="5">
        <f t="shared" si="18"/>
        <v>0</v>
      </c>
      <c r="Z21" s="5">
        <v>0</v>
      </c>
      <c r="AB21" s="7">
        <v>216.4</v>
      </c>
      <c r="AC21" s="8">
        <v>129.50299999999999</v>
      </c>
      <c r="AD21" s="5">
        <f t="shared" si="19"/>
        <v>59.844269870609978</v>
      </c>
      <c r="AE21" s="9">
        <v>94</v>
      </c>
      <c r="AF21" s="9">
        <v>2915.92</v>
      </c>
      <c r="AG21" s="72">
        <v>436.1</v>
      </c>
      <c r="AH21" s="22">
        <v>273.26100000000002</v>
      </c>
      <c r="AI21" s="5">
        <f t="shared" si="20"/>
        <v>62.660169685851876</v>
      </c>
      <c r="AJ21" s="24">
        <v>98.5</v>
      </c>
      <c r="AK21" s="24">
        <v>3517.25</v>
      </c>
      <c r="AL21" s="73">
        <v>655.7</v>
      </c>
      <c r="AM21" s="8">
        <v>391.80799999999999</v>
      </c>
      <c r="AN21" s="5">
        <f t="shared" si="21"/>
        <v>59.754155863962175</v>
      </c>
      <c r="AO21" s="9">
        <f>259/3</f>
        <v>86.333333333333329</v>
      </c>
      <c r="AP21" s="9">
        <v>3600</v>
      </c>
      <c r="AR21" s="7">
        <v>216.4</v>
      </c>
      <c r="AS21" s="4">
        <f t="shared" si="22"/>
        <v>129.50299999999999</v>
      </c>
      <c r="AT21" s="5">
        <f t="shared" si="23"/>
        <v>59.844269870609978</v>
      </c>
      <c r="AU21" s="5">
        <f t="shared" si="24"/>
        <v>94</v>
      </c>
      <c r="AV21" s="5">
        <f t="shared" si="25"/>
        <v>2915.92</v>
      </c>
      <c r="AW21" s="72">
        <v>436.1</v>
      </c>
      <c r="AX21" s="4">
        <v>280.28199999999998</v>
      </c>
      <c r="AY21" s="5">
        <f t="shared" si="26"/>
        <v>64.270121531758761</v>
      </c>
      <c r="AZ21" s="5">
        <v>100</v>
      </c>
      <c r="BA21" s="9">
        <v>2787.82</v>
      </c>
      <c r="BB21" s="73">
        <v>655.7</v>
      </c>
      <c r="BC21" s="4">
        <v>425.22800000000001</v>
      </c>
      <c r="BD21" s="5">
        <f t="shared" si="27"/>
        <v>64.850998932438614</v>
      </c>
      <c r="BE21" s="5">
        <v>100</v>
      </c>
      <c r="BF21" s="9">
        <v>2941.12</v>
      </c>
    </row>
    <row r="22" spans="1:58" x14ac:dyDescent="0.2">
      <c r="A22" s="28" t="s">
        <v>35</v>
      </c>
      <c r="B22" s="7">
        <v>224.6</v>
      </c>
      <c r="C22" s="71">
        <v>72.723699999999994</v>
      </c>
      <c r="D22" s="68">
        <f t="shared" si="13"/>
        <v>32.379207479964379</v>
      </c>
      <c r="E22" s="9">
        <v>51</v>
      </c>
      <c r="F22" s="72">
        <v>443.2</v>
      </c>
      <c r="G22" s="8">
        <v>0</v>
      </c>
      <c r="H22" s="5">
        <f t="shared" si="14"/>
        <v>0</v>
      </c>
      <c r="I22" s="5">
        <v>0</v>
      </c>
      <c r="J22" s="73">
        <v>672.2</v>
      </c>
      <c r="K22" s="8">
        <v>0</v>
      </c>
      <c r="L22" s="5">
        <f t="shared" si="15"/>
        <v>0</v>
      </c>
      <c r="M22" s="5">
        <v>0</v>
      </c>
      <c r="O22" s="7">
        <v>224.6</v>
      </c>
      <c r="P22" s="8">
        <v>90.441299999999998</v>
      </c>
      <c r="Q22" s="5">
        <f t="shared" si="16"/>
        <v>40.267720391807657</v>
      </c>
      <c r="R22" s="9">
        <v>82</v>
      </c>
      <c r="S22" s="72">
        <v>443.2</v>
      </c>
      <c r="T22" s="8">
        <v>4.6699999999999998E-2</v>
      </c>
      <c r="U22" s="5">
        <f t="shared" si="17"/>
        <v>1.0537003610108304E-2</v>
      </c>
      <c r="V22" s="5">
        <v>0.5</v>
      </c>
      <c r="W22" s="73">
        <v>672.2</v>
      </c>
      <c r="X22" s="4">
        <v>0</v>
      </c>
      <c r="Y22" s="5">
        <f t="shared" si="18"/>
        <v>0</v>
      </c>
      <c r="Z22" s="5">
        <v>0</v>
      </c>
      <c r="AB22" s="7">
        <v>224.6</v>
      </c>
      <c r="AC22" s="8">
        <v>135.00399999999999</v>
      </c>
      <c r="AD22" s="5">
        <f t="shared" si="19"/>
        <v>60.108637577916291</v>
      </c>
      <c r="AE22" s="9">
        <v>96</v>
      </c>
      <c r="AF22" s="9">
        <v>2580.46</v>
      </c>
      <c r="AG22" s="72">
        <v>443.2</v>
      </c>
      <c r="AH22" s="22">
        <v>265.58499999999998</v>
      </c>
      <c r="AI22" s="5">
        <f t="shared" si="20"/>
        <v>59.924413357400717</v>
      </c>
      <c r="AJ22" s="24">
        <v>88.5</v>
      </c>
      <c r="AK22" s="24">
        <v>3600</v>
      </c>
      <c r="AL22" s="73">
        <v>672.2</v>
      </c>
      <c r="AM22" s="8">
        <v>394.26499999999999</v>
      </c>
      <c r="AN22" s="5">
        <f t="shared" si="21"/>
        <v>58.652930675394224</v>
      </c>
      <c r="AO22" s="9">
        <f>232/3</f>
        <v>77.333333333333329</v>
      </c>
      <c r="AP22" s="9">
        <v>3376.64</v>
      </c>
      <c r="AR22" s="7">
        <v>224.6</v>
      </c>
      <c r="AS22" s="4">
        <f t="shared" si="22"/>
        <v>135.00399999999999</v>
      </c>
      <c r="AT22" s="5">
        <f t="shared" si="23"/>
        <v>60.108637577916291</v>
      </c>
      <c r="AU22" s="5">
        <f t="shared" si="24"/>
        <v>96</v>
      </c>
      <c r="AV22" s="5">
        <f t="shared" si="25"/>
        <v>2580.46</v>
      </c>
      <c r="AW22" s="72">
        <v>443.2</v>
      </c>
      <c r="AX22" s="8">
        <v>269.75900000000001</v>
      </c>
      <c r="AY22" s="5">
        <f t="shared" si="26"/>
        <v>60.866200361010833</v>
      </c>
      <c r="AZ22" s="5">
        <v>100</v>
      </c>
      <c r="BA22" s="9">
        <v>3212.36</v>
      </c>
      <c r="BB22" s="73">
        <v>672.2</v>
      </c>
      <c r="BC22" s="8">
        <v>423.22199999999998</v>
      </c>
      <c r="BD22" s="5">
        <f t="shared" si="27"/>
        <v>62.96072597441237</v>
      </c>
      <c r="BE22" s="5">
        <v>100</v>
      </c>
      <c r="BF22" s="9">
        <v>2989.25</v>
      </c>
    </row>
    <row r="23" spans="1:58" x14ac:dyDescent="0.2">
      <c r="A23" s="27" t="s">
        <v>36</v>
      </c>
      <c r="B23" s="7">
        <v>205.4</v>
      </c>
      <c r="C23" s="71">
        <v>23.2621</v>
      </c>
      <c r="D23" s="68">
        <f t="shared" si="13"/>
        <v>11.32526777020448</v>
      </c>
      <c r="E23" s="9">
        <v>23</v>
      </c>
      <c r="F23" s="72">
        <v>429.1</v>
      </c>
      <c r="G23" s="4">
        <v>0</v>
      </c>
      <c r="H23" s="5">
        <f t="shared" si="14"/>
        <v>0</v>
      </c>
      <c r="I23" s="5">
        <v>0</v>
      </c>
      <c r="J23" s="73">
        <v>657</v>
      </c>
      <c r="K23" s="4">
        <v>0</v>
      </c>
      <c r="L23" s="5">
        <f t="shared" si="15"/>
        <v>0</v>
      </c>
      <c r="M23" s="5">
        <v>0</v>
      </c>
      <c r="O23" s="7">
        <v>205.4</v>
      </c>
      <c r="P23" s="8">
        <v>86.307400000000001</v>
      </c>
      <c r="Q23" s="5">
        <f t="shared" si="16"/>
        <v>42.01918208373904</v>
      </c>
      <c r="R23" s="9">
        <v>88</v>
      </c>
      <c r="S23" s="72">
        <v>429.1</v>
      </c>
      <c r="T23" s="4">
        <v>0</v>
      </c>
      <c r="U23" s="5">
        <f t="shared" si="17"/>
        <v>0</v>
      </c>
      <c r="V23" s="5">
        <v>0</v>
      </c>
      <c r="W23" s="73">
        <v>657</v>
      </c>
      <c r="X23" s="4">
        <v>0</v>
      </c>
      <c r="Y23" s="5">
        <f t="shared" si="18"/>
        <v>0</v>
      </c>
      <c r="Z23" s="5">
        <v>0</v>
      </c>
      <c r="AB23" s="7">
        <v>205.4</v>
      </c>
      <c r="AC23" s="8">
        <v>121.158</v>
      </c>
      <c r="AD23" s="5">
        <f t="shared" si="19"/>
        <v>58.986368062317432</v>
      </c>
      <c r="AE23" s="9">
        <v>94</v>
      </c>
      <c r="AF23" s="9">
        <v>3035.77</v>
      </c>
      <c r="AG23" s="72">
        <v>429.1</v>
      </c>
      <c r="AH23" s="22">
        <v>256.245</v>
      </c>
      <c r="AI23" s="5">
        <f t="shared" si="20"/>
        <v>59.716849219296201</v>
      </c>
      <c r="AJ23" s="24">
        <v>95</v>
      </c>
      <c r="AK23" s="24">
        <v>3600</v>
      </c>
      <c r="AL23" s="73">
        <v>657</v>
      </c>
      <c r="AM23" s="8">
        <v>378.798</v>
      </c>
      <c r="AN23" s="5">
        <f t="shared" si="21"/>
        <v>57.655707762557071</v>
      </c>
      <c r="AO23" s="9">
        <f>242/3</f>
        <v>80.666666666666671</v>
      </c>
      <c r="AP23" s="9">
        <v>3600</v>
      </c>
      <c r="AR23" s="7">
        <v>205.4</v>
      </c>
      <c r="AS23" s="4">
        <f t="shared" si="22"/>
        <v>121.158</v>
      </c>
      <c r="AT23" s="5">
        <f t="shared" si="23"/>
        <v>58.986368062317432</v>
      </c>
      <c r="AU23" s="5">
        <f t="shared" si="24"/>
        <v>94</v>
      </c>
      <c r="AV23" s="5">
        <f t="shared" si="25"/>
        <v>3035.77</v>
      </c>
      <c r="AW23" s="72">
        <v>429.1</v>
      </c>
      <c r="AX23" s="4">
        <v>259.59699999999998</v>
      </c>
      <c r="AY23" s="5">
        <f t="shared" si="26"/>
        <v>60.498019109764613</v>
      </c>
      <c r="AZ23" s="5">
        <v>100</v>
      </c>
      <c r="BA23" s="9">
        <v>2961.88</v>
      </c>
      <c r="BB23" s="73">
        <v>657</v>
      </c>
      <c r="BC23" s="4">
        <v>408.053</v>
      </c>
      <c r="BD23" s="5">
        <f t="shared" si="27"/>
        <v>62.108523592085241</v>
      </c>
      <c r="BE23" s="5">
        <v>100</v>
      </c>
      <c r="BF23" s="9">
        <v>2982.55</v>
      </c>
    </row>
    <row r="24" spans="1:58" x14ac:dyDescent="0.2">
      <c r="A24" s="28" t="s">
        <v>37</v>
      </c>
      <c r="B24" s="7">
        <v>239.2</v>
      </c>
      <c r="C24" s="71">
        <v>140.36699999999999</v>
      </c>
      <c r="D24" s="68">
        <f t="shared" si="13"/>
        <v>58.681856187290968</v>
      </c>
      <c r="E24" s="9">
        <v>90</v>
      </c>
      <c r="F24" s="72">
        <v>464.9</v>
      </c>
      <c r="G24" s="8">
        <v>0</v>
      </c>
      <c r="H24" s="5">
        <f t="shared" si="14"/>
        <v>0</v>
      </c>
      <c r="I24" s="5">
        <v>0</v>
      </c>
      <c r="J24" s="73">
        <v>694.8</v>
      </c>
      <c r="K24" s="8">
        <v>0</v>
      </c>
      <c r="L24" s="5">
        <f t="shared" si="15"/>
        <v>0</v>
      </c>
      <c r="M24" s="5">
        <v>0</v>
      </c>
      <c r="O24" s="7">
        <v>239.2</v>
      </c>
      <c r="P24" s="8">
        <v>77.2517</v>
      </c>
      <c r="Q24" s="5">
        <f t="shared" si="16"/>
        <v>32.295861204013384</v>
      </c>
      <c r="R24" s="9">
        <v>77</v>
      </c>
      <c r="S24" s="72">
        <v>464.9</v>
      </c>
      <c r="T24" s="8">
        <v>1.4229000000000001</v>
      </c>
      <c r="U24" s="5">
        <f t="shared" si="17"/>
        <v>0.30606582060658211</v>
      </c>
      <c r="V24" s="5">
        <v>1.5</v>
      </c>
      <c r="W24" s="73">
        <v>694.8</v>
      </c>
      <c r="X24" s="4">
        <v>0</v>
      </c>
      <c r="Y24" s="5">
        <f t="shared" si="18"/>
        <v>0</v>
      </c>
      <c r="Z24" s="5">
        <v>0</v>
      </c>
      <c r="AB24" s="7">
        <v>239.2</v>
      </c>
      <c r="AC24" s="8">
        <v>148.309</v>
      </c>
      <c r="AD24" s="5">
        <f t="shared" si="19"/>
        <v>62.002090301003342</v>
      </c>
      <c r="AE24" s="9">
        <v>96</v>
      </c>
      <c r="AF24" s="9">
        <v>2544.83</v>
      </c>
      <c r="AG24" s="72">
        <v>464.9</v>
      </c>
      <c r="AH24" s="22">
        <v>278.959</v>
      </c>
      <c r="AI24" s="5">
        <f t="shared" si="20"/>
        <v>60.004086900408694</v>
      </c>
      <c r="AJ24" s="24">
        <v>88.5</v>
      </c>
      <c r="AK24" s="24">
        <v>3600</v>
      </c>
      <c r="AL24" s="73">
        <v>694.8</v>
      </c>
      <c r="AM24" s="8">
        <v>395.27699999999999</v>
      </c>
      <c r="AN24" s="5">
        <f t="shared" si="21"/>
        <v>56.890759930915365</v>
      </c>
      <c r="AO24" s="9">
        <f>218/3</f>
        <v>72.666666666666671</v>
      </c>
      <c r="AP24" s="9">
        <v>3600</v>
      </c>
      <c r="AR24" s="7">
        <v>239.2</v>
      </c>
      <c r="AS24" s="4">
        <f t="shared" si="22"/>
        <v>148.309</v>
      </c>
      <c r="AT24" s="5">
        <f t="shared" si="23"/>
        <v>62.002090301003342</v>
      </c>
      <c r="AU24" s="5">
        <f t="shared" si="24"/>
        <v>96</v>
      </c>
      <c r="AV24" s="5">
        <f t="shared" si="25"/>
        <v>2544.83</v>
      </c>
      <c r="AW24" s="72">
        <v>464.9</v>
      </c>
      <c r="AX24" s="8">
        <v>279.887</v>
      </c>
      <c r="AY24" s="5">
        <f t="shared" si="26"/>
        <v>60.203699720369976</v>
      </c>
      <c r="AZ24" s="5">
        <v>99</v>
      </c>
      <c r="BA24" s="9">
        <v>3364.44</v>
      </c>
      <c r="BB24" s="73">
        <v>694.8</v>
      </c>
      <c r="BC24" s="8">
        <v>442.46499999999997</v>
      </c>
      <c r="BD24" s="5">
        <f t="shared" si="27"/>
        <v>63.68235463442717</v>
      </c>
      <c r="BE24" s="5">
        <v>100</v>
      </c>
      <c r="BF24" s="9">
        <v>2946.32</v>
      </c>
    </row>
    <row r="25" spans="1:58" x14ac:dyDescent="0.2">
      <c r="A25" s="27" t="s">
        <v>38</v>
      </c>
      <c r="B25" s="7">
        <v>214.4</v>
      </c>
      <c r="C25" s="71">
        <v>107.79900000000001</v>
      </c>
      <c r="D25" s="68">
        <f t="shared" si="13"/>
        <v>50.279384328358212</v>
      </c>
      <c r="E25" s="9">
        <v>80</v>
      </c>
      <c r="F25" s="72">
        <v>433</v>
      </c>
      <c r="G25" s="4">
        <v>0</v>
      </c>
      <c r="H25" s="5">
        <f t="shared" si="14"/>
        <v>0</v>
      </c>
      <c r="I25" s="5">
        <v>0</v>
      </c>
      <c r="J25" s="73">
        <v>650</v>
      </c>
      <c r="K25" s="4">
        <v>0</v>
      </c>
      <c r="L25" s="5">
        <f t="shared" si="15"/>
        <v>0</v>
      </c>
      <c r="M25" s="5">
        <v>0</v>
      </c>
      <c r="O25" s="7">
        <v>214.4</v>
      </c>
      <c r="P25" s="8">
        <v>76.381299999999996</v>
      </c>
      <c r="Q25" s="5">
        <f t="shared" si="16"/>
        <v>35.625606343283579</v>
      </c>
      <c r="R25" s="9">
        <v>78</v>
      </c>
      <c r="S25" s="72">
        <v>433</v>
      </c>
      <c r="T25" s="4">
        <v>1.4542999999999999</v>
      </c>
      <c r="U25" s="5">
        <f t="shared" si="17"/>
        <v>0.33586605080831405</v>
      </c>
      <c r="V25" s="5">
        <v>1.5</v>
      </c>
      <c r="W25" s="73">
        <v>650</v>
      </c>
      <c r="X25" s="4">
        <v>0</v>
      </c>
      <c r="Y25" s="5">
        <f t="shared" si="18"/>
        <v>0</v>
      </c>
      <c r="Z25" s="5">
        <v>0</v>
      </c>
      <c r="AB25" s="7">
        <v>214.4</v>
      </c>
      <c r="AC25" s="8">
        <v>130.673</v>
      </c>
      <c r="AD25" s="5">
        <f t="shared" si="19"/>
        <v>60.948227611940297</v>
      </c>
      <c r="AE25" s="9">
        <v>95</v>
      </c>
      <c r="AF25" s="9">
        <v>2737.79</v>
      </c>
      <c r="AG25" s="72">
        <v>433</v>
      </c>
      <c r="AH25" s="22">
        <v>261.89100000000002</v>
      </c>
      <c r="AI25" s="5">
        <f t="shared" si="20"/>
        <v>60.482909930715948</v>
      </c>
      <c r="AJ25" s="24">
        <v>85.5</v>
      </c>
      <c r="AK25" s="24">
        <v>3600</v>
      </c>
      <c r="AL25" s="73">
        <v>650</v>
      </c>
      <c r="AM25" s="8">
        <v>386.93</v>
      </c>
      <c r="AN25" s="5">
        <f t="shared" si="21"/>
        <v>59.527692307692305</v>
      </c>
      <c r="AO25" s="9">
        <f>243/3</f>
        <v>81</v>
      </c>
      <c r="AP25" s="9">
        <v>3600</v>
      </c>
      <c r="AR25" s="7">
        <v>214.4</v>
      </c>
      <c r="AS25" s="4">
        <f t="shared" si="22"/>
        <v>130.673</v>
      </c>
      <c r="AT25" s="5">
        <f t="shared" si="23"/>
        <v>60.948227611940297</v>
      </c>
      <c r="AU25" s="5">
        <f t="shared" si="24"/>
        <v>95</v>
      </c>
      <c r="AV25" s="5">
        <f t="shared" si="25"/>
        <v>2737.79</v>
      </c>
      <c r="AW25" s="72">
        <v>433</v>
      </c>
      <c r="AX25" s="4">
        <v>271.34899999999999</v>
      </c>
      <c r="AY25" s="5">
        <f t="shared" si="26"/>
        <v>62.667205542725171</v>
      </c>
      <c r="AZ25" s="5">
        <v>99</v>
      </c>
      <c r="BA25" s="9">
        <v>3016.89</v>
      </c>
      <c r="BB25" s="73">
        <v>650</v>
      </c>
      <c r="BC25" s="4">
        <v>417.178</v>
      </c>
      <c r="BD25" s="5">
        <f t="shared" si="27"/>
        <v>64.181230769230766</v>
      </c>
      <c r="BE25" s="5">
        <v>100</v>
      </c>
      <c r="BF25" s="9">
        <v>3360.27</v>
      </c>
    </row>
    <row r="26" spans="1:58" x14ac:dyDescent="0.2">
      <c r="A26" s="28" t="s">
        <v>39</v>
      </c>
      <c r="B26" s="7">
        <v>231.5</v>
      </c>
      <c r="C26" s="71">
        <v>111.925</v>
      </c>
      <c r="D26" s="68">
        <f t="shared" si="13"/>
        <v>48.347732181425485</v>
      </c>
      <c r="E26" s="9">
        <v>80</v>
      </c>
      <c r="F26" s="72">
        <v>455.1</v>
      </c>
      <c r="G26" s="8">
        <v>0</v>
      </c>
      <c r="H26" s="5">
        <f t="shared" si="14"/>
        <v>0</v>
      </c>
      <c r="I26" s="5">
        <v>0</v>
      </c>
      <c r="J26" s="73">
        <v>680.6</v>
      </c>
      <c r="K26" s="8">
        <v>0</v>
      </c>
      <c r="L26" s="5">
        <f t="shared" si="15"/>
        <v>0</v>
      </c>
      <c r="M26" s="5">
        <v>0</v>
      </c>
      <c r="O26" s="7">
        <v>231.5</v>
      </c>
      <c r="P26" s="8">
        <v>106.89400000000001</v>
      </c>
      <c r="Q26" s="5">
        <f t="shared" si="16"/>
        <v>46.174514038876893</v>
      </c>
      <c r="R26" s="9">
        <v>86</v>
      </c>
      <c r="S26" s="72">
        <v>455.1</v>
      </c>
      <c r="T26" s="8">
        <v>3.17</v>
      </c>
      <c r="U26" s="5">
        <f t="shared" si="17"/>
        <v>0.69655020874533058</v>
      </c>
      <c r="V26" s="5">
        <v>1</v>
      </c>
      <c r="W26" s="73">
        <v>680.6</v>
      </c>
      <c r="X26" s="4">
        <v>0</v>
      </c>
      <c r="Y26" s="5">
        <f t="shared" si="18"/>
        <v>0</v>
      </c>
      <c r="Z26" s="5">
        <v>0</v>
      </c>
      <c r="AB26" s="7">
        <v>231.5</v>
      </c>
      <c r="AC26" s="8">
        <v>143.73099999999999</v>
      </c>
      <c r="AD26" s="5">
        <f t="shared" si="19"/>
        <v>62.086825053995675</v>
      </c>
      <c r="AE26" s="9">
        <v>100</v>
      </c>
      <c r="AF26" s="9">
        <v>2652.84</v>
      </c>
      <c r="AG26" s="72">
        <v>455.1</v>
      </c>
      <c r="AH26" s="22">
        <v>268.50599999999997</v>
      </c>
      <c r="AI26" s="5">
        <f t="shared" si="20"/>
        <v>58.999340804218846</v>
      </c>
      <c r="AJ26" s="24">
        <v>91</v>
      </c>
      <c r="AK26" s="24">
        <v>3600</v>
      </c>
      <c r="AL26" s="73">
        <v>680.6</v>
      </c>
      <c r="AM26" s="8">
        <v>388.00099999999998</v>
      </c>
      <c r="AN26" s="5">
        <f t="shared" si="21"/>
        <v>57.008668821627971</v>
      </c>
      <c r="AO26" s="9">
        <f>256/3</f>
        <v>85.333333333333329</v>
      </c>
      <c r="AP26" s="9">
        <v>3341.6</v>
      </c>
      <c r="AR26" s="7">
        <v>231.5</v>
      </c>
      <c r="AS26" s="4">
        <f t="shared" si="22"/>
        <v>143.73099999999999</v>
      </c>
      <c r="AT26" s="5">
        <f t="shared" si="23"/>
        <v>62.086825053995675</v>
      </c>
      <c r="AU26" s="5">
        <f t="shared" si="24"/>
        <v>100</v>
      </c>
      <c r="AV26" s="5">
        <f t="shared" si="25"/>
        <v>2652.84</v>
      </c>
      <c r="AW26" s="72">
        <v>455.1</v>
      </c>
      <c r="AX26" s="8">
        <v>272.923</v>
      </c>
      <c r="AY26" s="5">
        <f t="shared" si="26"/>
        <v>59.969896725994289</v>
      </c>
      <c r="AZ26" s="5">
        <v>99.5</v>
      </c>
      <c r="BA26" s="9">
        <v>3384.41</v>
      </c>
      <c r="BB26" s="73">
        <v>680.6</v>
      </c>
      <c r="BC26" s="8">
        <v>411.56599999999997</v>
      </c>
      <c r="BD26" s="5">
        <f t="shared" si="27"/>
        <v>60.471054951513366</v>
      </c>
      <c r="BE26" s="5">
        <v>99.666666666666671</v>
      </c>
      <c r="BF26" s="9">
        <v>3360.61</v>
      </c>
    </row>
    <row r="27" spans="1:58" x14ac:dyDescent="0.2">
      <c r="A27" s="27" t="s">
        <v>40</v>
      </c>
      <c r="B27" s="7">
        <v>239.5</v>
      </c>
      <c r="C27" s="71">
        <v>82.21</v>
      </c>
      <c r="D27" s="68">
        <f t="shared" si="13"/>
        <v>34.32567849686847</v>
      </c>
      <c r="E27" s="9">
        <v>56</v>
      </c>
      <c r="F27" s="72">
        <v>445.9</v>
      </c>
      <c r="G27" s="4">
        <v>0</v>
      </c>
      <c r="H27" s="5">
        <f t="shared" si="14"/>
        <v>0</v>
      </c>
      <c r="I27" s="5">
        <v>0</v>
      </c>
      <c r="J27" s="73">
        <v>683.1</v>
      </c>
      <c r="K27" s="4">
        <v>0</v>
      </c>
      <c r="L27" s="5">
        <f t="shared" si="15"/>
        <v>0</v>
      </c>
      <c r="M27" s="5">
        <v>0</v>
      </c>
      <c r="O27" s="7">
        <v>239.5</v>
      </c>
      <c r="P27" s="8">
        <v>100.762</v>
      </c>
      <c r="Q27" s="5">
        <f t="shared" si="16"/>
        <v>42.071816283924846</v>
      </c>
      <c r="R27" s="9">
        <v>89</v>
      </c>
      <c r="S27" s="72">
        <v>445.9</v>
      </c>
      <c r="T27" s="4">
        <v>0</v>
      </c>
      <c r="U27" s="5">
        <f t="shared" si="17"/>
        <v>0</v>
      </c>
      <c r="V27" s="5">
        <v>0</v>
      </c>
      <c r="W27" s="73">
        <v>683.1</v>
      </c>
      <c r="X27" s="4">
        <v>0</v>
      </c>
      <c r="Y27" s="5">
        <f t="shared" si="18"/>
        <v>0</v>
      </c>
      <c r="Z27" s="5">
        <v>0</v>
      </c>
      <c r="AB27" s="7">
        <v>239.5</v>
      </c>
      <c r="AC27" s="8">
        <v>138.94499999999999</v>
      </c>
      <c r="AD27" s="5">
        <f t="shared" si="19"/>
        <v>58.014613778705638</v>
      </c>
      <c r="AE27" s="9">
        <v>96</v>
      </c>
      <c r="AF27" s="9">
        <v>2882.68</v>
      </c>
      <c r="AG27" s="72">
        <v>445.9</v>
      </c>
      <c r="AH27" s="22">
        <v>269.584</v>
      </c>
      <c r="AI27" s="5">
        <f t="shared" si="20"/>
        <v>60.458398744113026</v>
      </c>
      <c r="AJ27" s="24">
        <v>85.5</v>
      </c>
      <c r="AK27" s="24">
        <v>3600</v>
      </c>
      <c r="AL27" s="73">
        <v>683.1</v>
      </c>
      <c r="AM27" s="8">
        <v>406.10399999999998</v>
      </c>
      <c r="AN27" s="5">
        <f t="shared" si="21"/>
        <v>59.450153711023269</v>
      </c>
      <c r="AO27" s="9">
        <f>259/3</f>
        <v>86.333333333333329</v>
      </c>
      <c r="AP27" s="9">
        <v>3600.02</v>
      </c>
      <c r="AR27" s="7">
        <v>239.5</v>
      </c>
      <c r="AS27" s="4">
        <f t="shared" si="22"/>
        <v>138.94499999999999</v>
      </c>
      <c r="AT27" s="5">
        <f t="shared" si="23"/>
        <v>58.014613778705638</v>
      </c>
      <c r="AU27" s="5">
        <f t="shared" si="24"/>
        <v>96</v>
      </c>
      <c r="AV27" s="5">
        <f t="shared" si="25"/>
        <v>2882.68</v>
      </c>
      <c r="AW27" s="72">
        <v>445.9</v>
      </c>
      <c r="AX27" s="4">
        <v>277.21600000000001</v>
      </c>
      <c r="AY27" s="5">
        <f t="shared" si="26"/>
        <v>62.169993272034098</v>
      </c>
      <c r="AZ27" s="5">
        <v>99.5</v>
      </c>
      <c r="BA27" s="9">
        <v>3277.76</v>
      </c>
      <c r="BB27" s="73">
        <v>683.1</v>
      </c>
      <c r="BC27" s="4">
        <v>440.87599999999998</v>
      </c>
      <c r="BD27" s="5">
        <f t="shared" si="27"/>
        <v>64.540477236129405</v>
      </c>
      <c r="BE27" s="5">
        <v>100</v>
      </c>
      <c r="BF27" s="9">
        <v>2993.79</v>
      </c>
    </row>
    <row r="28" spans="1:58" x14ac:dyDescent="0.2">
      <c r="A28" s="28" t="s">
        <v>41</v>
      </c>
      <c r="B28" s="7">
        <v>221.1</v>
      </c>
      <c r="C28" s="71">
        <v>130.59</v>
      </c>
      <c r="D28" s="68">
        <f t="shared" si="13"/>
        <v>59.063772048846673</v>
      </c>
      <c r="E28" s="9">
        <v>95</v>
      </c>
      <c r="F28" s="72">
        <v>461</v>
      </c>
      <c r="G28" s="8">
        <v>0</v>
      </c>
      <c r="H28" s="5">
        <f t="shared" si="14"/>
        <v>0</v>
      </c>
      <c r="I28" s="5">
        <v>0</v>
      </c>
      <c r="J28" s="73">
        <v>671.9</v>
      </c>
      <c r="K28" s="8">
        <v>0</v>
      </c>
      <c r="L28" s="5">
        <f t="shared" si="15"/>
        <v>0</v>
      </c>
      <c r="M28" s="5">
        <v>0</v>
      </c>
      <c r="O28" s="7">
        <v>221.1</v>
      </c>
      <c r="P28" s="8">
        <v>79.365799999999993</v>
      </c>
      <c r="Q28" s="5">
        <f t="shared" si="16"/>
        <v>35.895884215287197</v>
      </c>
      <c r="R28" s="9">
        <v>82</v>
      </c>
      <c r="S28" s="72">
        <v>461</v>
      </c>
      <c r="T28" s="8">
        <v>7.6632999999999996</v>
      </c>
      <c r="U28" s="5">
        <f t="shared" si="17"/>
        <v>1.6623210412147502</v>
      </c>
      <c r="V28" s="5">
        <v>2.5</v>
      </c>
      <c r="W28" s="73">
        <v>671.9</v>
      </c>
      <c r="X28" s="4">
        <v>0</v>
      </c>
      <c r="Y28" s="5">
        <f t="shared" si="18"/>
        <v>0</v>
      </c>
      <c r="Z28" s="5">
        <v>0</v>
      </c>
      <c r="AB28" s="7">
        <v>221.1</v>
      </c>
      <c r="AC28" s="8">
        <v>140.97300000000001</v>
      </c>
      <c r="AD28" s="5">
        <f t="shared" si="19"/>
        <v>63.759837177747634</v>
      </c>
      <c r="AE28" s="9">
        <v>97</v>
      </c>
      <c r="AF28" s="9">
        <v>2543.91</v>
      </c>
      <c r="AG28" s="72">
        <v>461</v>
      </c>
      <c r="AH28" s="22">
        <v>287.596</v>
      </c>
      <c r="AI28" s="5">
        <f t="shared" si="20"/>
        <v>62.385249457700652</v>
      </c>
      <c r="AJ28" s="24">
        <v>94</v>
      </c>
      <c r="AK28" s="24">
        <v>3600</v>
      </c>
      <c r="AL28" s="73">
        <v>671.9</v>
      </c>
      <c r="AM28" s="8">
        <v>392.90300000000002</v>
      </c>
      <c r="AN28" s="5">
        <f t="shared" si="21"/>
        <v>58.476410180086326</v>
      </c>
      <c r="AO28" s="9">
        <f>235/3</f>
        <v>78.333333333333329</v>
      </c>
      <c r="AP28" s="9">
        <v>3600</v>
      </c>
      <c r="AR28" s="7">
        <v>221.1</v>
      </c>
      <c r="AS28" s="4">
        <f t="shared" si="22"/>
        <v>140.97300000000001</v>
      </c>
      <c r="AT28" s="5">
        <f t="shared" si="23"/>
        <v>63.759837177747634</v>
      </c>
      <c r="AU28" s="5">
        <f t="shared" si="24"/>
        <v>97</v>
      </c>
      <c r="AV28" s="5">
        <f t="shared" si="25"/>
        <v>2543.91</v>
      </c>
      <c r="AW28" s="72">
        <v>461</v>
      </c>
      <c r="AX28" s="8">
        <v>290.28899999999999</v>
      </c>
      <c r="AY28" s="5">
        <f t="shared" si="26"/>
        <v>62.969414316702824</v>
      </c>
      <c r="AZ28" s="5">
        <v>99.5</v>
      </c>
      <c r="BA28" s="9">
        <v>3345.02</v>
      </c>
      <c r="BB28" s="73">
        <v>671.9</v>
      </c>
      <c r="BC28" s="8">
        <v>415.14800000000002</v>
      </c>
      <c r="BD28" s="5">
        <f t="shared" si="27"/>
        <v>61.787170709927075</v>
      </c>
      <c r="BE28" s="5">
        <v>98</v>
      </c>
      <c r="BF28" s="9">
        <v>3393.08</v>
      </c>
    </row>
    <row r="29" spans="1:58" x14ac:dyDescent="0.2">
      <c r="A29" s="10" t="s">
        <v>14</v>
      </c>
      <c r="B29" s="10"/>
      <c r="C29" s="33"/>
      <c r="D29" s="32">
        <f>AVERAGE(D19,D20,D21,D22,D23:D28)</f>
        <v>41.784491062725259</v>
      </c>
      <c r="E29" s="29">
        <f>AVERAGE(E19,E20,E21,E22,E23:E28)</f>
        <v>69.900000000000006</v>
      </c>
      <c r="F29" s="34"/>
      <c r="G29" s="33"/>
      <c r="H29" s="32">
        <f>AVERAGE(H19,H20,H21,H22,H23:H28)</f>
        <v>0</v>
      </c>
      <c r="I29" s="29">
        <f>AVERAGE(I19,I20,I21,I22,I23:I28)</f>
        <v>0</v>
      </c>
      <c r="J29" s="34"/>
      <c r="K29" s="31"/>
      <c r="L29" s="32">
        <f>AVERAGE(L19,L20,L21,L22,L23:L28)</f>
        <v>0</v>
      </c>
      <c r="M29" s="35">
        <f>AVERAGE(M19,M20,M21,M22,M23:M28)</f>
        <v>0</v>
      </c>
      <c r="O29" s="10"/>
      <c r="P29" s="33"/>
      <c r="Q29" s="32">
        <f>AVERAGE(Q19,Q20,Q21,Q22,Q23:Q28)</f>
        <v>40.213323351624624</v>
      </c>
      <c r="R29" s="29">
        <f>AVERAGE(R19,R20,R21,R22,R23:R28)</f>
        <v>84.3</v>
      </c>
      <c r="S29" s="34"/>
      <c r="T29" s="33"/>
      <c r="U29" s="32">
        <f>AVERAGE(U19,U20,U21,U22,U23:U28)</f>
        <v>0.51880458803353147</v>
      </c>
      <c r="V29" s="29">
        <f>AVERAGE(V19,V20,V21,V22,V23:V28)</f>
        <v>1.1499999999999999</v>
      </c>
      <c r="W29" s="34"/>
      <c r="X29" s="31"/>
      <c r="Y29" s="32">
        <f>AVERAGE(Y19,Y20,Y21,Y22,Y23:Y28)</f>
        <v>0</v>
      </c>
      <c r="Z29" s="29">
        <f>AVERAGE(Z19,Z20,Z21,Z22,Z23:Z28)</f>
        <v>0</v>
      </c>
      <c r="AB29" s="10"/>
      <c r="AC29" s="33"/>
      <c r="AD29" s="32">
        <f>AVERAGE(AD19,AD20,AD21,AD22,AD23:AD28)</f>
        <v>60.881154429433671</v>
      </c>
      <c r="AE29" s="29">
        <f>AVERAGE(AE19,AE20,AE21,AE22,AE23:AE28)</f>
        <v>96.4</v>
      </c>
      <c r="AF29" s="29">
        <f>AVERAGE(AF19,AF20,AF21,AF22,AF23:AF28)</f>
        <v>2731.1220000000003</v>
      </c>
      <c r="AG29" s="34"/>
      <c r="AH29" s="33"/>
      <c r="AI29" s="32">
        <f>AVERAGE(AI19,AI20,AI21,AI22,AI23:AI28)</f>
        <v>60.480636505565805</v>
      </c>
      <c r="AJ29" s="29">
        <f>AVERAGE(AJ19,AJ20,AJ21,AJ22,AJ23:AJ28)</f>
        <v>90.75</v>
      </c>
      <c r="AK29" s="29">
        <f>AVERAGE(AK19,AK20,AK21,AK22,AK23:AK28)</f>
        <v>3591.7249999999999</v>
      </c>
      <c r="AL29" s="34"/>
      <c r="AM29" s="31"/>
      <c r="AN29" s="32">
        <f>AVERAGE(AN19,AN20,AN21,AN22,AN23:AN28)</f>
        <v>58.27072244865775</v>
      </c>
      <c r="AO29" s="29">
        <f>AVERAGE(AO19,AO20,AO21,AO22,AO23:AO28)</f>
        <v>81.533333333333331</v>
      </c>
      <c r="AP29" s="29">
        <f>AVERAGE(AP19,AP20,AP21,AP22,AP23:AP28)</f>
        <v>3551.8259999999996</v>
      </c>
      <c r="AR29" s="10"/>
      <c r="AS29" s="33"/>
      <c r="AT29" s="32">
        <f>AVERAGE(AT19,AT20,AT21,AT22,AT23:AT28)</f>
        <v>60.881154429433671</v>
      </c>
      <c r="AU29" s="29">
        <f>AVERAGE(AU19,AU20,AU21,AU22,AU23:AU28)</f>
        <v>96.4</v>
      </c>
      <c r="AV29" s="29">
        <f>AVERAGE(AV19,AV20,AV21,AV22,AV23:AV28)</f>
        <v>2731.1220000000003</v>
      </c>
      <c r="AW29" s="34"/>
      <c r="AX29" s="33"/>
      <c r="AY29" s="32">
        <f>AVERAGE(AY19,AY20,AY21,AY22,AY23:AY28)</f>
        <v>61.647722621684338</v>
      </c>
      <c r="AZ29" s="29">
        <f>AVERAGE(AZ19,AZ20,AZ21,AZ22,AZ23:AZ28)</f>
        <v>99.1</v>
      </c>
      <c r="BA29" s="29">
        <f>AVERAGE(BA19,BA20,BA21,BA22,BA23:BA28)</f>
        <v>3171.1009999999997</v>
      </c>
      <c r="BB29" s="34"/>
      <c r="BC29" s="31"/>
      <c r="BD29" s="32">
        <f>AVERAGE(BD19,BD20,BD21,BD22,BD23:BD28)</f>
        <v>62.771386585209825</v>
      </c>
      <c r="BE29" s="29">
        <f>AVERAGE(BE19,BE20,BE21,BE22,BE23:BE28)</f>
        <v>99.733333333333334</v>
      </c>
      <c r="BF29" s="29">
        <f>AVERAGE(BF19,BF20,BF21,BF22,BF23:BF28)</f>
        <v>3129.4610000000002</v>
      </c>
    </row>
    <row r="31" spans="1:58" x14ac:dyDescent="0.2">
      <c r="AM31" s="44"/>
      <c r="AN31" s="40"/>
      <c r="AO31" s="40"/>
      <c r="AP31" s="43"/>
      <c r="AY31" s="40"/>
      <c r="AZ31" s="41"/>
      <c r="BC31" s="44"/>
      <c r="BD31" s="40"/>
      <c r="BE31" s="41"/>
      <c r="BF31" s="40"/>
    </row>
  </sheetData>
  <mergeCells count="62">
    <mergeCell ref="BC17:BF17"/>
    <mergeCell ref="BB17:BB18"/>
    <mergeCell ref="AB17:AB18"/>
    <mergeCell ref="AC17:AF17"/>
    <mergeCell ref="AG17:AG18"/>
    <mergeCell ref="AH17:AK17"/>
    <mergeCell ref="AL17:AL18"/>
    <mergeCell ref="AM17:AP17"/>
    <mergeCell ref="AR17:AR18"/>
    <mergeCell ref="AS17:AV17"/>
    <mergeCell ref="AW17:AW18"/>
    <mergeCell ref="AX17:BA17"/>
    <mergeCell ref="W17:W18"/>
    <mergeCell ref="X17:Z17"/>
    <mergeCell ref="J17:J18"/>
    <mergeCell ref="A16:M16"/>
    <mergeCell ref="O16:Z16"/>
    <mergeCell ref="AB16:AP16"/>
    <mergeCell ref="A17:A18"/>
    <mergeCell ref="B17:B18"/>
    <mergeCell ref="C17:E17"/>
    <mergeCell ref="F17:F18"/>
    <mergeCell ref="G17:I17"/>
    <mergeCell ref="K17:M17"/>
    <mergeCell ref="O17:O18"/>
    <mergeCell ref="P17:R17"/>
    <mergeCell ref="S17:S18"/>
    <mergeCell ref="T17:V17"/>
    <mergeCell ref="AR16:BF16"/>
    <mergeCell ref="BC2:BF2"/>
    <mergeCell ref="BB2:BB3"/>
    <mergeCell ref="A15:M15"/>
    <mergeCell ref="O15:Z15"/>
    <mergeCell ref="AB15:AP15"/>
    <mergeCell ref="AR15:BF15"/>
    <mergeCell ref="AM2:AP2"/>
    <mergeCell ref="AR2:AR3"/>
    <mergeCell ref="AS2:AV2"/>
    <mergeCell ref="AW2:AW3"/>
    <mergeCell ref="AX2:BA2"/>
    <mergeCell ref="AL2:AL3"/>
    <mergeCell ref="X2:Z2"/>
    <mergeCell ref="AB2:AB3"/>
    <mergeCell ref="AC2:AF2"/>
    <mergeCell ref="AG2:AG3"/>
    <mergeCell ref="AH2:AK2"/>
    <mergeCell ref="W2:W3"/>
    <mergeCell ref="A2:A3"/>
    <mergeCell ref="B2:B3"/>
    <mergeCell ref="C2:E2"/>
    <mergeCell ref="F2:F3"/>
    <mergeCell ref="G2:I2"/>
    <mergeCell ref="J2:J3"/>
    <mergeCell ref="K2:M2"/>
    <mergeCell ref="O2:O3"/>
    <mergeCell ref="P2:R2"/>
    <mergeCell ref="S2:S3"/>
    <mergeCell ref="T2:V2"/>
    <mergeCell ref="A1:M1"/>
    <mergeCell ref="O1:Z1"/>
    <mergeCell ref="AB1:AP1"/>
    <mergeCell ref="AR1:BF1"/>
  </mergeCells>
  <phoneticPr fontId="3" type="noConversion"/>
  <pageMargins left="0.7" right="0.7" top="0.75" bottom="0.75" header="0.3" footer="0.3"/>
  <headerFooter>
    <oddHeader>&amp;C&amp;"Calibri"&amp;12&amp;KEEDC00 RMIT Classification: Trusted&amp;1#_x000D_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D339-9B8D-914C-94DC-D468D991F033}">
  <dimension ref="A1:BW35"/>
  <sheetViews>
    <sheetView tabSelected="1" zoomScale="115" zoomScaleNormal="115" workbookViewId="0">
      <pane xSplit="1" topLeftCell="C1" activePane="topRight" state="frozen"/>
      <selection pane="topRight" activeCell="A15" sqref="A15:M15"/>
    </sheetView>
  </sheetViews>
  <sheetFormatPr baseColWidth="10" defaultRowHeight="16" x14ac:dyDescent="0.2"/>
  <cols>
    <col min="1" max="1" width="9" customWidth="1"/>
    <col min="2" max="2" width="7" style="11" hidden="1" customWidth="1"/>
    <col min="3" max="3" width="7.6640625" style="12" customWidth="1"/>
    <col min="4" max="4" width="5.6640625" bestFit="1" customWidth="1"/>
    <col min="5" max="5" width="5.6640625" customWidth="1"/>
    <col min="6" max="6" width="7" hidden="1" customWidth="1"/>
    <col min="7" max="7" width="7.6640625" style="12" customWidth="1"/>
    <col min="8" max="9" width="5.6640625" customWidth="1"/>
    <col min="10" max="10" width="7" hidden="1" customWidth="1"/>
    <col min="11" max="11" width="7.6640625" style="12" customWidth="1"/>
    <col min="12" max="13" width="5.6640625" bestFit="1" customWidth="1"/>
    <col min="14" max="14" width="5.83203125" style="18" customWidth="1"/>
    <col min="15" max="15" width="7" style="11" hidden="1" customWidth="1"/>
    <col min="16" max="16" width="7.6640625" style="12" customWidth="1"/>
    <col min="17" max="17" width="5.6640625" bestFit="1" customWidth="1"/>
    <col min="18" max="18" width="5.6640625" customWidth="1"/>
    <col min="19" max="19" width="7" hidden="1" customWidth="1"/>
    <col min="20" max="20" width="7.6640625" style="12" customWidth="1"/>
    <col min="21" max="22" width="5.6640625" customWidth="1"/>
    <col min="23" max="23" width="7" hidden="1" customWidth="1"/>
    <col min="24" max="24" width="7.6640625" style="12" customWidth="1"/>
    <col min="25" max="26" width="5.6640625" bestFit="1" customWidth="1"/>
    <col min="27" max="27" width="5.83203125" style="18" customWidth="1"/>
    <col min="28" max="28" width="7" style="11" hidden="1" customWidth="1"/>
    <col min="29" max="29" width="7.6640625" style="12" customWidth="1"/>
    <col min="30" max="30" width="5.6640625" bestFit="1" customWidth="1"/>
    <col min="31" max="31" width="6.83203125" bestFit="1" customWidth="1"/>
    <col min="32" max="32" width="7.6640625" customWidth="1"/>
    <col min="33" max="33" width="7" hidden="1" customWidth="1"/>
    <col min="34" max="34" width="7.6640625" style="12" customWidth="1"/>
    <col min="35" max="36" width="5.6640625" customWidth="1"/>
    <col min="37" max="37" width="7.6640625" customWidth="1"/>
    <col min="38" max="38" width="7" hidden="1" customWidth="1"/>
    <col min="39" max="39" width="7.6640625" style="12" customWidth="1"/>
    <col min="40" max="41" width="5.83203125" bestFit="1" customWidth="1"/>
    <col min="42" max="42" width="7.6640625" customWidth="1"/>
    <col min="43" max="43" width="5.83203125" style="18" customWidth="1"/>
    <col min="44" max="44" width="7" style="11" hidden="1" customWidth="1"/>
    <col min="45" max="45" width="7.6640625" style="12" customWidth="1"/>
    <col min="46" max="46" width="5.83203125" bestFit="1" customWidth="1"/>
    <col min="47" max="47" width="6.6640625" bestFit="1" customWidth="1"/>
    <col min="48" max="48" width="7.6640625" customWidth="1"/>
    <col min="49" max="49" width="7" hidden="1" customWidth="1"/>
    <col min="50" max="50" width="7.6640625" style="12" customWidth="1"/>
    <col min="51" max="51" width="5.6640625" customWidth="1"/>
    <col min="52" max="52" width="6.33203125" customWidth="1"/>
    <col min="53" max="53" width="7.6640625" customWidth="1"/>
    <col min="54" max="54" width="7" hidden="1" customWidth="1"/>
    <col min="55" max="55" width="7.6640625" style="12" customWidth="1"/>
    <col min="56" max="56" width="5.83203125" bestFit="1" customWidth="1"/>
    <col min="57" max="57" width="7.5" bestFit="1" customWidth="1"/>
    <col min="58" max="58" width="7.6640625" customWidth="1"/>
    <col min="59" max="59" width="5.83203125" style="18" customWidth="1"/>
  </cols>
  <sheetData>
    <row r="1" spans="1:59" x14ac:dyDescent="0.2">
      <c r="A1" s="52" t="s">
        <v>18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7"/>
      <c r="O1" s="49" t="s">
        <v>18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17"/>
      <c r="AB1" s="49" t="s">
        <v>18</v>
      </c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1"/>
      <c r="AQ1" s="17"/>
      <c r="AR1" s="49" t="s">
        <v>18</v>
      </c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17"/>
    </row>
    <row r="2" spans="1:59" x14ac:dyDescent="0.2">
      <c r="A2" s="53" t="s">
        <v>0</v>
      </c>
      <c r="B2" s="53" t="s">
        <v>42</v>
      </c>
      <c r="C2" s="55" t="s">
        <v>46</v>
      </c>
      <c r="D2" s="56"/>
      <c r="E2" s="57"/>
      <c r="F2" s="53" t="s">
        <v>42</v>
      </c>
      <c r="G2" s="55" t="s">
        <v>47</v>
      </c>
      <c r="H2" s="56"/>
      <c r="I2" s="57"/>
      <c r="J2" s="53" t="s">
        <v>42</v>
      </c>
      <c r="K2" s="55" t="s">
        <v>48</v>
      </c>
      <c r="L2" s="56"/>
      <c r="M2" s="57"/>
      <c r="O2" s="53" t="s">
        <v>42</v>
      </c>
      <c r="P2" s="55" t="s">
        <v>46</v>
      </c>
      <c r="Q2" s="56"/>
      <c r="R2" s="57"/>
      <c r="S2" s="53" t="s">
        <v>42</v>
      </c>
      <c r="T2" s="55" t="s">
        <v>47</v>
      </c>
      <c r="U2" s="56"/>
      <c r="V2" s="57"/>
      <c r="W2" s="53" t="s">
        <v>42</v>
      </c>
      <c r="X2" s="55" t="s">
        <v>48</v>
      </c>
      <c r="Y2" s="56"/>
      <c r="Z2" s="57"/>
      <c r="AB2" s="53" t="s">
        <v>42</v>
      </c>
      <c r="AC2" s="55" t="s">
        <v>46</v>
      </c>
      <c r="AD2" s="56"/>
      <c r="AE2" s="56"/>
      <c r="AF2" s="57"/>
      <c r="AG2" s="53" t="s">
        <v>42</v>
      </c>
      <c r="AH2" s="55" t="s">
        <v>47</v>
      </c>
      <c r="AI2" s="56"/>
      <c r="AJ2" s="56"/>
      <c r="AK2" s="57"/>
      <c r="AL2" s="53" t="s">
        <v>42</v>
      </c>
      <c r="AM2" s="55" t="s">
        <v>48</v>
      </c>
      <c r="AN2" s="56"/>
      <c r="AO2" s="56"/>
      <c r="AP2" s="57"/>
      <c r="AR2" s="53" t="s">
        <v>42</v>
      </c>
      <c r="AS2" s="55" t="s">
        <v>46</v>
      </c>
      <c r="AT2" s="56"/>
      <c r="AU2" s="56"/>
      <c r="AV2" s="57"/>
      <c r="AW2" s="53" t="s">
        <v>42</v>
      </c>
      <c r="AX2" s="55" t="s">
        <v>47</v>
      </c>
      <c r="AY2" s="56"/>
      <c r="AZ2" s="56"/>
      <c r="BA2" s="57"/>
      <c r="BB2" s="53" t="s">
        <v>42</v>
      </c>
      <c r="BC2" s="55" t="s">
        <v>48</v>
      </c>
      <c r="BD2" s="56"/>
      <c r="BE2" s="56"/>
      <c r="BF2" s="57"/>
    </row>
    <row r="3" spans="1:59" x14ac:dyDescent="0.2">
      <c r="A3" s="54"/>
      <c r="B3" s="54"/>
      <c r="C3" s="1" t="s">
        <v>1</v>
      </c>
      <c r="D3" s="46" t="s">
        <v>2</v>
      </c>
      <c r="E3" s="46" t="s">
        <v>3</v>
      </c>
      <c r="F3" s="54"/>
      <c r="G3" s="1" t="s">
        <v>1</v>
      </c>
      <c r="H3" s="46" t="s">
        <v>2</v>
      </c>
      <c r="I3" s="46" t="s">
        <v>3</v>
      </c>
      <c r="J3" s="54"/>
      <c r="K3" s="1" t="s">
        <v>1</v>
      </c>
      <c r="L3" s="46" t="s">
        <v>2</v>
      </c>
      <c r="M3" s="45" t="s">
        <v>3</v>
      </c>
      <c r="O3" s="54"/>
      <c r="P3" s="1" t="s">
        <v>1</v>
      </c>
      <c r="Q3" s="46" t="s">
        <v>2</v>
      </c>
      <c r="R3" s="46" t="s">
        <v>3</v>
      </c>
      <c r="S3" s="54"/>
      <c r="T3" s="1" t="s">
        <v>1</v>
      </c>
      <c r="U3" s="46" t="s">
        <v>2</v>
      </c>
      <c r="V3" s="46" t="s">
        <v>3</v>
      </c>
      <c r="W3" s="54"/>
      <c r="X3" s="1" t="s">
        <v>1</v>
      </c>
      <c r="Y3" s="46" t="s">
        <v>2</v>
      </c>
      <c r="Z3" s="45" t="s">
        <v>3</v>
      </c>
      <c r="AB3" s="54"/>
      <c r="AC3" s="20" t="s">
        <v>1</v>
      </c>
      <c r="AD3" s="19" t="s">
        <v>2</v>
      </c>
      <c r="AE3" s="19" t="s">
        <v>3</v>
      </c>
      <c r="AF3" s="19" t="s">
        <v>21</v>
      </c>
      <c r="AG3" s="54"/>
      <c r="AH3" s="20" t="s">
        <v>1</v>
      </c>
      <c r="AI3" s="19" t="s">
        <v>2</v>
      </c>
      <c r="AJ3" s="19" t="s">
        <v>3</v>
      </c>
      <c r="AK3" s="19" t="s">
        <v>21</v>
      </c>
      <c r="AL3" s="54"/>
      <c r="AM3" s="20" t="s">
        <v>1</v>
      </c>
      <c r="AN3" s="19" t="s">
        <v>2</v>
      </c>
      <c r="AO3" s="19" t="s">
        <v>3</v>
      </c>
      <c r="AP3" s="19" t="s">
        <v>21</v>
      </c>
      <c r="AR3" s="54"/>
      <c r="AS3" s="20" t="s">
        <v>1</v>
      </c>
      <c r="AT3" s="19" t="s">
        <v>2</v>
      </c>
      <c r="AU3" s="19" t="s">
        <v>3</v>
      </c>
      <c r="AV3" s="19" t="s">
        <v>21</v>
      </c>
      <c r="AW3" s="54"/>
      <c r="AX3" s="20" t="s">
        <v>1</v>
      </c>
      <c r="AY3" s="19" t="s">
        <v>2</v>
      </c>
      <c r="AZ3" s="19" t="s">
        <v>3</v>
      </c>
      <c r="BA3" s="19" t="s">
        <v>21</v>
      </c>
      <c r="BB3" s="54"/>
      <c r="BC3" s="20" t="s">
        <v>1</v>
      </c>
      <c r="BD3" s="19" t="s">
        <v>2</v>
      </c>
      <c r="BE3" s="19" t="s">
        <v>3</v>
      </c>
      <c r="BF3" s="19" t="s">
        <v>21</v>
      </c>
    </row>
    <row r="4" spans="1:59" x14ac:dyDescent="0.2">
      <c r="A4" s="3" t="s">
        <v>4</v>
      </c>
      <c r="B4" s="47">
        <v>234.7</v>
      </c>
      <c r="C4" s="70">
        <v>136.35599999999999</v>
      </c>
      <c r="D4" s="68">
        <f t="shared" ref="D4:D13" si="0">C4/B4*100</f>
        <v>58.097997443544948</v>
      </c>
      <c r="E4" s="68">
        <v>81</v>
      </c>
      <c r="F4" s="47">
        <v>465</v>
      </c>
      <c r="G4" s="4">
        <v>0</v>
      </c>
      <c r="H4" s="5">
        <f t="shared" ref="H4:H13" si="1">G4/F4*100</f>
        <v>0</v>
      </c>
      <c r="I4" s="5">
        <v>0</v>
      </c>
      <c r="J4" s="47">
        <v>678.1</v>
      </c>
      <c r="K4" s="4">
        <v>0</v>
      </c>
      <c r="L4" s="5">
        <f t="shared" ref="L4:L13" si="2">K4/J4*100</f>
        <v>0</v>
      </c>
      <c r="M4" s="15">
        <v>0</v>
      </c>
      <c r="O4" s="47">
        <v>234.7</v>
      </c>
      <c r="P4" s="70">
        <v>150.03899999999999</v>
      </c>
      <c r="Q4" s="5">
        <f t="shared" ref="Q4:Q13" si="3">P4/O4*100</f>
        <v>63.927993182786537</v>
      </c>
      <c r="R4" s="5">
        <v>88</v>
      </c>
      <c r="S4" s="47">
        <v>465</v>
      </c>
      <c r="T4" s="4">
        <v>0</v>
      </c>
      <c r="U4" s="5">
        <f t="shared" ref="U4:U13" si="4">T4/S4*100</f>
        <v>0</v>
      </c>
      <c r="V4" s="5">
        <v>0</v>
      </c>
      <c r="W4" s="47">
        <v>678.1</v>
      </c>
      <c r="X4" s="4">
        <v>0</v>
      </c>
      <c r="Y4" s="5">
        <f t="shared" ref="Y4:Y13" si="5">X4/W4*100</f>
        <v>0</v>
      </c>
      <c r="Z4" s="5">
        <v>0</v>
      </c>
      <c r="AB4" s="47">
        <v>234.7</v>
      </c>
      <c r="AC4" s="4">
        <v>180.804</v>
      </c>
      <c r="AD4" s="5">
        <f t="shared" ref="AD4:AD13" si="6">AC4/AB4*100</f>
        <v>77.03621644652749</v>
      </c>
      <c r="AE4" s="5">
        <v>99</v>
      </c>
      <c r="AF4" s="5">
        <v>2898.35</v>
      </c>
      <c r="AG4" s="47">
        <v>465</v>
      </c>
      <c r="AH4" s="21">
        <v>333.87599999999998</v>
      </c>
      <c r="AI4" s="5">
        <f t="shared" ref="AI4:AI13" si="7">AH4/AG4*100</f>
        <v>71.801290322580641</v>
      </c>
      <c r="AJ4" s="5">
        <f>173/200*100</f>
        <v>86.5</v>
      </c>
      <c r="AK4" s="5">
        <v>3040.23</v>
      </c>
      <c r="AL4" s="47">
        <v>678.1</v>
      </c>
      <c r="AM4" s="4">
        <v>423.35500000000002</v>
      </c>
      <c r="AN4" s="5">
        <f>AM4/AL4*100</f>
        <v>62.432532074915201</v>
      </c>
      <c r="AO4" s="5">
        <v>68</v>
      </c>
      <c r="AP4" s="5">
        <v>3440.4</v>
      </c>
      <c r="AR4" s="47">
        <v>234.7</v>
      </c>
      <c r="AS4" s="4">
        <v>182.702</v>
      </c>
      <c r="AT4" s="5">
        <f t="shared" ref="AT4:AT13" si="8">AS4/AR4*100</f>
        <v>77.844908393694084</v>
      </c>
      <c r="AU4" s="5">
        <v>99</v>
      </c>
      <c r="AV4" s="5">
        <v>3604.49</v>
      </c>
      <c r="AW4" s="47">
        <v>465</v>
      </c>
      <c r="AX4" s="4">
        <v>374.41199999999998</v>
      </c>
      <c r="AY4" s="5">
        <f t="shared" ref="AY4:AY13" si="9">AX4/AW4*100</f>
        <v>80.518709677419352</v>
      </c>
      <c r="AZ4" s="5">
        <v>99.5</v>
      </c>
      <c r="BA4" s="5">
        <v>3601.44</v>
      </c>
      <c r="BB4" s="47">
        <v>678.1</v>
      </c>
      <c r="BC4" s="8">
        <v>539.904</v>
      </c>
      <c r="BD4" s="5">
        <f t="shared" ref="BD4:BD13" si="10">BC4/BB4*100</f>
        <v>79.620115027282111</v>
      </c>
      <c r="BE4" s="9">
        <v>99.666666666666671</v>
      </c>
      <c r="BF4" s="9">
        <v>3619.9</v>
      </c>
    </row>
    <row r="5" spans="1:59" x14ac:dyDescent="0.2">
      <c r="A5" s="6" t="s">
        <v>5</v>
      </c>
      <c r="B5" s="72">
        <v>218.6</v>
      </c>
      <c r="C5" s="71">
        <v>21.7</v>
      </c>
      <c r="D5" s="68">
        <f t="shared" si="0"/>
        <v>9.9268069533394332</v>
      </c>
      <c r="E5" s="69">
        <v>7</v>
      </c>
      <c r="F5" s="72">
        <v>450.5</v>
      </c>
      <c r="G5" s="8">
        <v>0</v>
      </c>
      <c r="H5" s="5">
        <f t="shared" si="1"/>
        <v>0</v>
      </c>
      <c r="I5" s="5">
        <v>0</v>
      </c>
      <c r="J5" s="73">
        <v>671.5</v>
      </c>
      <c r="K5" s="8">
        <v>0</v>
      </c>
      <c r="L5" s="5">
        <f t="shared" si="2"/>
        <v>0</v>
      </c>
      <c r="M5" s="15">
        <v>0</v>
      </c>
      <c r="O5" s="72">
        <v>218.6</v>
      </c>
      <c r="P5" s="71">
        <v>135.202</v>
      </c>
      <c r="Q5" s="5">
        <f t="shared" si="3"/>
        <v>61.849039341262582</v>
      </c>
      <c r="R5" s="9">
        <v>88</v>
      </c>
      <c r="S5" s="72">
        <v>450.5</v>
      </c>
      <c r="T5" s="8">
        <v>0</v>
      </c>
      <c r="U5" s="5">
        <f t="shared" si="4"/>
        <v>0</v>
      </c>
      <c r="V5" s="5">
        <v>0</v>
      </c>
      <c r="W5" s="73">
        <v>671.5</v>
      </c>
      <c r="X5" s="8">
        <v>0</v>
      </c>
      <c r="Y5" s="5">
        <f t="shared" si="5"/>
        <v>0</v>
      </c>
      <c r="Z5" s="5">
        <v>0</v>
      </c>
      <c r="AB5" s="72">
        <v>218.6</v>
      </c>
      <c r="AC5" s="8">
        <v>177.732</v>
      </c>
      <c r="AD5" s="5">
        <f t="shared" si="6"/>
        <v>81.304666056724614</v>
      </c>
      <c r="AE5" s="9">
        <v>99</v>
      </c>
      <c r="AF5" s="9">
        <v>2881.64</v>
      </c>
      <c r="AG5" s="72">
        <v>450.5</v>
      </c>
      <c r="AH5" s="22">
        <v>320.13099999999997</v>
      </c>
      <c r="AI5" s="9">
        <f t="shared" si="7"/>
        <v>71.061265260821301</v>
      </c>
      <c r="AJ5" s="9">
        <f>165/200*100</f>
        <v>82.5</v>
      </c>
      <c r="AK5" s="9">
        <v>2895.24</v>
      </c>
      <c r="AL5" s="73">
        <v>671.5</v>
      </c>
      <c r="AM5" s="8">
        <v>420.85599999999999</v>
      </c>
      <c r="AN5" s="9">
        <f t="shared" ref="AN5:AN13" si="11">AM5/AL5*100</f>
        <v>62.674013402829488</v>
      </c>
      <c r="AO5" s="9">
        <v>68.333333333333329</v>
      </c>
      <c r="AP5" s="9">
        <v>2221.9299999999998</v>
      </c>
      <c r="AR5" s="72">
        <v>218.6</v>
      </c>
      <c r="AS5" s="8">
        <v>175.10499999999999</v>
      </c>
      <c r="AT5" s="5">
        <f t="shared" si="8"/>
        <v>80.102927721866422</v>
      </c>
      <c r="AU5" s="9">
        <v>99</v>
      </c>
      <c r="AV5" s="9">
        <v>3602.08</v>
      </c>
      <c r="AW5" s="72">
        <v>450.5</v>
      </c>
      <c r="AX5" s="8">
        <v>367.815</v>
      </c>
      <c r="AY5" s="5">
        <f t="shared" si="9"/>
        <v>81.645948945615984</v>
      </c>
      <c r="AZ5" s="5">
        <v>100</v>
      </c>
      <c r="BA5" s="9">
        <v>3176.76</v>
      </c>
      <c r="BB5" s="73">
        <v>671.5</v>
      </c>
      <c r="BC5" s="8">
        <v>546.25599999999997</v>
      </c>
      <c r="BD5" s="5">
        <f t="shared" si="10"/>
        <v>81.348622486969475</v>
      </c>
      <c r="BE5" s="9">
        <v>99.666666666666671</v>
      </c>
      <c r="BF5" s="9">
        <v>3600.43</v>
      </c>
    </row>
    <row r="6" spans="1:59" x14ac:dyDescent="0.2">
      <c r="A6" s="6" t="s">
        <v>6</v>
      </c>
      <c r="B6" s="72">
        <v>231.3</v>
      </c>
      <c r="C6" s="71">
        <v>103.17700000000001</v>
      </c>
      <c r="D6" s="68">
        <f t="shared" si="0"/>
        <v>44.607436230004325</v>
      </c>
      <c r="E6" s="69">
        <v>62</v>
      </c>
      <c r="F6" s="72">
        <v>462.4</v>
      </c>
      <c r="G6" s="4">
        <v>0</v>
      </c>
      <c r="H6" s="5">
        <f t="shared" si="1"/>
        <v>0</v>
      </c>
      <c r="I6" s="5">
        <v>0</v>
      </c>
      <c r="J6" s="73">
        <v>694.6</v>
      </c>
      <c r="K6" s="4">
        <v>0</v>
      </c>
      <c r="L6" s="5">
        <f t="shared" si="2"/>
        <v>0</v>
      </c>
      <c r="M6" s="15">
        <v>0</v>
      </c>
      <c r="O6" s="72">
        <v>231.3</v>
      </c>
      <c r="P6" s="71">
        <v>151.416</v>
      </c>
      <c r="Q6" s="5">
        <f t="shared" si="3"/>
        <v>65.463035019455248</v>
      </c>
      <c r="R6" s="9">
        <v>94</v>
      </c>
      <c r="S6" s="72">
        <v>462.4</v>
      </c>
      <c r="T6" s="4">
        <v>0</v>
      </c>
      <c r="U6" s="5">
        <f t="shared" si="4"/>
        <v>0</v>
      </c>
      <c r="V6" s="5">
        <v>0</v>
      </c>
      <c r="W6" s="73">
        <v>694.6</v>
      </c>
      <c r="X6" s="4">
        <v>0</v>
      </c>
      <c r="Y6" s="5">
        <f t="shared" si="5"/>
        <v>0</v>
      </c>
      <c r="Z6" s="5">
        <v>0</v>
      </c>
      <c r="AB6" s="72">
        <v>231.3</v>
      </c>
      <c r="AC6" s="8">
        <v>185.02</v>
      </c>
      <c r="AD6" s="5">
        <f t="shared" si="6"/>
        <v>79.991353220925205</v>
      </c>
      <c r="AE6" s="9">
        <v>96</v>
      </c>
      <c r="AF6" s="9">
        <v>2944.19</v>
      </c>
      <c r="AG6" s="72">
        <v>462.4</v>
      </c>
      <c r="AH6" s="22">
        <v>332.16199999999998</v>
      </c>
      <c r="AI6" s="9">
        <f t="shared" si="7"/>
        <v>71.834342560553637</v>
      </c>
      <c r="AJ6" s="9">
        <f>176/200*100</f>
        <v>88</v>
      </c>
      <c r="AK6" s="9">
        <v>2378.48</v>
      </c>
      <c r="AL6" s="73">
        <v>694.6</v>
      </c>
      <c r="AM6" s="8">
        <v>451.02</v>
      </c>
      <c r="AN6" s="9">
        <f t="shared" si="11"/>
        <v>64.93233515692485</v>
      </c>
      <c r="AO6" s="9">
        <v>71.333333333333329</v>
      </c>
      <c r="AP6" s="9">
        <v>2406.0300000000002</v>
      </c>
      <c r="AR6" s="72">
        <v>231.3</v>
      </c>
      <c r="AS6" s="8">
        <v>185.745</v>
      </c>
      <c r="AT6" s="5">
        <f t="shared" si="8"/>
        <v>80.304798962386513</v>
      </c>
      <c r="AU6" s="9">
        <v>99</v>
      </c>
      <c r="AV6" s="9">
        <v>3344.4</v>
      </c>
      <c r="AW6" s="72">
        <v>462.4</v>
      </c>
      <c r="AX6" s="4">
        <v>383</v>
      </c>
      <c r="AY6" s="5">
        <f t="shared" si="9"/>
        <v>82.828719723183397</v>
      </c>
      <c r="AZ6" s="5">
        <v>100</v>
      </c>
      <c r="BA6" s="9">
        <v>2766.87</v>
      </c>
      <c r="BB6" s="73">
        <v>694.6</v>
      </c>
      <c r="BC6" s="8">
        <v>586.452</v>
      </c>
      <c r="BD6" s="5">
        <f t="shared" si="10"/>
        <v>84.430175640656486</v>
      </c>
      <c r="BE6" s="9">
        <v>99.333333333333329</v>
      </c>
      <c r="BF6" s="9">
        <v>3600.38</v>
      </c>
    </row>
    <row r="7" spans="1:59" x14ac:dyDescent="0.2">
      <c r="A7" s="6" t="s">
        <v>7</v>
      </c>
      <c r="B7" s="72">
        <v>238.5</v>
      </c>
      <c r="C7" s="71">
        <v>111.018</v>
      </c>
      <c r="D7" s="68">
        <f t="shared" si="0"/>
        <v>46.548427672955981</v>
      </c>
      <c r="E7" s="69">
        <v>60</v>
      </c>
      <c r="F7" s="72">
        <v>483.4</v>
      </c>
      <c r="G7" s="8">
        <v>0</v>
      </c>
      <c r="H7" s="5">
        <f t="shared" si="1"/>
        <v>0</v>
      </c>
      <c r="I7" s="5">
        <v>0</v>
      </c>
      <c r="J7" s="73">
        <v>721</v>
      </c>
      <c r="K7" s="8">
        <v>0</v>
      </c>
      <c r="L7" s="5">
        <f t="shared" si="2"/>
        <v>0</v>
      </c>
      <c r="M7" s="15">
        <v>0</v>
      </c>
      <c r="O7" s="72">
        <v>238.5</v>
      </c>
      <c r="P7" s="71">
        <v>128.93100000000001</v>
      </c>
      <c r="Q7" s="5">
        <f t="shared" si="3"/>
        <v>54.059119496855345</v>
      </c>
      <c r="R7" s="9">
        <v>79</v>
      </c>
      <c r="S7" s="72">
        <v>483.4</v>
      </c>
      <c r="T7" s="8">
        <v>0</v>
      </c>
      <c r="U7" s="5">
        <f t="shared" si="4"/>
        <v>0</v>
      </c>
      <c r="V7" s="5">
        <v>0</v>
      </c>
      <c r="W7" s="73">
        <v>721</v>
      </c>
      <c r="X7" s="8">
        <v>0</v>
      </c>
      <c r="Y7" s="5">
        <f t="shared" si="5"/>
        <v>0</v>
      </c>
      <c r="Z7" s="5">
        <v>0</v>
      </c>
      <c r="AB7" s="72">
        <v>238.5</v>
      </c>
      <c r="AC7" s="8">
        <v>189.101</v>
      </c>
      <c r="AD7" s="5">
        <f t="shared" si="6"/>
        <v>79.287631027253667</v>
      </c>
      <c r="AE7" s="9">
        <v>99</v>
      </c>
      <c r="AF7" s="9">
        <v>2888.92</v>
      </c>
      <c r="AG7" s="72">
        <v>483.4</v>
      </c>
      <c r="AH7" s="22">
        <v>332.80200000000002</v>
      </c>
      <c r="AI7" s="9">
        <f t="shared" si="7"/>
        <v>68.84609019445594</v>
      </c>
      <c r="AJ7" s="9">
        <f>162/200*100</f>
        <v>81</v>
      </c>
      <c r="AK7" s="9">
        <v>2746.79</v>
      </c>
      <c r="AL7" s="73">
        <v>721</v>
      </c>
      <c r="AM7" s="8">
        <v>426.48099999999999</v>
      </c>
      <c r="AN7" s="9">
        <f t="shared" si="11"/>
        <v>59.151317614424414</v>
      </c>
      <c r="AO7" s="9">
        <v>64</v>
      </c>
      <c r="AP7" s="9">
        <v>2953.53</v>
      </c>
      <c r="AR7" s="72">
        <v>238.5</v>
      </c>
      <c r="AS7" s="8">
        <v>188.58</v>
      </c>
      <c r="AT7" s="5">
        <f t="shared" si="8"/>
        <v>79.069182389937112</v>
      </c>
      <c r="AU7" s="9">
        <v>99</v>
      </c>
      <c r="AV7" s="9">
        <v>3240.2</v>
      </c>
      <c r="AW7" s="72">
        <v>483.4</v>
      </c>
      <c r="AX7" s="8">
        <v>386.78899999999999</v>
      </c>
      <c r="AY7" s="5">
        <f t="shared" si="9"/>
        <v>80.014273893256103</v>
      </c>
      <c r="AZ7" s="5">
        <v>99.5</v>
      </c>
      <c r="BA7" s="9">
        <v>3601.8</v>
      </c>
      <c r="BB7" s="73">
        <v>721</v>
      </c>
      <c r="BC7" s="8">
        <v>594.85199999999998</v>
      </c>
      <c r="BD7" s="5">
        <f t="shared" si="10"/>
        <v>82.503744798890423</v>
      </c>
      <c r="BE7" s="9">
        <v>99.333333333333329</v>
      </c>
      <c r="BF7" s="9">
        <v>3603</v>
      </c>
    </row>
    <row r="8" spans="1:59" x14ac:dyDescent="0.2">
      <c r="A8" s="6" t="s">
        <v>8</v>
      </c>
      <c r="B8" s="72">
        <v>206.6</v>
      </c>
      <c r="C8" s="71">
        <v>0</v>
      </c>
      <c r="D8" s="69">
        <f t="shared" si="0"/>
        <v>0</v>
      </c>
      <c r="E8" s="69">
        <v>0</v>
      </c>
      <c r="F8" s="72">
        <v>430.3</v>
      </c>
      <c r="G8" s="4">
        <v>0</v>
      </c>
      <c r="H8" s="9">
        <f t="shared" si="1"/>
        <v>0</v>
      </c>
      <c r="I8" s="5">
        <v>0</v>
      </c>
      <c r="J8" s="73">
        <v>652.6</v>
      </c>
      <c r="K8" s="4">
        <v>0</v>
      </c>
      <c r="L8" s="9">
        <f t="shared" si="2"/>
        <v>0</v>
      </c>
      <c r="M8" s="15">
        <v>0</v>
      </c>
      <c r="O8" s="72">
        <v>206.6</v>
      </c>
      <c r="P8" s="71">
        <v>129.815</v>
      </c>
      <c r="Q8" s="9">
        <f t="shared" si="3"/>
        <v>62.833978702807357</v>
      </c>
      <c r="R8" s="9">
        <v>88</v>
      </c>
      <c r="S8" s="72">
        <v>430.3</v>
      </c>
      <c r="T8" s="4">
        <v>0</v>
      </c>
      <c r="U8" s="9">
        <f t="shared" si="4"/>
        <v>0</v>
      </c>
      <c r="V8" s="5">
        <v>0</v>
      </c>
      <c r="W8" s="73">
        <v>652.6</v>
      </c>
      <c r="X8" s="4">
        <v>0</v>
      </c>
      <c r="Y8" s="9">
        <f t="shared" si="5"/>
        <v>0</v>
      </c>
      <c r="Z8" s="5">
        <v>0</v>
      </c>
      <c r="AB8" s="72">
        <v>206.6</v>
      </c>
      <c r="AC8" s="8">
        <v>164.52099999999999</v>
      </c>
      <c r="AD8" s="9">
        <f t="shared" si="6"/>
        <v>79.632623426911906</v>
      </c>
      <c r="AE8" s="9">
        <v>95</v>
      </c>
      <c r="AF8" s="9">
        <v>2910.03</v>
      </c>
      <c r="AG8" s="72">
        <v>430.3</v>
      </c>
      <c r="AH8" s="22">
        <v>312.56400000000002</v>
      </c>
      <c r="AI8" s="9">
        <f t="shared" si="7"/>
        <v>72.638624215663498</v>
      </c>
      <c r="AJ8" s="9">
        <f>162/200*100</f>
        <v>81</v>
      </c>
      <c r="AK8" s="9">
        <v>2641.49</v>
      </c>
      <c r="AL8" s="73">
        <v>652.6</v>
      </c>
      <c r="AM8" s="8">
        <v>444.1</v>
      </c>
      <c r="AN8" s="9">
        <f t="shared" si="11"/>
        <v>68.050873429359484</v>
      </c>
      <c r="AO8" s="9">
        <v>74.666666666666671</v>
      </c>
      <c r="AP8" s="9">
        <v>2781.81</v>
      </c>
      <c r="AR8" s="72">
        <v>206.6</v>
      </c>
      <c r="AS8" s="8">
        <v>163.16900000000001</v>
      </c>
      <c r="AT8" s="9">
        <f t="shared" si="8"/>
        <v>78.978218780251694</v>
      </c>
      <c r="AU8" s="9">
        <v>95</v>
      </c>
      <c r="AV8" s="9">
        <v>3608.75</v>
      </c>
      <c r="AW8" s="72">
        <v>430.3</v>
      </c>
      <c r="AX8" s="4">
        <v>365.80799999999999</v>
      </c>
      <c r="AY8" s="9">
        <f t="shared" si="9"/>
        <v>85.012316988147802</v>
      </c>
      <c r="AZ8" s="5">
        <v>100</v>
      </c>
      <c r="BA8" s="9">
        <v>2742.66</v>
      </c>
      <c r="BB8" s="73">
        <v>652.6</v>
      </c>
      <c r="BC8" s="4">
        <v>543.80600000000004</v>
      </c>
      <c r="BD8" s="9">
        <f t="shared" si="10"/>
        <v>83.329144958627026</v>
      </c>
      <c r="BE8" s="5">
        <v>100</v>
      </c>
      <c r="BF8" s="9">
        <v>3012.05</v>
      </c>
    </row>
    <row r="9" spans="1:59" x14ac:dyDescent="0.2">
      <c r="A9" s="3" t="s">
        <v>9</v>
      </c>
      <c r="B9" s="72">
        <v>221.1</v>
      </c>
      <c r="C9" s="71">
        <v>99.578000000000003</v>
      </c>
      <c r="D9" s="69">
        <f t="shared" si="0"/>
        <v>45.037539574853007</v>
      </c>
      <c r="E9" s="69">
        <v>64</v>
      </c>
      <c r="F9" s="72">
        <v>455.1</v>
      </c>
      <c r="G9" s="8">
        <v>0</v>
      </c>
      <c r="H9" s="9">
        <f t="shared" si="1"/>
        <v>0</v>
      </c>
      <c r="I9" s="5">
        <v>0</v>
      </c>
      <c r="J9" s="73">
        <v>677.4</v>
      </c>
      <c r="K9" s="8">
        <v>0</v>
      </c>
      <c r="L9" s="9">
        <f t="shared" si="2"/>
        <v>0</v>
      </c>
      <c r="M9" s="15">
        <v>0</v>
      </c>
      <c r="O9" s="72">
        <v>221.1</v>
      </c>
      <c r="P9" s="71">
        <v>133.88900000000001</v>
      </c>
      <c r="Q9" s="9">
        <f t="shared" si="3"/>
        <v>60.555857078245147</v>
      </c>
      <c r="R9" s="9">
        <v>85</v>
      </c>
      <c r="S9" s="72">
        <v>455.1</v>
      </c>
      <c r="T9" s="8">
        <v>0</v>
      </c>
      <c r="U9" s="9">
        <f t="shared" si="4"/>
        <v>0</v>
      </c>
      <c r="V9" s="5">
        <v>0</v>
      </c>
      <c r="W9" s="73">
        <v>677.4</v>
      </c>
      <c r="X9" s="8">
        <v>0</v>
      </c>
      <c r="Y9" s="9">
        <f t="shared" si="5"/>
        <v>0</v>
      </c>
      <c r="Z9" s="5">
        <v>0</v>
      </c>
      <c r="AB9" s="72">
        <v>221.1</v>
      </c>
      <c r="AC9" s="8">
        <v>167.74799999999999</v>
      </c>
      <c r="AD9" s="5">
        <f t="shared" si="6"/>
        <v>75.869742198100411</v>
      </c>
      <c r="AE9" s="9">
        <v>95</v>
      </c>
      <c r="AF9" s="9">
        <v>3452.94</v>
      </c>
      <c r="AG9" s="72">
        <v>455.1</v>
      </c>
      <c r="AH9" s="22">
        <v>322.26299999999998</v>
      </c>
      <c r="AI9" s="5">
        <f t="shared" si="7"/>
        <v>70.811470006591946</v>
      </c>
      <c r="AJ9" s="9">
        <f>166/200*100</f>
        <v>83</v>
      </c>
      <c r="AK9" s="9">
        <v>2479.36</v>
      </c>
      <c r="AL9" s="73">
        <v>677.4</v>
      </c>
      <c r="AM9" s="8">
        <v>421.46199999999999</v>
      </c>
      <c r="AN9" s="5">
        <f t="shared" si="11"/>
        <v>62.217596693238853</v>
      </c>
      <c r="AO9" s="9">
        <v>64.666666666666671</v>
      </c>
      <c r="AP9" s="9">
        <v>3091.53</v>
      </c>
      <c r="AR9" s="72">
        <v>221.1</v>
      </c>
      <c r="AS9" s="8">
        <v>169.58799999999999</v>
      </c>
      <c r="AT9" s="9">
        <f t="shared" si="8"/>
        <v>76.701944821347794</v>
      </c>
      <c r="AU9" s="9">
        <v>100</v>
      </c>
      <c r="AV9" s="9">
        <v>3460.45</v>
      </c>
      <c r="AW9" s="72">
        <v>455.1</v>
      </c>
      <c r="AX9" s="8">
        <v>372.84899999999999</v>
      </c>
      <c r="AY9" s="9">
        <f t="shared" si="9"/>
        <v>81.926829268292678</v>
      </c>
      <c r="AZ9" s="5">
        <v>99.5</v>
      </c>
      <c r="BA9" s="9">
        <v>3600.32</v>
      </c>
      <c r="BB9" s="73">
        <v>677.4</v>
      </c>
      <c r="BC9" s="8">
        <v>541.428</v>
      </c>
      <c r="BD9" s="9">
        <f t="shared" si="10"/>
        <v>79.9273693534101</v>
      </c>
      <c r="BE9" s="5">
        <v>100</v>
      </c>
      <c r="BF9" s="9">
        <v>3623.03</v>
      </c>
    </row>
    <row r="10" spans="1:59" x14ac:dyDescent="0.2">
      <c r="A10" s="6" t="s">
        <v>10</v>
      </c>
      <c r="B10" s="72">
        <v>211.7</v>
      </c>
      <c r="C10" s="71">
        <v>20.2</v>
      </c>
      <c r="D10" s="69">
        <f t="shared" si="0"/>
        <v>9.541804440245631</v>
      </c>
      <c r="E10" s="69">
        <v>9</v>
      </c>
      <c r="F10" s="72">
        <v>442.8</v>
      </c>
      <c r="G10" s="4">
        <v>0</v>
      </c>
      <c r="H10" s="9">
        <f t="shared" si="1"/>
        <v>0</v>
      </c>
      <c r="I10" s="5">
        <v>0</v>
      </c>
      <c r="J10" s="73">
        <v>655.8</v>
      </c>
      <c r="K10" s="4">
        <v>0</v>
      </c>
      <c r="L10" s="9">
        <f t="shared" si="2"/>
        <v>0</v>
      </c>
      <c r="M10" s="15">
        <v>0</v>
      </c>
      <c r="O10" s="72">
        <v>211.7</v>
      </c>
      <c r="P10" s="71">
        <v>132.10300000000001</v>
      </c>
      <c r="Q10" s="9">
        <f t="shared" si="3"/>
        <v>62.401039206424194</v>
      </c>
      <c r="R10" s="9">
        <v>86</v>
      </c>
      <c r="S10" s="72">
        <v>442.8</v>
      </c>
      <c r="T10" s="4">
        <v>0</v>
      </c>
      <c r="U10" s="9">
        <f t="shared" si="4"/>
        <v>0</v>
      </c>
      <c r="V10" s="5">
        <v>0</v>
      </c>
      <c r="W10" s="73">
        <v>655.8</v>
      </c>
      <c r="X10" s="4">
        <v>0</v>
      </c>
      <c r="Y10" s="9">
        <f t="shared" si="5"/>
        <v>0</v>
      </c>
      <c r="Z10" s="5">
        <v>0</v>
      </c>
      <c r="AB10" s="72">
        <v>211.7</v>
      </c>
      <c r="AC10" s="8">
        <v>162.18600000000001</v>
      </c>
      <c r="AD10" s="9">
        <f t="shared" si="6"/>
        <v>76.611242324043459</v>
      </c>
      <c r="AE10" s="9">
        <v>96</v>
      </c>
      <c r="AF10" s="9">
        <v>3444.51</v>
      </c>
      <c r="AG10" s="72">
        <v>442.8</v>
      </c>
      <c r="AH10" s="22">
        <v>315.733</v>
      </c>
      <c r="AI10" s="9">
        <f t="shared" si="7"/>
        <v>71.303748870822034</v>
      </c>
      <c r="AJ10" s="9">
        <f>170/200*100</f>
        <v>85</v>
      </c>
      <c r="AK10" s="9">
        <v>3164.66</v>
      </c>
      <c r="AL10" s="73">
        <v>655.8</v>
      </c>
      <c r="AM10" s="8">
        <v>414.24900000000002</v>
      </c>
      <c r="AN10" s="9">
        <f t="shared" si="11"/>
        <v>63.166971637694424</v>
      </c>
      <c r="AO10" s="9">
        <v>61.333333333333336</v>
      </c>
      <c r="AP10" s="9">
        <v>3069.14</v>
      </c>
      <c r="AR10" s="72">
        <v>211.7</v>
      </c>
      <c r="AS10" s="8">
        <v>165.2</v>
      </c>
      <c r="AT10" s="9">
        <f t="shared" si="8"/>
        <v>78.034955125177135</v>
      </c>
      <c r="AU10" s="9">
        <v>98</v>
      </c>
      <c r="AV10" s="9">
        <v>2551.65</v>
      </c>
      <c r="AW10" s="72">
        <v>442.8</v>
      </c>
      <c r="AX10" s="4">
        <v>361.58600000000001</v>
      </c>
      <c r="AY10" s="9">
        <f t="shared" si="9"/>
        <v>81.658988256549236</v>
      </c>
      <c r="AZ10" s="5">
        <v>99.5</v>
      </c>
      <c r="BA10" s="9">
        <v>3600.64</v>
      </c>
      <c r="BB10" s="73">
        <v>655.8</v>
      </c>
      <c r="BC10" s="4">
        <v>532.221</v>
      </c>
      <c r="BD10" s="9">
        <f t="shared" si="10"/>
        <v>81.155992680695348</v>
      </c>
      <c r="BE10" s="5">
        <v>99.333333333333329</v>
      </c>
      <c r="BF10" s="9">
        <v>3604.29</v>
      </c>
    </row>
    <row r="11" spans="1:59" x14ac:dyDescent="0.2">
      <c r="A11" s="6" t="s">
        <v>11</v>
      </c>
      <c r="B11" s="72">
        <v>240</v>
      </c>
      <c r="C11" s="71">
        <v>127.75700000000001</v>
      </c>
      <c r="D11" s="69">
        <f t="shared" si="0"/>
        <v>53.232083333333335</v>
      </c>
      <c r="E11" s="69">
        <v>75</v>
      </c>
      <c r="F11" s="72">
        <v>480.2</v>
      </c>
      <c r="G11" s="8">
        <v>0</v>
      </c>
      <c r="H11" s="9">
        <f t="shared" si="1"/>
        <v>0</v>
      </c>
      <c r="I11" s="5">
        <v>0</v>
      </c>
      <c r="J11" s="73">
        <v>698.9</v>
      </c>
      <c r="K11" s="8">
        <v>0</v>
      </c>
      <c r="L11" s="9">
        <f t="shared" si="2"/>
        <v>0</v>
      </c>
      <c r="M11" s="15">
        <v>0</v>
      </c>
      <c r="O11" s="72">
        <v>240</v>
      </c>
      <c r="P11" s="71">
        <v>164.83600000000001</v>
      </c>
      <c r="Q11" s="9">
        <f t="shared" si="3"/>
        <v>68.681666666666672</v>
      </c>
      <c r="R11" s="9">
        <v>95</v>
      </c>
      <c r="S11" s="72">
        <v>480.2</v>
      </c>
      <c r="T11" s="8">
        <v>0</v>
      </c>
      <c r="U11" s="9">
        <f t="shared" si="4"/>
        <v>0</v>
      </c>
      <c r="V11" s="5">
        <v>0</v>
      </c>
      <c r="W11" s="73">
        <v>698.9</v>
      </c>
      <c r="X11" s="8">
        <v>0</v>
      </c>
      <c r="Y11" s="9">
        <f t="shared" si="5"/>
        <v>0</v>
      </c>
      <c r="Z11" s="5">
        <v>0</v>
      </c>
      <c r="AB11" s="72">
        <v>240</v>
      </c>
      <c r="AC11" s="8">
        <v>189.47800000000001</v>
      </c>
      <c r="AD11" s="9">
        <f t="shared" si="6"/>
        <v>78.94916666666667</v>
      </c>
      <c r="AE11" s="9">
        <v>98</v>
      </c>
      <c r="AF11" s="9">
        <v>3488.76</v>
      </c>
      <c r="AG11" s="72">
        <v>480.2</v>
      </c>
      <c r="AH11" s="22">
        <v>346.577</v>
      </c>
      <c r="AI11" s="9">
        <f t="shared" si="7"/>
        <v>72.173469387755105</v>
      </c>
      <c r="AJ11" s="9">
        <f>184/200*100</f>
        <v>92</v>
      </c>
      <c r="AK11" s="9">
        <v>2222.34</v>
      </c>
      <c r="AL11" s="73">
        <v>698.9</v>
      </c>
      <c r="AM11" s="8">
        <v>434.10500000000002</v>
      </c>
      <c r="AN11" s="9">
        <f t="shared" si="11"/>
        <v>62.112605522964657</v>
      </c>
      <c r="AO11" s="9">
        <v>67.666666666666671</v>
      </c>
      <c r="AP11" s="9">
        <v>2765.91</v>
      </c>
      <c r="AR11" s="72">
        <v>240</v>
      </c>
      <c r="AS11" s="8">
        <v>189.93600000000001</v>
      </c>
      <c r="AT11" s="9">
        <f t="shared" si="8"/>
        <v>79.14</v>
      </c>
      <c r="AU11" s="9">
        <v>100</v>
      </c>
      <c r="AV11" s="9">
        <v>3378.03</v>
      </c>
      <c r="AW11" s="72">
        <v>480.2</v>
      </c>
      <c r="AX11" s="8">
        <v>381.767</v>
      </c>
      <c r="AY11" s="9">
        <f t="shared" si="9"/>
        <v>79.501665972511461</v>
      </c>
      <c r="AZ11" s="5">
        <v>100</v>
      </c>
      <c r="BA11" s="9">
        <v>3619</v>
      </c>
      <c r="BB11" s="73">
        <v>698.9</v>
      </c>
      <c r="BC11" s="8">
        <v>580.54700000000003</v>
      </c>
      <c r="BD11" s="9">
        <f t="shared" si="10"/>
        <v>83.065817713549876</v>
      </c>
      <c r="BE11" s="5">
        <v>99.666666666666671</v>
      </c>
      <c r="BF11" s="9">
        <v>3601.63</v>
      </c>
    </row>
    <row r="12" spans="1:59" x14ac:dyDescent="0.2">
      <c r="A12" s="6" t="s">
        <v>12</v>
      </c>
      <c r="B12" s="72">
        <v>219.8</v>
      </c>
      <c r="C12" s="71">
        <v>102.286</v>
      </c>
      <c r="D12" s="69">
        <f t="shared" si="0"/>
        <v>46.535941765241127</v>
      </c>
      <c r="E12" s="69">
        <v>60</v>
      </c>
      <c r="F12" s="72">
        <v>442.1</v>
      </c>
      <c r="G12" s="4">
        <v>0</v>
      </c>
      <c r="H12" s="9">
        <f t="shared" si="1"/>
        <v>0</v>
      </c>
      <c r="I12" s="5">
        <v>0</v>
      </c>
      <c r="J12" s="73">
        <v>662.8</v>
      </c>
      <c r="K12" s="4">
        <v>0</v>
      </c>
      <c r="L12" s="9">
        <f t="shared" si="2"/>
        <v>0</v>
      </c>
      <c r="M12" s="15">
        <v>0</v>
      </c>
      <c r="O12" s="72">
        <v>219.8</v>
      </c>
      <c r="P12" s="71">
        <v>135.40299999999999</v>
      </c>
      <c r="Q12" s="9">
        <f t="shared" si="3"/>
        <v>61.602820746132835</v>
      </c>
      <c r="R12" s="9">
        <v>86</v>
      </c>
      <c r="S12" s="72">
        <v>442.1</v>
      </c>
      <c r="T12" s="4">
        <v>0</v>
      </c>
      <c r="U12" s="9">
        <f t="shared" si="4"/>
        <v>0</v>
      </c>
      <c r="V12" s="5">
        <v>0</v>
      </c>
      <c r="W12" s="73">
        <v>662.8</v>
      </c>
      <c r="X12" s="4">
        <v>0</v>
      </c>
      <c r="Y12" s="9">
        <f t="shared" si="5"/>
        <v>0</v>
      </c>
      <c r="Z12" s="5">
        <v>0</v>
      </c>
      <c r="AB12" s="72">
        <v>219.8</v>
      </c>
      <c r="AC12" s="8">
        <v>173.6</v>
      </c>
      <c r="AD12" s="9">
        <f t="shared" si="6"/>
        <v>78.980891719745216</v>
      </c>
      <c r="AE12" s="9">
        <v>98</v>
      </c>
      <c r="AF12" s="9">
        <v>2920.82</v>
      </c>
      <c r="AG12" s="72">
        <v>442.1</v>
      </c>
      <c r="AH12" s="22">
        <v>322.65800000000002</v>
      </c>
      <c r="AI12" s="9">
        <f t="shared" si="7"/>
        <v>72.983035512327533</v>
      </c>
      <c r="AJ12" s="9">
        <f>176/200*100</f>
        <v>88</v>
      </c>
      <c r="AK12" s="9">
        <v>2342.08</v>
      </c>
      <c r="AL12" s="73">
        <v>662.8</v>
      </c>
      <c r="AM12" s="8">
        <v>431.62599999999998</v>
      </c>
      <c r="AN12" s="9">
        <f t="shared" si="11"/>
        <v>65.12160531080265</v>
      </c>
      <c r="AO12" s="9">
        <v>70.666666666666671</v>
      </c>
      <c r="AP12" s="9">
        <v>2396.6</v>
      </c>
      <c r="AR12" s="72">
        <v>219.8</v>
      </c>
      <c r="AS12" s="8">
        <v>172.84899999999999</v>
      </c>
      <c r="AT12" s="9">
        <f t="shared" si="8"/>
        <v>78.639217470427653</v>
      </c>
      <c r="AU12" s="9">
        <v>97</v>
      </c>
      <c r="AV12" s="9">
        <v>3610.95</v>
      </c>
      <c r="AW12" s="72">
        <v>442.1</v>
      </c>
      <c r="AX12" s="4">
        <v>362.04599999999999</v>
      </c>
      <c r="AY12" s="9">
        <f t="shared" si="9"/>
        <v>81.892332051572041</v>
      </c>
      <c r="AZ12" s="5">
        <v>100</v>
      </c>
      <c r="BA12" s="9">
        <v>3600.08</v>
      </c>
      <c r="BB12" s="73">
        <v>662.8</v>
      </c>
      <c r="BC12" s="4">
        <v>542.798</v>
      </c>
      <c r="BD12" s="9">
        <f t="shared" si="10"/>
        <v>81.894689197344604</v>
      </c>
      <c r="BE12" s="5">
        <v>100</v>
      </c>
      <c r="BF12" s="9">
        <v>2944.15</v>
      </c>
    </row>
    <row r="13" spans="1:59" x14ac:dyDescent="0.2">
      <c r="A13" s="6" t="s">
        <v>13</v>
      </c>
      <c r="B13" s="72">
        <v>219.1</v>
      </c>
      <c r="C13" s="71">
        <v>15.3</v>
      </c>
      <c r="D13" s="69">
        <f t="shared" si="0"/>
        <v>6.9831127339114563</v>
      </c>
      <c r="E13" s="69">
        <v>7</v>
      </c>
      <c r="F13" s="72">
        <v>441.4</v>
      </c>
      <c r="G13" s="8">
        <v>0</v>
      </c>
      <c r="H13" s="9">
        <f t="shared" si="1"/>
        <v>0</v>
      </c>
      <c r="I13" s="5">
        <v>0</v>
      </c>
      <c r="J13" s="73">
        <v>670.9</v>
      </c>
      <c r="K13" s="8">
        <v>0</v>
      </c>
      <c r="L13" s="9">
        <f t="shared" si="2"/>
        <v>0</v>
      </c>
      <c r="M13" s="15">
        <v>0</v>
      </c>
      <c r="O13" s="72">
        <v>219.1</v>
      </c>
      <c r="P13" s="71">
        <v>95.055599999999998</v>
      </c>
      <c r="Q13" s="9">
        <f t="shared" si="3"/>
        <v>43.384573254221813</v>
      </c>
      <c r="R13" s="9">
        <f>62</f>
        <v>62</v>
      </c>
      <c r="S13" s="72">
        <v>441.4</v>
      </c>
      <c r="T13" s="8">
        <v>0</v>
      </c>
      <c r="U13" s="9">
        <f t="shared" si="4"/>
        <v>0</v>
      </c>
      <c r="V13" s="5">
        <v>0</v>
      </c>
      <c r="W13" s="73">
        <v>670.9</v>
      </c>
      <c r="X13" s="8">
        <v>0</v>
      </c>
      <c r="Y13" s="9">
        <f t="shared" si="5"/>
        <v>0</v>
      </c>
      <c r="Z13" s="5">
        <v>0</v>
      </c>
      <c r="AB13" s="72">
        <v>219.1</v>
      </c>
      <c r="AC13" s="8">
        <v>164.197</v>
      </c>
      <c r="AD13" s="9">
        <f t="shared" si="6"/>
        <v>74.941579187585589</v>
      </c>
      <c r="AE13" s="9">
        <v>92</v>
      </c>
      <c r="AF13" s="9">
        <v>3600</v>
      </c>
      <c r="AG13" s="72">
        <v>441.4</v>
      </c>
      <c r="AH13" s="22">
        <v>311.06599999999997</v>
      </c>
      <c r="AI13" s="9">
        <f t="shared" si="7"/>
        <v>70.472587222473948</v>
      </c>
      <c r="AJ13" s="9">
        <f>166/200*100</f>
        <v>83</v>
      </c>
      <c r="AK13" s="9">
        <v>2962.22</v>
      </c>
      <c r="AL13" s="73">
        <v>670.9</v>
      </c>
      <c r="AM13" s="8">
        <v>411.01100000000002</v>
      </c>
      <c r="AN13" s="9">
        <f t="shared" si="11"/>
        <v>61.262632284990318</v>
      </c>
      <c r="AO13" s="9">
        <v>60.333333333333336</v>
      </c>
      <c r="AP13" s="9">
        <v>3217.38</v>
      </c>
      <c r="AR13" s="72">
        <v>219.1</v>
      </c>
      <c r="AS13" s="8">
        <v>170.00700000000001</v>
      </c>
      <c r="AT13" s="9">
        <f t="shared" si="8"/>
        <v>77.593336376083982</v>
      </c>
      <c r="AU13" s="9">
        <v>97</v>
      </c>
      <c r="AV13" s="9">
        <v>3610.09</v>
      </c>
      <c r="AW13" s="72">
        <v>441.4</v>
      </c>
      <c r="AX13" s="8">
        <v>354.048</v>
      </c>
      <c r="AY13" s="9">
        <f t="shared" si="9"/>
        <v>80.210240144993207</v>
      </c>
      <c r="AZ13" s="5">
        <v>100</v>
      </c>
      <c r="BA13" s="9">
        <v>3600.42</v>
      </c>
      <c r="BB13" s="73">
        <v>670.9</v>
      </c>
      <c r="BC13" s="8">
        <v>573.03099999999995</v>
      </c>
      <c r="BD13" s="9">
        <f t="shared" si="10"/>
        <v>85.412282009241309</v>
      </c>
      <c r="BE13" s="5">
        <v>99.666666666666671</v>
      </c>
      <c r="BF13" s="9">
        <v>3600.54</v>
      </c>
    </row>
    <row r="14" spans="1:59" x14ac:dyDescent="0.2">
      <c r="A14" s="10" t="s">
        <v>14</v>
      </c>
      <c r="B14" s="30"/>
      <c r="C14" s="33"/>
      <c r="D14" s="32">
        <f>AVERAGE(D4,D5,D6,D7,D8:D13)</f>
        <v>32.051115014742933</v>
      </c>
      <c r="E14" s="29">
        <f>AVERAGE(E4,E5,E6,E7,E8:E13)</f>
        <v>42.5</v>
      </c>
      <c r="F14" s="34"/>
      <c r="G14" s="33"/>
      <c r="H14" s="32">
        <f>AVERAGE(H4,H5,H6,H7,H8:H13)</f>
        <v>0</v>
      </c>
      <c r="I14" s="29">
        <f>AVERAGE(I4,I5,I6,I7,I8:I13)</f>
        <v>0</v>
      </c>
      <c r="J14" s="34"/>
      <c r="K14" s="33"/>
      <c r="L14" s="32">
        <f>AVERAGE(L4,L5,L6,L7,L8:L13)</f>
        <v>0</v>
      </c>
      <c r="M14" s="35">
        <f>AVERAGE(M4,M5,M6,M7,M8:M13)</f>
        <v>0</v>
      </c>
      <c r="O14" s="30"/>
      <c r="P14" s="36"/>
      <c r="Q14" s="32">
        <f>AVERAGE(Q4,Q5,Q6,Q7,Q8:Q13)</f>
        <v>60.475912269485761</v>
      </c>
      <c r="R14" s="37">
        <f>AVERAGE(R4,R5,R6,R7,R8:R13)</f>
        <v>85.1</v>
      </c>
      <c r="S14" s="34"/>
      <c r="T14" s="36"/>
      <c r="U14" s="32">
        <f>AVERAGE(U4,U5,U6,U7,U8:U13)</f>
        <v>0</v>
      </c>
      <c r="V14" s="37">
        <f>AVERAGE(V4,V5,V6,V7,V8:V13)</f>
        <v>0</v>
      </c>
      <c r="W14" s="34"/>
      <c r="X14" s="36"/>
      <c r="Y14" s="32">
        <f>AVERAGE(Y4,Y5,Y6,Y7,Y8:Y13)</f>
        <v>0</v>
      </c>
      <c r="Z14" s="37">
        <f>AVERAGE(Z4,Z5,Z6,Z7,Z8:Z13)</f>
        <v>0</v>
      </c>
      <c r="AB14" s="30"/>
      <c r="AC14" s="33"/>
      <c r="AD14" s="32">
        <f>AVERAGE(AD4,AD5,AD6,AD7,AD8:AD13)</f>
        <v>78.260511227448404</v>
      </c>
      <c r="AE14" s="29">
        <f>AVERAGE(AE4,AE5,AE6,AE7,AE8:AE13)</f>
        <v>96.7</v>
      </c>
      <c r="AF14" s="29">
        <f>AVERAGE(AF4,AF5,AF6,AF7,AF8:AF13)</f>
        <v>3143.0160000000005</v>
      </c>
      <c r="AG14" s="34"/>
      <c r="AH14" s="33"/>
      <c r="AI14" s="32">
        <f>AVERAGE(AI4,AI5,AI6,AI7,AI8:AI13)</f>
        <v>71.39259235540456</v>
      </c>
      <c r="AJ14" s="29">
        <f>AVERAGE(AJ4,AJ5,AJ6,AJ7,AJ8:AJ13)</f>
        <v>85</v>
      </c>
      <c r="AK14" s="29">
        <f>AVERAGE(AK4,AK5,AK6,AK7,AK8:AK13)</f>
        <v>2687.2889999999998</v>
      </c>
      <c r="AL14" s="34"/>
      <c r="AM14" s="33"/>
      <c r="AN14" s="32">
        <f>AVERAGE(AN4,AN5,AN6,AN7,AN8:AN13)</f>
        <v>63.112248312814437</v>
      </c>
      <c r="AO14" s="29">
        <f>AVERAGE(AO4,AO5,AO6,AO7,AO8:AO13)</f>
        <v>67.099999999999994</v>
      </c>
      <c r="AP14" s="29">
        <f>AVERAGE(AP4,AP5,AP6,AP7,AP8:AP13)</f>
        <v>2834.4259999999999</v>
      </c>
      <c r="AR14" s="30"/>
      <c r="AS14" s="33"/>
      <c r="AT14" s="32">
        <f>AVERAGE(AT4,AT5,AT6,AT7,AT8:AT13)</f>
        <v>78.640949004117232</v>
      </c>
      <c r="AU14" s="29">
        <f>AVERAGE(AU4,AU5,AU6,AU7,AU8:AU13)</f>
        <v>98.3</v>
      </c>
      <c r="AV14" s="29">
        <f>AVERAGE(AV4,AV5,AV6,AV7,AV8:AV13)</f>
        <v>3401.1089999999995</v>
      </c>
      <c r="AW14" s="34"/>
      <c r="AX14" s="33"/>
      <c r="AY14" s="32">
        <f>AVERAGE(AY4,AY5,AY6,AY7,AY8:AY13)</f>
        <v>81.521002492154125</v>
      </c>
      <c r="AZ14" s="29">
        <f>AVERAGE(AZ4,AZ5,AZ6,AZ7,AZ8:AZ13)</f>
        <v>99.8</v>
      </c>
      <c r="BA14" s="29">
        <f>AVERAGE(BA4,BA5,BA6,BA7,BA8:BA13)</f>
        <v>3390.9989999999998</v>
      </c>
      <c r="BB14" s="34"/>
      <c r="BC14" s="33"/>
      <c r="BD14" s="32">
        <f>AVERAGE(BD4,BD5,BD6,BD7,BD8:BD13)</f>
        <v>82.268795386666667</v>
      </c>
      <c r="BE14" s="29">
        <f>AVERAGE(BE4,BE5,BE6,BE7,BE8:BE13)</f>
        <v>99.666666666666657</v>
      </c>
      <c r="BF14" s="29">
        <f>AVERAGE(BF4,BF5,BF6,BF7,BF8:BF13)</f>
        <v>3480.94</v>
      </c>
    </row>
    <row r="15" spans="1:59" x14ac:dyDescent="0.2">
      <c r="A15" s="59" t="s">
        <v>20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0"/>
      <c r="O15" s="61" t="s">
        <v>43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B15" s="62" t="s">
        <v>44</v>
      </c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4"/>
      <c r="AR15" s="62" t="s">
        <v>45</v>
      </c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4"/>
    </row>
    <row r="16" spans="1:59" x14ac:dyDescent="0.2">
      <c r="A16" s="52" t="s">
        <v>19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O16" s="49" t="s">
        <v>19</v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  <c r="AB16" s="52" t="s">
        <v>19</v>
      </c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R16" s="52" t="s">
        <v>19</v>
      </c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</row>
    <row r="17" spans="1:58" x14ac:dyDescent="0.2">
      <c r="A17" s="65" t="s">
        <v>0</v>
      </c>
      <c r="B17" s="65" t="s">
        <v>42</v>
      </c>
      <c r="C17" s="58" t="s">
        <v>49</v>
      </c>
      <c r="D17" s="58"/>
      <c r="E17" s="58"/>
      <c r="F17" s="65" t="s">
        <v>42</v>
      </c>
      <c r="G17" s="58" t="s">
        <v>50</v>
      </c>
      <c r="H17" s="58"/>
      <c r="I17" s="58"/>
      <c r="J17" s="65" t="s">
        <v>42</v>
      </c>
      <c r="K17" s="58" t="s">
        <v>51</v>
      </c>
      <c r="L17" s="58"/>
      <c r="M17" s="58"/>
      <c r="O17" s="65" t="s">
        <v>42</v>
      </c>
      <c r="P17" s="58" t="s">
        <v>15</v>
      </c>
      <c r="Q17" s="58"/>
      <c r="R17" s="58"/>
      <c r="S17" s="65" t="s">
        <v>42</v>
      </c>
      <c r="T17" s="58" t="s">
        <v>16</v>
      </c>
      <c r="U17" s="58"/>
      <c r="V17" s="58"/>
      <c r="W17" s="65" t="s">
        <v>42</v>
      </c>
      <c r="X17" s="58" t="s">
        <v>17</v>
      </c>
      <c r="Y17" s="58"/>
      <c r="Z17" s="58"/>
      <c r="AB17" s="65" t="s">
        <v>42</v>
      </c>
      <c r="AC17" s="58" t="s">
        <v>49</v>
      </c>
      <c r="AD17" s="58"/>
      <c r="AE17" s="58"/>
      <c r="AF17" s="58"/>
      <c r="AG17" s="65" t="s">
        <v>42</v>
      </c>
      <c r="AH17" s="58" t="s">
        <v>50</v>
      </c>
      <c r="AI17" s="58"/>
      <c r="AJ17" s="58"/>
      <c r="AK17" s="58"/>
      <c r="AL17" s="65" t="s">
        <v>42</v>
      </c>
      <c r="AM17" s="58" t="s">
        <v>51</v>
      </c>
      <c r="AN17" s="58"/>
      <c r="AO17" s="58"/>
      <c r="AP17" s="58"/>
      <c r="AR17" s="65" t="s">
        <v>42</v>
      </c>
      <c r="AS17" s="55" t="s">
        <v>49</v>
      </c>
      <c r="AT17" s="56"/>
      <c r="AU17" s="56"/>
      <c r="AV17" s="57"/>
      <c r="AW17" s="65" t="s">
        <v>42</v>
      </c>
      <c r="AX17" s="55" t="s">
        <v>50</v>
      </c>
      <c r="AY17" s="56"/>
      <c r="AZ17" s="56"/>
      <c r="BA17" s="57"/>
      <c r="BB17" s="65" t="s">
        <v>42</v>
      </c>
      <c r="BC17" s="55" t="s">
        <v>51</v>
      </c>
      <c r="BD17" s="56"/>
      <c r="BE17" s="56"/>
      <c r="BF17" s="57"/>
    </row>
    <row r="18" spans="1:58" x14ac:dyDescent="0.2">
      <c r="A18" s="65"/>
      <c r="B18" s="65"/>
      <c r="C18" s="1" t="s">
        <v>1</v>
      </c>
      <c r="D18" s="46" t="s">
        <v>2</v>
      </c>
      <c r="E18" s="13" t="s">
        <v>3</v>
      </c>
      <c r="F18" s="65"/>
      <c r="G18" s="1" t="s">
        <v>1</v>
      </c>
      <c r="H18" s="46" t="s">
        <v>2</v>
      </c>
      <c r="I18" s="13" t="s">
        <v>3</v>
      </c>
      <c r="J18" s="65"/>
      <c r="K18" s="13" t="s">
        <v>1</v>
      </c>
      <c r="L18" s="46" t="s">
        <v>2</v>
      </c>
      <c r="M18" s="16" t="s">
        <v>3</v>
      </c>
      <c r="O18" s="65"/>
      <c r="P18" s="1" t="s">
        <v>1</v>
      </c>
      <c r="Q18" s="46" t="s">
        <v>2</v>
      </c>
      <c r="R18" s="13" t="s">
        <v>3</v>
      </c>
      <c r="S18" s="65"/>
      <c r="T18" s="1" t="s">
        <v>1</v>
      </c>
      <c r="U18" s="46" t="s">
        <v>2</v>
      </c>
      <c r="V18" s="13" t="s">
        <v>3</v>
      </c>
      <c r="W18" s="65"/>
      <c r="X18" s="13" t="s">
        <v>1</v>
      </c>
      <c r="Y18" s="46" t="s">
        <v>2</v>
      </c>
      <c r="Z18" s="13" t="s">
        <v>3</v>
      </c>
      <c r="AB18" s="65"/>
      <c r="AC18" s="1" t="s">
        <v>1</v>
      </c>
      <c r="AD18" s="46" t="s">
        <v>2</v>
      </c>
      <c r="AE18" s="13" t="s">
        <v>3</v>
      </c>
      <c r="AF18" s="13" t="s">
        <v>21</v>
      </c>
      <c r="AG18" s="65"/>
      <c r="AH18" s="1" t="s">
        <v>1</v>
      </c>
      <c r="AI18" s="46" t="s">
        <v>2</v>
      </c>
      <c r="AJ18" s="13" t="s">
        <v>3</v>
      </c>
      <c r="AK18" s="13" t="s">
        <v>21</v>
      </c>
      <c r="AL18" s="65"/>
      <c r="AM18" s="13" t="s">
        <v>1</v>
      </c>
      <c r="AN18" s="46" t="s">
        <v>2</v>
      </c>
      <c r="AO18" s="13" t="s">
        <v>3</v>
      </c>
      <c r="AP18" s="13" t="s">
        <v>21</v>
      </c>
      <c r="AR18" s="65"/>
      <c r="AS18" s="1" t="s">
        <v>1</v>
      </c>
      <c r="AT18" s="46" t="s">
        <v>2</v>
      </c>
      <c r="AU18" s="13" t="s">
        <v>3</v>
      </c>
      <c r="AV18" s="13" t="s">
        <v>21</v>
      </c>
      <c r="AW18" s="65"/>
      <c r="AX18" s="1" t="s">
        <v>1</v>
      </c>
      <c r="AY18" s="46" t="s">
        <v>2</v>
      </c>
      <c r="AZ18" s="13" t="s">
        <v>3</v>
      </c>
      <c r="BA18" s="13" t="s">
        <v>21</v>
      </c>
      <c r="BB18" s="65"/>
      <c r="BC18" s="13" t="s">
        <v>1</v>
      </c>
      <c r="BD18" s="46" t="s">
        <v>2</v>
      </c>
      <c r="BE18" s="13" t="s">
        <v>3</v>
      </c>
      <c r="BF18" s="13" t="s">
        <v>21</v>
      </c>
    </row>
    <row r="19" spans="1:58" x14ac:dyDescent="0.2">
      <c r="A19" s="3" t="s">
        <v>4</v>
      </c>
      <c r="B19" s="47">
        <v>234.7</v>
      </c>
      <c r="C19" s="70">
        <v>86.999300000000005</v>
      </c>
      <c r="D19" s="68">
        <f t="shared" ref="D19:D28" si="12">C19/B19*100</f>
        <v>37.068299957392419</v>
      </c>
      <c r="E19" s="5">
        <v>56</v>
      </c>
      <c r="F19" s="47">
        <v>465</v>
      </c>
      <c r="G19" s="4">
        <v>0</v>
      </c>
      <c r="H19" s="5">
        <f t="shared" ref="H19:H28" si="13">G19/F19*100</f>
        <v>0</v>
      </c>
      <c r="I19" s="5">
        <v>0</v>
      </c>
      <c r="J19" s="47">
        <v>678.1</v>
      </c>
      <c r="K19" s="4">
        <v>0</v>
      </c>
      <c r="L19" s="5">
        <f t="shared" ref="L19:L28" si="14">K19/J19*100</f>
        <v>0</v>
      </c>
      <c r="M19" s="15">
        <v>0</v>
      </c>
      <c r="O19" s="47">
        <v>234.7</v>
      </c>
      <c r="P19" s="70">
        <v>109.566</v>
      </c>
      <c r="Q19" s="5">
        <f t="shared" ref="Q19:Q28" si="15">P19/O19*100</f>
        <v>46.683425649765667</v>
      </c>
      <c r="R19" s="5">
        <v>87</v>
      </c>
      <c r="S19" s="47">
        <v>465</v>
      </c>
      <c r="T19" s="70">
        <v>6.9467999999999996</v>
      </c>
      <c r="U19" s="5">
        <f t="shared" ref="U19:U28" si="16">T19/S19*100</f>
        <v>1.4939354838709678</v>
      </c>
      <c r="V19" s="5">
        <f>12/200*100</f>
        <v>6</v>
      </c>
      <c r="W19" s="47">
        <v>678.1</v>
      </c>
      <c r="X19" s="4">
        <v>0</v>
      </c>
      <c r="Y19" s="5">
        <f t="shared" ref="Y19:Y28" si="17">X19/W19*100</f>
        <v>0</v>
      </c>
      <c r="Z19" s="5">
        <v>0</v>
      </c>
      <c r="AB19" s="47">
        <v>234.7</v>
      </c>
      <c r="AC19" s="4">
        <v>141.602</v>
      </c>
      <c r="AD19" s="5">
        <f t="shared" ref="AD19:AD28" si="18">AC19/AB19*100</f>
        <v>60.333191308052832</v>
      </c>
      <c r="AE19" s="5">
        <v>100</v>
      </c>
      <c r="AF19" s="5">
        <v>2535.4</v>
      </c>
      <c r="AG19" s="47">
        <v>465</v>
      </c>
      <c r="AH19" s="21">
        <v>277.62700000000001</v>
      </c>
      <c r="AI19" s="5">
        <f t="shared" ref="AI19:AI28" si="19">AH19/AG19*100</f>
        <v>59.704731182795697</v>
      </c>
      <c r="AJ19" s="23">
        <v>94</v>
      </c>
      <c r="AK19" s="9">
        <v>3600</v>
      </c>
      <c r="AL19" s="47">
        <v>678.1</v>
      </c>
      <c r="AM19" s="4">
        <v>379.452</v>
      </c>
      <c r="AN19" s="5">
        <f>AM19/AL19*100</f>
        <v>55.958118271641347</v>
      </c>
      <c r="AO19" s="5">
        <f>250/300*100</f>
        <v>83.333333333333343</v>
      </c>
      <c r="AP19" s="5">
        <v>3600</v>
      </c>
      <c r="AR19" s="47">
        <v>234.7</v>
      </c>
      <c r="AS19" s="4">
        <f>AC19</f>
        <v>141.602</v>
      </c>
      <c r="AT19" s="5">
        <f t="shared" ref="AT19:AT28" si="20">AS19/AR19*100</f>
        <v>60.333191308052832</v>
      </c>
      <c r="AU19" s="5">
        <f>AE19</f>
        <v>100</v>
      </c>
      <c r="AV19" s="5">
        <f>AF19</f>
        <v>2535.4</v>
      </c>
      <c r="AW19" s="47">
        <v>465</v>
      </c>
      <c r="AX19" s="4">
        <v>282.88200000000001</v>
      </c>
      <c r="AY19" s="5">
        <f t="shared" ref="AY19:AY28" si="21">AX19/AW19*100</f>
        <v>60.83483870967742</v>
      </c>
      <c r="AZ19" s="5">
        <f>196/2</f>
        <v>98</v>
      </c>
      <c r="BA19" s="5">
        <v>3292.76</v>
      </c>
      <c r="BB19" s="47">
        <v>678.1</v>
      </c>
      <c r="BC19" s="4">
        <v>417.94400000000002</v>
      </c>
      <c r="BD19" s="5">
        <f t="shared" ref="BD19:BD28" si="22">BC19/BB19*100</f>
        <v>61.634567172983331</v>
      </c>
      <c r="BE19" s="5">
        <f>297/3</f>
        <v>99</v>
      </c>
      <c r="BF19" s="5">
        <v>3349.72</v>
      </c>
    </row>
    <row r="20" spans="1:58" x14ac:dyDescent="0.2">
      <c r="A20" s="6" t="s">
        <v>5</v>
      </c>
      <c r="B20" s="72">
        <v>218.6</v>
      </c>
      <c r="C20" s="71">
        <v>104.91500000000001</v>
      </c>
      <c r="D20" s="68">
        <f t="shared" si="12"/>
        <v>47.994053064958834</v>
      </c>
      <c r="E20" s="9">
        <f>79</f>
        <v>79</v>
      </c>
      <c r="F20" s="72">
        <v>450.5</v>
      </c>
      <c r="G20" s="8">
        <v>0</v>
      </c>
      <c r="H20" s="5">
        <f t="shared" si="13"/>
        <v>0</v>
      </c>
      <c r="I20" s="5">
        <v>0</v>
      </c>
      <c r="J20" s="73">
        <v>671.5</v>
      </c>
      <c r="K20" s="8">
        <v>0</v>
      </c>
      <c r="L20" s="5">
        <f t="shared" si="14"/>
        <v>0</v>
      </c>
      <c r="M20" s="15">
        <v>0</v>
      </c>
      <c r="O20" s="72">
        <v>218.6</v>
      </c>
      <c r="P20" s="71">
        <v>108.003</v>
      </c>
      <c r="Q20" s="5">
        <f t="shared" si="15"/>
        <v>49.406678865507779</v>
      </c>
      <c r="R20" s="9">
        <v>90</v>
      </c>
      <c r="S20" s="72">
        <v>450.5</v>
      </c>
      <c r="T20" s="71">
        <v>17.9726</v>
      </c>
      <c r="U20" s="5">
        <f t="shared" si="16"/>
        <v>3.9894783573806878</v>
      </c>
      <c r="V20" s="5">
        <f>13/200*100</f>
        <v>6.5</v>
      </c>
      <c r="W20" s="73">
        <v>671.5</v>
      </c>
      <c r="X20" s="8">
        <v>0</v>
      </c>
      <c r="Y20" s="5">
        <f t="shared" si="17"/>
        <v>0</v>
      </c>
      <c r="Z20" s="5">
        <v>0</v>
      </c>
      <c r="AB20" s="72">
        <v>218.6</v>
      </c>
      <c r="AC20" s="8">
        <v>139.428</v>
      </c>
      <c r="AD20" s="5">
        <f t="shared" si="18"/>
        <v>63.782250686184817</v>
      </c>
      <c r="AE20" s="9">
        <f>98</f>
        <v>98</v>
      </c>
      <c r="AF20" s="9">
        <v>2881.19</v>
      </c>
      <c r="AG20" s="72">
        <v>450.5</v>
      </c>
      <c r="AH20" s="22">
        <v>283.39800000000002</v>
      </c>
      <c r="AI20" s="9">
        <f t="shared" si="19"/>
        <v>62.907436182019985</v>
      </c>
      <c r="AJ20" s="24">
        <v>88.5</v>
      </c>
      <c r="AK20" s="24">
        <v>3600</v>
      </c>
      <c r="AL20" s="73">
        <v>671.5</v>
      </c>
      <c r="AM20" s="8">
        <v>390.08199999999999</v>
      </c>
      <c r="AN20" s="9">
        <f t="shared" ref="AN20:AN28" si="23">AM20/AL20*100</f>
        <v>58.09113924050633</v>
      </c>
      <c r="AO20" s="9">
        <f>247/300*100</f>
        <v>82.333333333333343</v>
      </c>
      <c r="AP20" s="9">
        <v>3569.92</v>
      </c>
      <c r="AR20" s="72">
        <v>218.6</v>
      </c>
      <c r="AS20" s="4">
        <f t="shared" ref="AS20:AS28" si="24">AC20</f>
        <v>139.428</v>
      </c>
      <c r="AT20" s="5">
        <f t="shared" si="20"/>
        <v>63.782250686184817</v>
      </c>
      <c r="AU20" s="5">
        <f t="shared" ref="AU20:AU28" si="25">AE20</f>
        <v>98</v>
      </c>
      <c r="AV20" s="5">
        <f t="shared" ref="AV20:AV28" si="26">AF20</f>
        <v>2881.19</v>
      </c>
      <c r="AW20" s="72">
        <v>450.5</v>
      </c>
      <c r="AX20" s="8">
        <v>289.786</v>
      </c>
      <c r="AY20" s="5">
        <f t="shared" si="21"/>
        <v>64.325416204217532</v>
      </c>
      <c r="AZ20" s="5">
        <v>100</v>
      </c>
      <c r="BA20" s="9">
        <v>2944.48</v>
      </c>
      <c r="BB20" s="73">
        <v>671.5</v>
      </c>
      <c r="BC20" s="8">
        <v>422.21800000000002</v>
      </c>
      <c r="BD20" s="5">
        <f t="shared" si="22"/>
        <v>62.876842889054366</v>
      </c>
      <c r="BE20" s="5">
        <v>100</v>
      </c>
      <c r="BF20" s="9">
        <v>2963.2</v>
      </c>
    </row>
    <row r="21" spans="1:58" x14ac:dyDescent="0.2">
      <c r="A21" s="6" t="s">
        <v>6</v>
      </c>
      <c r="B21" s="72">
        <v>231.3</v>
      </c>
      <c r="C21" s="71">
        <v>72.517499999999998</v>
      </c>
      <c r="D21" s="68">
        <f t="shared" si="12"/>
        <v>31.352140077821012</v>
      </c>
      <c r="E21" s="9">
        <v>69</v>
      </c>
      <c r="F21" s="72">
        <v>462.4</v>
      </c>
      <c r="G21" s="4">
        <v>0</v>
      </c>
      <c r="H21" s="5">
        <f t="shared" si="13"/>
        <v>0</v>
      </c>
      <c r="I21" s="5">
        <v>0</v>
      </c>
      <c r="J21" s="73">
        <v>694.6</v>
      </c>
      <c r="K21" s="4">
        <v>0</v>
      </c>
      <c r="L21" s="5">
        <f t="shared" si="14"/>
        <v>0</v>
      </c>
      <c r="M21" s="15">
        <v>0</v>
      </c>
      <c r="O21" s="72">
        <v>231.3</v>
      </c>
      <c r="P21" s="71">
        <v>111.672</v>
      </c>
      <c r="Q21" s="5">
        <f t="shared" si="15"/>
        <v>48.280155642023345</v>
      </c>
      <c r="R21" s="9">
        <v>91</v>
      </c>
      <c r="S21" s="72">
        <v>462.4</v>
      </c>
      <c r="T21" s="70">
        <v>17.956700000000001</v>
      </c>
      <c r="U21" s="5">
        <f t="shared" si="16"/>
        <v>3.8833693771626301</v>
      </c>
      <c r="V21" s="5">
        <f>21/200*100</f>
        <v>10.5</v>
      </c>
      <c r="W21" s="73">
        <v>694.6</v>
      </c>
      <c r="X21" s="4">
        <v>0</v>
      </c>
      <c r="Y21" s="5">
        <f t="shared" si="17"/>
        <v>0</v>
      </c>
      <c r="Z21" s="5">
        <v>0</v>
      </c>
      <c r="AB21" s="72">
        <v>231.3</v>
      </c>
      <c r="AC21" s="8">
        <v>142.93199999999999</v>
      </c>
      <c r="AD21" s="5">
        <f t="shared" si="18"/>
        <v>61.795071335927354</v>
      </c>
      <c r="AE21" s="9">
        <v>96</v>
      </c>
      <c r="AF21" s="9">
        <v>2661.47</v>
      </c>
      <c r="AG21" s="72">
        <v>462.4</v>
      </c>
      <c r="AH21" s="22">
        <v>285.63900000000001</v>
      </c>
      <c r="AI21" s="9">
        <f t="shared" si="19"/>
        <v>61.773140138408309</v>
      </c>
      <c r="AJ21" s="24">
        <v>95</v>
      </c>
      <c r="AK21" s="24">
        <v>3600</v>
      </c>
      <c r="AL21" s="73">
        <v>694.6</v>
      </c>
      <c r="AM21" s="8">
        <v>413.31900000000002</v>
      </c>
      <c r="AN21" s="9">
        <f t="shared" si="23"/>
        <v>59.504606968039162</v>
      </c>
      <c r="AO21" s="9">
        <f>265/300*100</f>
        <v>88.333333333333329</v>
      </c>
      <c r="AP21" s="9">
        <v>3404.09</v>
      </c>
      <c r="AR21" s="72">
        <v>231.3</v>
      </c>
      <c r="AS21" s="4">
        <f t="shared" si="24"/>
        <v>142.93199999999999</v>
      </c>
      <c r="AT21" s="5">
        <f t="shared" si="20"/>
        <v>61.795071335927354</v>
      </c>
      <c r="AU21" s="5">
        <f t="shared" si="25"/>
        <v>96</v>
      </c>
      <c r="AV21" s="5">
        <f t="shared" si="26"/>
        <v>2661.47</v>
      </c>
      <c r="AW21" s="72">
        <v>462.4</v>
      </c>
      <c r="AX21" s="4">
        <v>290.44499999999999</v>
      </c>
      <c r="AY21" s="5">
        <f t="shared" si="21"/>
        <v>62.812500000000007</v>
      </c>
      <c r="AZ21" s="5">
        <v>99.5</v>
      </c>
      <c r="BA21" s="9">
        <v>3012.04</v>
      </c>
      <c r="BB21" s="73">
        <v>694.6</v>
      </c>
      <c r="BC21" s="4">
        <v>447.05200000000002</v>
      </c>
      <c r="BD21" s="5">
        <f t="shared" si="22"/>
        <v>64.361071120069099</v>
      </c>
      <c r="BE21" s="5">
        <v>100</v>
      </c>
      <c r="BF21" s="9">
        <v>2959.64</v>
      </c>
    </row>
    <row r="22" spans="1:58" x14ac:dyDescent="0.2">
      <c r="A22" s="6" t="s">
        <v>7</v>
      </c>
      <c r="B22" s="72">
        <v>238.5</v>
      </c>
      <c r="C22" s="71">
        <v>109.158</v>
      </c>
      <c r="D22" s="68">
        <f t="shared" si="12"/>
        <v>45.768553459119502</v>
      </c>
      <c r="E22" s="9">
        <v>80</v>
      </c>
      <c r="F22" s="72">
        <v>483.4</v>
      </c>
      <c r="G22" s="8">
        <v>0</v>
      </c>
      <c r="H22" s="5">
        <f t="shared" si="13"/>
        <v>0</v>
      </c>
      <c r="I22" s="5">
        <v>0</v>
      </c>
      <c r="J22" s="73">
        <v>721</v>
      </c>
      <c r="K22" s="8">
        <v>0</v>
      </c>
      <c r="L22" s="5">
        <f t="shared" si="14"/>
        <v>0</v>
      </c>
      <c r="M22" s="15">
        <v>0</v>
      </c>
      <c r="O22" s="72">
        <v>238.5</v>
      </c>
      <c r="P22" s="71">
        <v>85.143299999999996</v>
      </c>
      <c r="Q22" s="5">
        <f t="shared" si="15"/>
        <v>35.699496855345906</v>
      </c>
      <c r="R22" s="9">
        <v>86</v>
      </c>
      <c r="S22" s="72">
        <v>483.4</v>
      </c>
      <c r="T22" s="71">
        <v>23.549600000000002</v>
      </c>
      <c r="U22" s="5">
        <f t="shared" si="16"/>
        <v>4.8716590815059995</v>
      </c>
      <c r="V22" s="5">
        <f>22/200*100</f>
        <v>11</v>
      </c>
      <c r="W22" s="73">
        <v>721</v>
      </c>
      <c r="X22" s="8">
        <v>0</v>
      </c>
      <c r="Y22" s="5">
        <f t="shared" si="17"/>
        <v>0</v>
      </c>
      <c r="Z22" s="5">
        <v>0</v>
      </c>
      <c r="AB22" s="72">
        <v>238.5</v>
      </c>
      <c r="AC22" s="8">
        <v>147.77799999999999</v>
      </c>
      <c r="AD22" s="5">
        <f t="shared" si="18"/>
        <v>61.961425576519915</v>
      </c>
      <c r="AE22" s="9">
        <v>97</v>
      </c>
      <c r="AF22" s="9">
        <v>2530.17</v>
      </c>
      <c r="AG22" s="72">
        <v>483.4</v>
      </c>
      <c r="AH22" s="22">
        <v>291.99299999999999</v>
      </c>
      <c r="AI22" s="9">
        <f t="shared" si="19"/>
        <v>60.404013239553166</v>
      </c>
      <c r="AJ22" s="24">
        <v>90.5</v>
      </c>
      <c r="AK22" s="24">
        <v>3600</v>
      </c>
      <c r="AL22" s="73">
        <v>721</v>
      </c>
      <c r="AM22" s="8">
        <v>407.84500000000003</v>
      </c>
      <c r="AN22" s="9">
        <f t="shared" si="23"/>
        <v>56.566574202496533</v>
      </c>
      <c r="AO22" s="9">
        <f>225/300*100</f>
        <v>75</v>
      </c>
      <c r="AP22" s="9">
        <v>3600</v>
      </c>
      <c r="AR22" s="72">
        <v>238.5</v>
      </c>
      <c r="AS22" s="4">
        <f t="shared" si="24"/>
        <v>147.77799999999999</v>
      </c>
      <c r="AT22" s="5">
        <f t="shared" si="20"/>
        <v>61.961425576519915</v>
      </c>
      <c r="AU22" s="5">
        <f t="shared" si="25"/>
        <v>97</v>
      </c>
      <c r="AV22" s="5">
        <f t="shared" si="26"/>
        <v>2530.17</v>
      </c>
      <c r="AW22" s="72">
        <v>483.4</v>
      </c>
      <c r="AX22" s="8">
        <v>307.82299999999998</v>
      </c>
      <c r="AY22" s="5">
        <f t="shared" si="21"/>
        <v>63.678733967728583</v>
      </c>
      <c r="AZ22" s="5">
        <v>99.5</v>
      </c>
      <c r="BA22" s="9">
        <v>2960.17</v>
      </c>
      <c r="BB22" s="73">
        <v>721</v>
      </c>
      <c r="BC22" s="8">
        <v>468.12400000000002</v>
      </c>
      <c r="BD22" s="5">
        <f t="shared" si="22"/>
        <v>64.92704576976422</v>
      </c>
      <c r="BE22" s="5">
        <v>99.666666666666671</v>
      </c>
      <c r="BF22" s="9">
        <v>2951.99</v>
      </c>
    </row>
    <row r="23" spans="1:58" x14ac:dyDescent="0.2">
      <c r="A23" s="6" t="s">
        <v>8</v>
      </c>
      <c r="B23" s="72">
        <v>206.6</v>
      </c>
      <c r="C23" s="71">
        <v>79.589399999999998</v>
      </c>
      <c r="D23" s="69">
        <f t="shared" si="12"/>
        <v>38.523426911907066</v>
      </c>
      <c r="E23" s="9">
        <v>63</v>
      </c>
      <c r="F23" s="72">
        <v>430.3</v>
      </c>
      <c r="G23" s="4">
        <v>0</v>
      </c>
      <c r="H23" s="9">
        <f t="shared" si="13"/>
        <v>0</v>
      </c>
      <c r="I23" s="5">
        <v>0</v>
      </c>
      <c r="J23" s="73">
        <v>652.6</v>
      </c>
      <c r="K23" s="4">
        <v>0</v>
      </c>
      <c r="L23" s="9">
        <f t="shared" si="14"/>
        <v>0</v>
      </c>
      <c r="M23" s="15">
        <v>0</v>
      </c>
      <c r="O23" s="72">
        <v>206.6</v>
      </c>
      <c r="P23" s="71">
        <v>94.017600000000002</v>
      </c>
      <c r="Q23" s="9">
        <f t="shared" si="15"/>
        <v>45.507066795740563</v>
      </c>
      <c r="R23" s="9">
        <v>91</v>
      </c>
      <c r="S23" s="72">
        <v>430.3</v>
      </c>
      <c r="T23" s="70">
        <v>0.64829999999999999</v>
      </c>
      <c r="U23" s="9">
        <f t="shared" si="16"/>
        <v>0.15066232860794795</v>
      </c>
      <c r="V23" s="5">
        <f>3/200*100</f>
        <v>1.5</v>
      </c>
      <c r="W23" s="73">
        <v>652.6</v>
      </c>
      <c r="X23" s="4">
        <v>0</v>
      </c>
      <c r="Y23" s="9">
        <f t="shared" si="17"/>
        <v>0</v>
      </c>
      <c r="Z23" s="5">
        <v>0</v>
      </c>
      <c r="AB23" s="72">
        <v>206.6</v>
      </c>
      <c r="AC23" s="8">
        <v>129.03</v>
      </c>
      <c r="AD23" s="9">
        <f t="shared" si="18"/>
        <v>62.454017424975802</v>
      </c>
      <c r="AE23" s="9">
        <v>94</v>
      </c>
      <c r="AF23" s="9">
        <v>2876.03</v>
      </c>
      <c r="AG23" s="72">
        <v>430.3</v>
      </c>
      <c r="AH23" s="22">
        <v>277.63600000000002</v>
      </c>
      <c r="AI23" s="9">
        <f t="shared" si="19"/>
        <v>64.521496630257971</v>
      </c>
      <c r="AJ23" s="24">
        <v>94.5</v>
      </c>
      <c r="AK23" s="24">
        <v>3600</v>
      </c>
      <c r="AL23" s="73">
        <v>652.6</v>
      </c>
      <c r="AM23" s="8">
        <v>400.30399999999997</v>
      </c>
      <c r="AN23" s="9">
        <f t="shared" si="23"/>
        <v>61.339871284094386</v>
      </c>
      <c r="AO23" s="9">
        <f>263/300*100</f>
        <v>87.666666666666671</v>
      </c>
      <c r="AP23" s="9">
        <v>3394.95</v>
      </c>
      <c r="AR23" s="72">
        <v>206.6</v>
      </c>
      <c r="AS23" s="4">
        <f t="shared" si="24"/>
        <v>129.03</v>
      </c>
      <c r="AT23" s="9">
        <f t="shared" si="20"/>
        <v>62.454017424975802</v>
      </c>
      <c r="AU23" s="5">
        <f t="shared" si="25"/>
        <v>94</v>
      </c>
      <c r="AV23" s="5">
        <f t="shared" si="26"/>
        <v>2876.03</v>
      </c>
      <c r="AW23" s="72">
        <v>430.3</v>
      </c>
      <c r="AX23" s="4">
        <v>280.15100000000001</v>
      </c>
      <c r="AY23" s="9">
        <f t="shared" si="21"/>
        <v>65.105972577271672</v>
      </c>
      <c r="AZ23" s="5">
        <v>100</v>
      </c>
      <c r="BA23" s="9">
        <v>2948.46</v>
      </c>
      <c r="BB23" s="73">
        <v>652.6</v>
      </c>
      <c r="BC23" s="4">
        <v>431.42700000000002</v>
      </c>
      <c r="BD23" s="9">
        <f t="shared" si="22"/>
        <v>66.108948820104203</v>
      </c>
      <c r="BE23" s="5">
        <v>100</v>
      </c>
      <c r="BF23" s="9">
        <v>2952.45</v>
      </c>
    </row>
    <row r="24" spans="1:58" x14ac:dyDescent="0.2">
      <c r="A24" s="3" t="s">
        <v>9</v>
      </c>
      <c r="B24" s="72">
        <v>221.1</v>
      </c>
      <c r="C24" s="71">
        <v>95.8249</v>
      </c>
      <c r="D24" s="69">
        <f t="shared" si="12"/>
        <v>43.340072365445501</v>
      </c>
      <c r="E24" s="9">
        <v>77</v>
      </c>
      <c r="F24" s="72">
        <v>455.1</v>
      </c>
      <c r="G24" s="8">
        <v>0</v>
      </c>
      <c r="H24" s="9">
        <f t="shared" si="13"/>
        <v>0</v>
      </c>
      <c r="I24" s="5">
        <v>0</v>
      </c>
      <c r="J24" s="73">
        <v>677.4</v>
      </c>
      <c r="K24" s="8">
        <v>0</v>
      </c>
      <c r="L24" s="9">
        <f t="shared" si="14"/>
        <v>0</v>
      </c>
      <c r="M24" s="15">
        <v>0</v>
      </c>
      <c r="O24" s="72">
        <v>221.1</v>
      </c>
      <c r="P24" s="71">
        <v>90.927400000000006</v>
      </c>
      <c r="Q24" s="9">
        <f t="shared" si="15"/>
        <v>41.125011307100863</v>
      </c>
      <c r="R24" s="9">
        <v>88</v>
      </c>
      <c r="S24" s="72">
        <v>455.1</v>
      </c>
      <c r="T24" s="71">
        <v>0</v>
      </c>
      <c r="U24" s="9">
        <f t="shared" si="16"/>
        <v>0</v>
      </c>
      <c r="V24" s="5">
        <v>0</v>
      </c>
      <c r="W24" s="73">
        <v>677.4</v>
      </c>
      <c r="X24" s="8">
        <v>0</v>
      </c>
      <c r="Y24" s="9">
        <f t="shared" si="17"/>
        <v>0</v>
      </c>
      <c r="Z24" s="5">
        <v>0</v>
      </c>
      <c r="AB24" s="72">
        <v>221.1</v>
      </c>
      <c r="AC24" s="8">
        <v>132.42500000000001</v>
      </c>
      <c r="AD24" s="5">
        <f t="shared" si="18"/>
        <v>59.893713251922208</v>
      </c>
      <c r="AE24" s="9">
        <v>99</v>
      </c>
      <c r="AF24" s="9">
        <v>2888.28</v>
      </c>
      <c r="AG24" s="72">
        <v>455.1</v>
      </c>
      <c r="AH24" s="22">
        <v>284.185</v>
      </c>
      <c r="AI24" s="5">
        <f t="shared" si="19"/>
        <v>62.44451768842012</v>
      </c>
      <c r="AJ24" s="24">
        <v>93</v>
      </c>
      <c r="AK24" s="24">
        <v>3600</v>
      </c>
      <c r="AL24" s="73">
        <v>677.4</v>
      </c>
      <c r="AM24" s="8">
        <v>397.62700000000001</v>
      </c>
      <c r="AN24" s="5">
        <f t="shared" si="23"/>
        <v>58.698996161795101</v>
      </c>
      <c r="AO24" s="9">
        <f>225/300*100</f>
        <v>75</v>
      </c>
      <c r="AP24" s="9">
        <v>3600</v>
      </c>
      <c r="AR24" s="72">
        <v>221.1</v>
      </c>
      <c r="AS24" s="4">
        <f t="shared" si="24"/>
        <v>132.42500000000001</v>
      </c>
      <c r="AT24" s="9">
        <f t="shared" si="20"/>
        <v>59.893713251922208</v>
      </c>
      <c r="AU24" s="5">
        <f t="shared" si="25"/>
        <v>99</v>
      </c>
      <c r="AV24" s="5">
        <f t="shared" si="26"/>
        <v>2888.28</v>
      </c>
      <c r="AW24" s="72">
        <v>455.1</v>
      </c>
      <c r="AX24" s="8">
        <v>285.25400000000002</v>
      </c>
      <c r="AY24" s="9">
        <f t="shared" si="21"/>
        <v>62.67941111843551</v>
      </c>
      <c r="AZ24" s="5">
        <v>99</v>
      </c>
      <c r="BA24" s="9">
        <v>3360.58</v>
      </c>
      <c r="BB24" s="73">
        <v>677.4</v>
      </c>
      <c r="BC24" s="8">
        <v>414.899</v>
      </c>
      <c r="BD24" s="9">
        <f t="shared" si="22"/>
        <v>61.248745202243867</v>
      </c>
      <c r="BE24" s="5">
        <v>100</v>
      </c>
      <c r="BF24" s="9">
        <v>2964.29</v>
      </c>
    </row>
    <row r="25" spans="1:58" x14ac:dyDescent="0.2">
      <c r="A25" s="6" t="s">
        <v>10</v>
      </c>
      <c r="B25" s="72">
        <v>211.7</v>
      </c>
      <c r="C25" s="71">
        <v>86.299899999999994</v>
      </c>
      <c r="D25" s="69">
        <f t="shared" si="12"/>
        <v>40.765186584789795</v>
      </c>
      <c r="E25" s="9">
        <v>70</v>
      </c>
      <c r="F25" s="72">
        <v>442.8</v>
      </c>
      <c r="G25" s="4">
        <v>0</v>
      </c>
      <c r="H25" s="9">
        <f t="shared" si="13"/>
        <v>0</v>
      </c>
      <c r="I25" s="5">
        <v>0</v>
      </c>
      <c r="J25" s="73">
        <v>655.8</v>
      </c>
      <c r="K25" s="4">
        <v>0</v>
      </c>
      <c r="L25" s="9">
        <f t="shared" si="14"/>
        <v>0</v>
      </c>
      <c r="M25" s="15">
        <v>0</v>
      </c>
      <c r="O25" s="72">
        <v>211.7</v>
      </c>
      <c r="P25" s="71">
        <v>95.257800000000003</v>
      </c>
      <c r="Q25" s="9">
        <f t="shared" si="15"/>
        <v>44.996598960793584</v>
      </c>
      <c r="R25" s="9">
        <v>84</v>
      </c>
      <c r="S25" s="72">
        <v>442.8</v>
      </c>
      <c r="T25" s="70">
        <v>0.35320000000000001</v>
      </c>
      <c r="U25" s="9">
        <f t="shared" si="16"/>
        <v>7.976513098464319E-2</v>
      </c>
      <c r="V25" s="5">
        <f>5/200*100</f>
        <v>2.5</v>
      </c>
      <c r="W25" s="73">
        <v>655.8</v>
      </c>
      <c r="X25" s="4">
        <v>0</v>
      </c>
      <c r="Y25" s="9">
        <f t="shared" si="17"/>
        <v>0</v>
      </c>
      <c r="Z25" s="5">
        <v>0</v>
      </c>
      <c r="AB25" s="72">
        <v>211.7</v>
      </c>
      <c r="AC25" s="8">
        <v>128.233</v>
      </c>
      <c r="AD25" s="9">
        <f t="shared" si="18"/>
        <v>60.572980632971195</v>
      </c>
      <c r="AE25" s="9">
        <v>96</v>
      </c>
      <c r="AF25" s="9">
        <v>2581.33</v>
      </c>
      <c r="AG25" s="72">
        <v>442.8</v>
      </c>
      <c r="AH25" s="22">
        <v>267.62200000000001</v>
      </c>
      <c r="AI25" s="9">
        <f t="shared" si="19"/>
        <v>60.438572719060524</v>
      </c>
      <c r="AJ25" s="24">
        <v>87.5</v>
      </c>
      <c r="AK25" s="24">
        <v>3600</v>
      </c>
      <c r="AL25" s="73">
        <v>655.8</v>
      </c>
      <c r="AM25" s="8">
        <v>377.18799999999999</v>
      </c>
      <c r="AN25" s="9">
        <f t="shared" si="23"/>
        <v>57.515706007929246</v>
      </c>
      <c r="AO25" s="9">
        <f>226/300*100</f>
        <v>75.333333333333329</v>
      </c>
      <c r="AP25" s="9">
        <v>3600</v>
      </c>
      <c r="AR25" s="72">
        <v>211.7</v>
      </c>
      <c r="AS25" s="4">
        <f t="shared" si="24"/>
        <v>128.233</v>
      </c>
      <c r="AT25" s="9">
        <f t="shared" si="20"/>
        <v>60.572980632971195</v>
      </c>
      <c r="AU25" s="5">
        <f t="shared" si="25"/>
        <v>96</v>
      </c>
      <c r="AV25" s="5">
        <f t="shared" si="26"/>
        <v>2581.33</v>
      </c>
      <c r="AW25" s="72">
        <v>442.8</v>
      </c>
      <c r="AX25" s="4">
        <v>275.01900000000001</v>
      </c>
      <c r="AY25" s="9">
        <f t="shared" si="21"/>
        <v>62.109078590785906</v>
      </c>
      <c r="AZ25" s="5">
        <v>99</v>
      </c>
      <c r="BA25" s="9">
        <v>3209.99</v>
      </c>
      <c r="BB25" s="73">
        <v>655.8</v>
      </c>
      <c r="BC25" s="4">
        <v>398.76100000000002</v>
      </c>
      <c r="BD25" s="9">
        <f t="shared" si="22"/>
        <v>60.805275998780125</v>
      </c>
      <c r="BE25" s="5">
        <v>99</v>
      </c>
      <c r="BF25" s="9">
        <v>3360.77</v>
      </c>
    </row>
    <row r="26" spans="1:58" x14ac:dyDescent="0.2">
      <c r="A26" s="6" t="s">
        <v>11</v>
      </c>
      <c r="B26" s="72">
        <v>240</v>
      </c>
      <c r="C26" s="71">
        <v>121.685</v>
      </c>
      <c r="D26" s="69">
        <f t="shared" si="12"/>
        <v>50.702083333333334</v>
      </c>
      <c r="E26" s="9">
        <v>80</v>
      </c>
      <c r="F26" s="72">
        <v>480.2</v>
      </c>
      <c r="G26" s="8">
        <v>0</v>
      </c>
      <c r="H26" s="9">
        <f t="shared" si="13"/>
        <v>0</v>
      </c>
      <c r="I26" s="5">
        <v>0</v>
      </c>
      <c r="J26" s="73">
        <v>698.9</v>
      </c>
      <c r="K26" s="8">
        <v>0</v>
      </c>
      <c r="L26" s="9">
        <f t="shared" si="14"/>
        <v>0</v>
      </c>
      <c r="M26" s="15">
        <v>0</v>
      </c>
      <c r="O26" s="72">
        <v>240</v>
      </c>
      <c r="P26" s="71">
        <v>108.423</v>
      </c>
      <c r="Q26" s="9">
        <f t="shared" si="15"/>
        <v>45.176250000000003</v>
      </c>
      <c r="R26" s="9">
        <v>90</v>
      </c>
      <c r="S26" s="72">
        <v>480.2</v>
      </c>
      <c r="T26" s="71">
        <v>8.6403999999999996</v>
      </c>
      <c r="U26" s="9">
        <f t="shared" si="16"/>
        <v>1.7993336109954188</v>
      </c>
      <c r="V26" s="5">
        <f>4/200*100</f>
        <v>2</v>
      </c>
      <c r="W26" s="73">
        <v>698.9</v>
      </c>
      <c r="X26" s="4">
        <v>0</v>
      </c>
      <c r="Y26" s="9">
        <f t="shared" si="17"/>
        <v>0</v>
      </c>
      <c r="Z26" s="5">
        <v>0</v>
      </c>
      <c r="AB26" s="72">
        <v>240</v>
      </c>
      <c r="AC26" s="8">
        <v>149.84</v>
      </c>
      <c r="AD26" s="9">
        <f t="shared" si="18"/>
        <v>62.43333333333333</v>
      </c>
      <c r="AE26" s="9">
        <v>100</v>
      </c>
      <c r="AF26" s="9">
        <v>2547.31</v>
      </c>
      <c r="AG26" s="72">
        <v>480.2</v>
      </c>
      <c r="AH26" s="22">
        <v>309.05700000000002</v>
      </c>
      <c r="AI26" s="9">
        <f t="shared" si="19"/>
        <v>64.36005830903791</v>
      </c>
      <c r="AJ26" s="24">
        <v>98.5</v>
      </c>
      <c r="AK26" s="24">
        <v>3600</v>
      </c>
      <c r="AL26" s="73">
        <v>698.9</v>
      </c>
      <c r="AM26" s="8">
        <v>405.75799999999998</v>
      </c>
      <c r="AN26" s="9">
        <f t="shared" si="23"/>
        <v>58.056660466447276</v>
      </c>
      <c r="AO26" s="9">
        <f>243/300*100</f>
        <v>81</v>
      </c>
      <c r="AP26" s="9">
        <v>3313.37</v>
      </c>
      <c r="AR26" s="72">
        <v>240</v>
      </c>
      <c r="AS26" s="4">
        <f t="shared" si="24"/>
        <v>149.84</v>
      </c>
      <c r="AT26" s="9">
        <f t="shared" si="20"/>
        <v>62.43333333333333</v>
      </c>
      <c r="AU26" s="5">
        <f t="shared" si="25"/>
        <v>100</v>
      </c>
      <c r="AV26" s="5">
        <f t="shared" si="26"/>
        <v>2547.31</v>
      </c>
      <c r="AW26" s="72">
        <v>480.2</v>
      </c>
      <c r="AX26" s="8">
        <v>301.19799999999998</v>
      </c>
      <c r="AY26" s="9">
        <f t="shared" si="21"/>
        <v>62.723448563098707</v>
      </c>
      <c r="AZ26" s="5">
        <v>100</v>
      </c>
      <c r="BA26" s="9">
        <v>2941.89</v>
      </c>
      <c r="BB26" s="73">
        <v>698.9</v>
      </c>
      <c r="BC26" s="8">
        <v>440.65800000000002</v>
      </c>
      <c r="BD26" s="9">
        <f t="shared" si="22"/>
        <v>63.050221777078278</v>
      </c>
      <c r="BE26" s="5">
        <v>100</v>
      </c>
      <c r="BF26" s="9">
        <v>3214.64</v>
      </c>
    </row>
    <row r="27" spans="1:58" x14ac:dyDescent="0.2">
      <c r="A27" s="6" t="s">
        <v>12</v>
      </c>
      <c r="B27" s="72">
        <v>219.8</v>
      </c>
      <c r="C27" s="71">
        <v>122.251</v>
      </c>
      <c r="D27" s="69">
        <f t="shared" si="12"/>
        <v>55.619199272065515</v>
      </c>
      <c r="E27" s="9">
        <v>89</v>
      </c>
      <c r="F27" s="72">
        <v>442.1</v>
      </c>
      <c r="G27" s="4">
        <v>0</v>
      </c>
      <c r="H27" s="9">
        <f t="shared" si="13"/>
        <v>0</v>
      </c>
      <c r="I27" s="5">
        <v>0</v>
      </c>
      <c r="J27" s="73">
        <v>662.8</v>
      </c>
      <c r="K27" s="4">
        <v>0</v>
      </c>
      <c r="L27" s="9">
        <f t="shared" si="14"/>
        <v>0</v>
      </c>
      <c r="M27" s="15">
        <v>0</v>
      </c>
      <c r="O27" s="72">
        <v>219.8</v>
      </c>
      <c r="P27" s="71">
        <v>94.159499999999994</v>
      </c>
      <c r="Q27" s="9">
        <f t="shared" si="15"/>
        <v>42.838717015468603</v>
      </c>
      <c r="R27" s="9">
        <v>83</v>
      </c>
      <c r="S27" s="72">
        <v>442.1</v>
      </c>
      <c r="T27" s="70">
        <v>3.2879999999999998</v>
      </c>
      <c r="U27" s="9">
        <f t="shared" si="16"/>
        <v>0.74372313956118519</v>
      </c>
      <c r="V27" s="5">
        <f>4/200*100</f>
        <v>2</v>
      </c>
      <c r="W27" s="73">
        <v>662.8</v>
      </c>
      <c r="X27" s="8">
        <v>0</v>
      </c>
      <c r="Y27" s="9">
        <f t="shared" si="17"/>
        <v>0</v>
      </c>
      <c r="Z27" s="5">
        <v>0</v>
      </c>
      <c r="AB27" s="72">
        <v>219.8</v>
      </c>
      <c r="AC27" s="8">
        <v>137.03</v>
      </c>
      <c r="AD27" s="9">
        <f t="shared" si="18"/>
        <v>62.343039126478615</v>
      </c>
      <c r="AE27" s="9">
        <v>96</v>
      </c>
      <c r="AF27" s="9">
        <v>2650.31</v>
      </c>
      <c r="AG27" s="72">
        <v>442.1</v>
      </c>
      <c r="AH27" s="22">
        <v>275.55599999999998</v>
      </c>
      <c r="AI27" s="9">
        <f t="shared" si="19"/>
        <v>62.32888486767699</v>
      </c>
      <c r="AJ27" s="24">
        <v>94</v>
      </c>
      <c r="AK27" s="24">
        <v>3600</v>
      </c>
      <c r="AL27" s="73">
        <v>662.8</v>
      </c>
      <c r="AM27" s="8">
        <v>403.87900000000002</v>
      </c>
      <c r="AN27" s="9">
        <f t="shared" si="23"/>
        <v>60.935274592637299</v>
      </c>
      <c r="AO27" s="9">
        <f>253/300*100</f>
        <v>84.333333333333343</v>
      </c>
      <c r="AP27" s="9">
        <v>3342.27</v>
      </c>
      <c r="AR27" s="72">
        <v>219.8</v>
      </c>
      <c r="AS27" s="4">
        <f t="shared" si="24"/>
        <v>137.03</v>
      </c>
      <c r="AT27" s="9">
        <f t="shared" si="20"/>
        <v>62.343039126478615</v>
      </c>
      <c r="AU27" s="5">
        <f t="shared" si="25"/>
        <v>96</v>
      </c>
      <c r="AV27" s="5">
        <f t="shared" si="26"/>
        <v>2650.31</v>
      </c>
      <c r="AW27" s="72">
        <v>442.1</v>
      </c>
      <c r="AX27" s="4">
        <v>281.06799999999998</v>
      </c>
      <c r="AY27" s="9">
        <f t="shared" si="21"/>
        <v>63.575661615019222</v>
      </c>
      <c r="AZ27" s="5">
        <v>100</v>
      </c>
      <c r="BA27" s="9">
        <v>2957.82</v>
      </c>
      <c r="BB27" s="73">
        <v>662.8</v>
      </c>
      <c r="BC27" s="4">
        <v>419.53899999999999</v>
      </c>
      <c r="BD27" s="9">
        <f t="shared" si="22"/>
        <v>63.297978273989145</v>
      </c>
      <c r="BE27" s="5">
        <v>99.666666666666671</v>
      </c>
      <c r="BF27" s="9">
        <v>3072.79</v>
      </c>
    </row>
    <row r="28" spans="1:58" x14ac:dyDescent="0.2">
      <c r="A28" s="6" t="s">
        <v>13</v>
      </c>
      <c r="B28" s="72">
        <v>219.1</v>
      </c>
      <c r="C28" s="71">
        <v>78.499399999999994</v>
      </c>
      <c r="D28" s="69">
        <f t="shared" si="12"/>
        <v>35.82811501597444</v>
      </c>
      <c r="E28" s="9">
        <v>62</v>
      </c>
      <c r="F28" s="72">
        <v>441.4</v>
      </c>
      <c r="G28" s="8">
        <v>0</v>
      </c>
      <c r="H28" s="9">
        <f t="shared" si="13"/>
        <v>0</v>
      </c>
      <c r="I28" s="5">
        <v>0</v>
      </c>
      <c r="J28" s="73">
        <v>670.9</v>
      </c>
      <c r="K28" s="8">
        <v>0</v>
      </c>
      <c r="L28" s="9">
        <f t="shared" si="14"/>
        <v>0</v>
      </c>
      <c r="M28" s="15">
        <v>0</v>
      </c>
      <c r="O28" s="72">
        <v>219.1</v>
      </c>
      <c r="P28" s="71">
        <v>75.492699999999999</v>
      </c>
      <c r="Q28" s="9">
        <f t="shared" si="15"/>
        <v>34.455819260611591</v>
      </c>
      <c r="R28" s="9">
        <v>78</v>
      </c>
      <c r="S28" s="72">
        <v>441.4</v>
      </c>
      <c r="T28" s="71">
        <v>3.6175999999999999</v>
      </c>
      <c r="U28" s="9">
        <f t="shared" si="16"/>
        <v>0.81957408246488461</v>
      </c>
      <c r="V28" s="5">
        <f>7/200*100</f>
        <v>3.5000000000000004</v>
      </c>
      <c r="W28" s="73">
        <v>670.9</v>
      </c>
      <c r="X28" s="4">
        <v>0</v>
      </c>
      <c r="Y28" s="9">
        <f t="shared" si="17"/>
        <v>0</v>
      </c>
      <c r="Z28" s="5">
        <v>0</v>
      </c>
      <c r="AB28" s="72">
        <v>219.1</v>
      </c>
      <c r="AC28" s="8">
        <v>127.422</v>
      </c>
      <c r="AD28" s="9">
        <f t="shared" si="18"/>
        <v>58.157005933363756</v>
      </c>
      <c r="AE28" s="9">
        <v>94</v>
      </c>
      <c r="AF28" s="9">
        <v>2950.68</v>
      </c>
      <c r="AG28" s="72">
        <v>441.4</v>
      </c>
      <c r="AH28" s="22">
        <v>263.11099999999999</v>
      </c>
      <c r="AI28" s="9">
        <f t="shared" si="19"/>
        <v>59.608291798821931</v>
      </c>
      <c r="AJ28" s="24">
        <v>90.5</v>
      </c>
      <c r="AK28" s="24">
        <v>3600</v>
      </c>
      <c r="AL28" s="73">
        <v>670.9</v>
      </c>
      <c r="AM28" s="8">
        <v>396.58600000000001</v>
      </c>
      <c r="AN28" s="9">
        <f t="shared" si="23"/>
        <v>59.112535400208678</v>
      </c>
      <c r="AO28" s="9">
        <f>256/300*100</f>
        <v>85.333333333333343</v>
      </c>
      <c r="AP28" s="9">
        <v>3600</v>
      </c>
      <c r="AR28" s="72">
        <v>219.1</v>
      </c>
      <c r="AS28" s="4">
        <f t="shared" si="24"/>
        <v>127.422</v>
      </c>
      <c r="AT28" s="9">
        <f t="shared" si="20"/>
        <v>58.157005933363756</v>
      </c>
      <c r="AU28" s="5">
        <f t="shared" si="25"/>
        <v>94</v>
      </c>
      <c r="AV28" s="5">
        <f t="shared" si="26"/>
        <v>2950.68</v>
      </c>
      <c r="AW28" s="72">
        <v>441.4</v>
      </c>
      <c r="AX28" s="8">
        <v>271.41300000000001</v>
      </c>
      <c r="AY28" s="9">
        <f t="shared" si="21"/>
        <v>61.48912550974174</v>
      </c>
      <c r="AZ28" s="5">
        <v>100</v>
      </c>
      <c r="BA28" s="9">
        <v>2970.67</v>
      </c>
      <c r="BB28" s="73">
        <v>670.9</v>
      </c>
      <c r="BC28" s="8">
        <v>423.60500000000002</v>
      </c>
      <c r="BD28" s="9">
        <f t="shared" si="22"/>
        <v>63.139812192577139</v>
      </c>
      <c r="BE28" s="5">
        <v>100</v>
      </c>
      <c r="BF28" s="9">
        <v>2973.65</v>
      </c>
    </row>
    <row r="29" spans="1:58" x14ac:dyDescent="0.2">
      <c r="A29" s="10" t="s">
        <v>14</v>
      </c>
      <c r="B29" s="30"/>
      <c r="C29" s="33"/>
      <c r="D29" s="32">
        <f>AVERAGE(D19,D20,D21,D22,D23:D28)</f>
        <v>42.69611300428074</v>
      </c>
      <c r="E29" s="29">
        <f>AVERAGE(E19,E20,E21,E22,E23:E28)</f>
        <v>72.5</v>
      </c>
      <c r="F29" s="34"/>
      <c r="G29" s="33"/>
      <c r="H29" s="32">
        <f>AVERAGE(H19,H20,H21,H22,H23:H28)</f>
        <v>0</v>
      </c>
      <c r="I29" s="29">
        <f>AVERAGE(I19,I20,I21,I22,I23:I28)</f>
        <v>0</v>
      </c>
      <c r="J29" s="34"/>
      <c r="K29" s="31"/>
      <c r="L29" s="32">
        <f>AVERAGE(L19,L20,L21,L22,L23:L28)</f>
        <v>0</v>
      </c>
      <c r="M29" s="35">
        <f>AVERAGE(M19,M20,M21,M22,M23:M28)</f>
        <v>0</v>
      </c>
      <c r="O29" s="30"/>
      <c r="P29" s="36"/>
      <c r="Q29" s="32">
        <f>AVERAGE(Q19,Q20,Q21,Q22,Q23:Q28)</f>
        <v>43.416922035235785</v>
      </c>
      <c r="R29" s="37">
        <f>AVERAGE(R19,R20,R21,R22,R23:R28)</f>
        <v>86.8</v>
      </c>
      <c r="S29" s="34"/>
      <c r="T29" s="36"/>
      <c r="U29" s="32">
        <f>AVERAGE(U19,U20,U21,U22,U23:U28)</f>
        <v>1.7831500592534368</v>
      </c>
      <c r="V29" s="37">
        <f>AVERAGE(V19,V20,V21,V22,V23:V28)</f>
        <v>4.55</v>
      </c>
      <c r="W29" s="34"/>
      <c r="X29" s="38"/>
      <c r="Y29" s="32">
        <f>AVERAGE(Y19,Y20,Y21,Y22,Y23:Y28)</f>
        <v>0</v>
      </c>
      <c r="Z29" s="37">
        <f>AVERAGE(Z19,Z20,Z21,Z22,Z23:Z28)</f>
        <v>0</v>
      </c>
      <c r="AB29" s="30"/>
      <c r="AC29" s="33"/>
      <c r="AD29" s="32">
        <f>AVERAGE(AD19,AD20,AD21,AD22,AD23:AD28)</f>
        <v>61.372602860972975</v>
      </c>
      <c r="AE29" s="29">
        <f>AVERAGE(AE19,AE20,AE21,AE22,AE23:AE28)</f>
        <v>97</v>
      </c>
      <c r="AF29" s="29">
        <f>AVERAGE(AF19,AF20,AF21,AF22,AF23:AF28)</f>
        <v>2710.2170000000006</v>
      </c>
      <c r="AG29" s="34"/>
      <c r="AH29" s="33"/>
      <c r="AI29" s="32">
        <f>AVERAGE(AI19,AI20,AI21,AI22,AI23:AI28)</f>
        <v>61.849114275605267</v>
      </c>
      <c r="AJ29" s="29">
        <f>AVERAGE(AJ19,AJ20,AJ21,AJ22,AJ23:AJ28)</f>
        <v>92.6</v>
      </c>
      <c r="AK29" s="29">
        <f>AVERAGE(AK19,AK20,AK21,AK22,AK23:AK28)</f>
        <v>3600</v>
      </c>
      <c r="AL29" s="34"/>
      <c r="AM29" s="31"/>
      <c r="AN29" s="32">
        <f>AVERAGE(AN19,AN20,AN21,AN22,AN23:AN28)</f>
        <v>58.577948259579536</v>
      </c>
      <c r="AO29" s="29">
        <f>AVERAGE(AO19,AO20,AO21,AO22,AO23:AO28)</f>
        <v>81.76666666666668</v>
      </c>
      <c r="AP29" s="29">
        <f>AVERAGE(AP19,AP20,AP21,AP22,AP23:AP28)</f>
        <v>3502.46</v>
      </c>
      <c r="AR29" s="30"/>
      <c r="AS29" s="33"/>
      <c r="AT29" s="32">
        <f>AVERAGE(AT19,AT20,AT21,AT22,AT23:AT28)</f>
        <v>61.372602860972975</v>
      </c>
      <c r="AU29" s="29">
        <f>AVERAGE(AU19,AU20,AU21,AU22,AU23:AU28)</f>
        <v>97</v>
      </c>
      <c r="AV29" s="29">
        <f>AVERAGE(AV19,AV20,AV21,AV22,AV23:AV28)</f>
        <v>2710.2170000000006</v>
      </c>
      <c r="AW29" s="34"/>
      <c r="AX29" s="33"/>
      <c r="AY29" s="32">
        <f>AVERAGE(AY19,AY20,AY21,AY22,AY23:AY28)</f>
        <v>62.93341868559763</v>
      </c>
      <c r="AZ29" s="29">
        <f>AVERAGE(AZ19,AZ20,AZ21,AZ22,AZ23:AZ28)</f>
        <v>99.5</v>
      </c>
      <c r="BA29" s="29">
        <f>AVERAGE(BA19,BA20,BA21,BA22,BA23:BA28)</f>
        <v>3059.8859999999995</v>
      </c>
      <c r="BB29" s="34"/>
      <c r="BC29" s="31"/>
      <c r="BD29" s="32">
        <f>AVERAGE(BD19,BD20,BD21,BD22,BD23:BD28)</f>
        <v>63.145050921664378</v>
      </c>
      <c r="BE29" s="29">
        <f>AVERAGE(BE19,BE20,BE21,BE22,BE23:BE28)</f>
        <v>99.733333333333334</v>
      </c>
      <c r="BF29" s="29">
        <f>AVERAGE(BF19,BF20,BF21,BF22,BF23:BF28)</f>
        <v>3076.3140000000003</v>
      </c>
    </row>
    <row r="31" spans="1:58" x14ac:dyDescent="0.2">
      <c r="AP31" s="43"/>
      <c r="AY31" s="40"/>
      <c r="AZ31" s="41"/>
      <c r="BC31" s="44"/>
      <c r="BD31" s="40"/>
      <c r="BE31" s="41"/>
      <c r="BF31" s="40"/>
    </row>
    <row r="32" spans="1:58" x14ac:dyDescent="0.2">
      <c r="D32" s="25">
        <v>84.95</v>
      </c>
    </row>
    <row r="33" spans="4:4" x14ac:dyDescent="0.2">
      <c r="D33" s="25">
        <v>84.3</v>
      </c>
    </row>
    <row r="34" spans="4:4" x14ac:dyDescent="0.2">
      <c r="D34" s="25">
        <v>85</v>
      </c>
    </row>
    <row r="35" spans="4:4" x14ac:dyDescent="0.2">
      <c r="D35" s="39">
        <f>AVERAGE(D32:D34)</f>
        <v>84.75</v>
      </c>
    </row>
  </sheetData>
  <mergeCells count="62">
    <mergeCell ref="J17:J18"/>
    <mergeCell ref="K17:M17"/>
    <mergeCell ref="A16:M16"/>
    <mergeCell ref="A2:A3"/>
    <mergeCell ref="B2:B3"/>
    <mergeCell ref="C2:E2"/>
    <mergeCell ref="F2:F3"/>
    <mergeCell ref="G2:I2"/>
    <mergeCell ref="J2:J3"/>
    <mergeCell ref="A17:A18"/>
    <mergeCell ref="B17:B18"/>
    <mergeCell ref="C17:E17"/>
    <mergeCell ref="F17:F18"/>
    <mergeCell ref="G17:I17"/>
    <mergeCell ref="X17:Z17"/>
    <mergeCell ref="O2:O3"/>
    <mergeCell ref="P2:R2"/>
    <mergeCell ref="S2:S3"/>
    <mergeCell ref="T2:V2"/>
    <mergeCell ref="W2:W3"/>
    <mergeCell ref="X2:Z2"/>
    <mergeCell ref="O17:O18"/>
    <mergeCell ref="P17:R17"/>
    <mergeCell ref="S17:S18"/>
    <mergeCell ref="T17:V17"/>
    <mergeCell ref="W17:W18"/>
    <mergeCell ref="O1:Z1"/>
    <mergeCell ref="O16:Z16"/>
    <mergeCell ref="A15:M15"/>
    <mergeCell ref="O15:Z15"/>
    <mergeCell ref="K2:M2"/>
    <mergeCell ref="A1:M1"/>
    <mergeCell ref="AS2:AV2"/>
    <mergeCell ref="AR1:BF1"/>
    <mergeCell ref="AR15:BF15"/>
    <mergeCell ref="AS17:AV17"/>
    <mergeCell ref="AX17:BA17"/>
    <mergeCell ref="AR17:AR18"/>
    <mergeCell ref="AW17:AW18"/>
    <mergeCell ref="BB17:BB18"/>
    <mergeCell ref="BC17:BF17"/>
    <mergeCell ref="AR16:BF16"/>
    <mergeCell ref="AR2:AR3"/>
    <mergeCell ref="AW2:AW3"/>
    <mergeCell ref="BB2:BB3"/>
    <mergeCell ref="AX2:BA2"/>
    <mergeCell ref="BC2:BF2"/>
    <mergeCell ref="AB1:AP1"/>
    <mergeCell ref="AB15:AP15"/>
    <mergeCell ref="AB16:AP16"/>
    <mergeCell ref="AH17:AK17"/>
    <mergeCell ref="AM17:AP17"/>
    <mergeCell ref="AB17:AB18"/>
    <mergeCell ref="AG17:AG18"/>
    <mergeCell ref="AL17:AL18"/>
    <mergeCell ref="AC17:AF17"/>
    <mergeCell ref="AB2:AB3"/>
    <mergeCell ref="AG2:AG3"/>
    <mergeCell ref="AL2:AL3"/>
    <mergeCell ref="AC2:AF2"/>
    <mergeCell ref="AH2:AK2"/>
    <mergeCell ref="AM2:AP2"/>
  </mergeCells>
  <pageMargins left="0.7" right="0.7" top="0.75" bottom="0.75" header="0.3" footer="0.3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C</vt:lpstr>
      <vt:lpstr>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2021-08-19T02:43:16Z</dcterms:created>
  <dcterms:modified xsi:type="dcterms:W3CDTF">2021-10-26T23:40:39Z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2021-08-19T02:43:17Z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a5f90bcd-1d37-49f0-a984-0846e39cd14e</vt:lpwstr>
  </property>
  <property fmtid="{D5CDD505-2E9C-101B-9397-08002B2CF9AE}" pid="8" name="MSIP_Label_8c3d088b-6243-4963-a2e2-8b321ab7f8fc_ContentBits">
    <vt:lpwstr>1</vt:lpwstr>
  </property>
</Properties>
</file>