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A66A921E-F265-42A4-934C-6136D696B7A1}" xr6:coauthVersionLast="47" xr6:coauthVersionMax="47" xr10:uidLastSave="{00000000-0000-0000-0000-000000000000}"/>
  <bookViews>
    <workbookView xWindow="0" yWindow="0" windowWidth="19200" windowHeight="10800" firstSheet="3" activeTab="4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Lapsed members" sheetId="5" r:id="rId6"/>
    <sheet name="Savings account" sheetId="13" r:id="rId7"/>
    <sheet name="Pivot Table" sheetId="15" r:id="rId8"/>
    <sheet name="Exhibitions" sheetId="16" r:id="rId9"/>
    <sheet name="Stripe" sheetId="3" r:id="rId10"/>
    <sheet name="Members Exhibition" sheetId="4" r:id="rId11"/>
    <sheet name="Open Exhibition" sheetId="6" r:id="rId12"/>
    <sheet name="Lists" sheetId="9" r:id="rId13"/>
  </sheets>
  <externalReferences>
    <externalReference r:id="rId14"/>
  </externalReferences>
  <definedNames>
    <definedName name="_xlnm._FilterDatabase" localSheetId="1" hidden="1">'Current account'!$A$1:$I$352</definedName>
    <definedName name="_xlnm._FilterDatabase" localSheetId="4" hidden="1">'Membership List'!$A$2:$A$244</definedName>
    <definedName name="_xlnm._FilterDatabase" localSheetId="9" hidden="1">Stripe!$A$1:$W$477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7" l="1"/>
  <c r="K25" i="17" s="1"/>
  <c r="F126" i="10"/>
  <c r="F127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O23" i="17"/>
  <c r="O30" i="17" s="1"/>
  <c r="O10" i="17"/>
  <c r="O9" i="17"/>
  <c r="O8" i="17"/>
  <c r="T14" i="17" s="1"/>
  <c r="O7" i="17"/>
  <c r="O6" i="17"/>
  <c r="O5" i="17"/>
  <c r="O4" i="17"/>
  <c r="T15" i="17" s="1"/>
  <c r="K7" i="17"/>
  <c r="K5" i="17"/>
  <c r="K4" i="17"/>
  <c r="K6" i="17"/>
  <c r="S4" i="17"/>
  <c r="S5" i="17"/>
  <c r="S23" i="17" s="1"/>
  <c r="S6" i="17"/>
  <c r="S7" i="17"/>
  <c r="S11" i="17"/>
  <c r="T11" i="17"/>
  <c r="S13" i="17"/>
  <c r="S21" i="17" s="1"/>
  <c r="S14" i="17"/>
  <c r="S15" i="17"/>
  <c r="S17" i="17"/>
  <c r="T17" i="17"/>
  <c r="S18" i="17"/>
  <c r="S19" i="17"/>
  <c r="F27" i="17"/>
  <c r="J25" i="6"/>
  <c r="G25" i="6"/>
  <c r="E25" i="6"/>
  <c r="C25" i="6"/>
  <c r="J23" i="6"/>
  <c r="D23" i="6"/>
  <c r="E23" i="6" s="1"/>
  <c r="J22" i="6"/>
  <c r="D22" i="6"/>
  <c r="E22" i="6" s="1"/>
  <c r="C26" i="6"/>
  <c r="D21" i="6"/>
  <c r="E21" i="6" s="1"/>
  <c r="G21" i="6"/>
  <c r="J21" i="6" s="1"/>
  <c r="D20" i="6"/>
  <c r="E20" i="6" s="1"/>
  <c r="G20" i="6"/>
  <c r="J20" i="6"/>
  <c r="D19" i="6"/>
  <c r="E19" i="6" s="1"/>
  <c r="G19" i="6"/>
  <c r="J19" i="6" s="1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/>
  <c r="D15" i="6"/>
  <c r="E15" i="6" s="1"/>
  <c r="G15" i="6"/>
  <c r="J15" i="6" s="1"/>
  <c r="D14" i="6"/>
  <c r="E14" i="6" s="1"/>
  <c r="G14" i="6"/>
  <c r="J14" i="6"/>
  <c r="D13" i="6"/>
  <c r="E13" i="6" s="1"/>
  <c r="G13" i="6"/>
  <c r="J13" i="6" s="1"/>
  <c r="D12" i="6"/>
  <c r="E12" i="6" s="1"/>
  <c r="G12" i="6"/>
  <c r="J12" i="6" s="1"/>
  <c r="J5" i="6"/>
  <c r="G7" i="6"/>
  <c r="J7" i="6"/>
  <c r="G3" i="6"/>
  <c r="J3" i="6" s="1"/>
  <c r="G4" i="6"/>
  <c r="J4" i="6" s="1"/>
  <c r="G6" i="6"/>
  <c r="J6" i="6" s="1"/>
  <c r="G8" i="6"/>
  <c r="J8" i="6" s="1"/>
  <c r="G9" i="6"/>
  <c r="J9" i="6" s="1"/>
  <c r="G10" i="6"/>
  <c r="J10" i="6" s="1"/>
  <c r="G11" i="6"/>
  <c r="J11" i="6" s="1"/>
  <c r="G2" i="6"/>
  <c r="J2" i="6" s="1"/>
  <c r="D11" i="6"/>
  <c r="E11" i="6" s="1"/>
  <c r="D10" i="6"/>
  <c r="E10" i="6"/>
  <c r="D9" i="6"/>
  <c r="E9" i="6"/>
  <c r="D8" i="6"/>
  <c r="E8" i="6" s="1"/>
  <c r="D7" i="6"/>
  <c r="E7" i="6" s="1"/>
  <c r="H22" i="16"/>
  <c r="I12" i="16"/>
  <c r="D6" i="6"/>
  <c r="E6" i="6" s="1"/>
  <c r="D3" i="6"/>
  <c r="E3" i="6" s="1"/>
  <c r="D4" i="6"/>
  <c r="E4" i="6" s="1"/>
  <c r="D5" i="6"/>
  <c r="E5" i="6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E2" i="4"/>
  <c r="E14" i="4"/>
  <c r="I2" i="7"/>
  <c r="E17" i="7"/>
  <c r="I16" i="7"/>
  <c r="R213" i="2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X3" i="4"/>
  <c r="S26" i="4"/>
  <c r="Z23" i="4"/>
  <c r="T26" i="4"/>
  <c r="R212" i="2"/>
  <c r="E2" i="6"/>
  <c r="F10" i="17"/>
  <c r="F9" i="17"/>
  <c r="C6" i="17"/>
  <c r="C5" i="17"/>
  <c r="C25" i="17"/>
  <c r="C9" i="17"/>
  <c r="F8" i="17"/>
  <c r="F7" i="17"/>
  <c r="C27" i="17"/>
  <c r="F6" i="17"/>
  <c r="F5" i="17"/>
  <c r="C21" i="17"/>
  <c r="C12" i="17"/>
  <c r="C20" i="17"/>
  <c r="C10" i="17"/>
  <c r="T13" i="17" l="1"/>
  <c r="T21" i="17" s="1"/>
  <c r="O15" i="17"/>
  <c r="C7" i="17"/>
  <c r="F12" i="17"/>
  <c r="T19" i="17"/>
  <c r="T5" i="17"/>
  <c r="C22" i="17"/>
  <c r="C31" i="17" s="1"/>
  <c r="F29" i="17" s="1"/>
  <c r="T18" i="17"/>
  <c r="U18" i="17" s="1"/>
  <c r="T4" i="17"/>
  <c r="S8" i="17"/>
  <c r="J26" i="6"/>
  <c r="U21" i="17" l="1"/>
  <c r="V21" i="17" s="1"/>
  <c r="T6" i="17"/>
  <c r="U6" i="17" s="1"/>
  <c r="C16" i="17"/>
  <c r="F31" i="17"/>
  <c r="J27" i="6"/>
  <c r="F14" i="17" l="1"/>
  <c r="U8" i="17"/>
  <c r="T8" i="17"/>
  <c r="T23" i="17"/>
  <c r="U23" i="17" s="1"/>
  <c r="F16" i="17" l="1"/>
  <c r="F34" i="17"/>
  <c r="K11" i="17" s="1"/>
  <c r="K15" i="17" s="1"/>
  <c r="O17" i="17" l="1"/>
  <c r="K19" i="17"/>
  <c r="K28" i="17" l="1"/>
  <c r="K30" i="17" s="1"/>
  <c r="O19" i="17"/>
</calcChain>
</file>

<file path=xl/sharedStrings.xml><?xml version="1.0" encoding="utf-8"?>
<sst xmlns="http://schemas.openxmlformats.org/spreadsheetml/2006/main" count="1232" uniqueCount="615">
  <si>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</si>
  <si>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</si>
  <si>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</si>
  <si>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</si>
  <si>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</si>
  <si>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</si>
  <si>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</si>
  <si>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</si>
  <si>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</si>
  <si>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</si>
  <si>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</si>
  <si>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</si>
  <si>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</si>
  <si>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</si>
  <si>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</si>
  <si>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</si>
  <si>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Craig</t>
  </si>
  <si>
    <t>John</t>
  </si>
  <si>
    <t>Kassandra</t>
  </si>
  <si>
    <t>Isaacson</t>
  </si>
  <si>
    <t>Caroline</t>
  </si>
  <si>
    <t>Honorary</t>
  </si>
  <si>
    <t>Camilla</t>
  </si>
  <si>
    <t>Dowse</t>
  </si>
  <si>
    <t>Marian</t>
  </si>
  <si>
    <t>Hyland</t>
  </si>
  <si>
    <t>Bevan</t>
  </si>
  <si>
    <t>Emma</t>
  </si>
  <si>
    <t>Helen</t>
  </si>
  <si>
    <t>Angie</t>
  </si>
  <si>
    <t>Hunt</t>
  </si>
  <si>
    <t>King</t>
  </si>
  <si>
    <t>Pakeman</t>
  </si>
  <si>
    <t>Coleman-Jones</t>
  </si>
  <si>
    <t>Jennifer Newman (info@jennifer-newman.com)</t>
  </si>
  <si>
    <t>Martin Cash (martinjcash@gmail.com)</t>
  </si>
  <si>
    <t>Description</t>
  </si>
  <si>
    <t>id</t>
  </si>
  <si>
    <t>king1812@live.com</t>
  </si>
  <si>
    <t>Not Paid</t>
  </si>
  <si>
    <t>Date</t>
  </si>
  <si>
    <t>BahARTS (bahar@bahartsinterior.com)</t>
  </si>
  <si>
    <t>Amount</t>
  </si>
  <si>
    <t>Fee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</si>
  <si>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</si>
  <si>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</si>
  <si>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</si>
  <si>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</si>
  <si>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</si>
  <si>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</si>
  <si>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</si>
  <si>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</si>
  <si>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</si>
  <si>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</si>
  <si>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</si>
  <si>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</si>
  <si>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</si>
  <si>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</si>
  <si>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</si>
  <si>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</si>
  <si>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</si>
  <si>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</si>
  <si>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</si>
  <si>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</si>
  <si>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</si>
  <si>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</si>
  <si>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</si>
  <si>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</si>
  <si>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</si>
  <si>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</si>
  <si>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</si>
  <si>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</si>
  <si>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</si>
  <si>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</si>
  <si>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</si>
  <si>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</si>
  <si>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</si>
  <si>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</si>
  <si>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</si>
  <si>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</si>
  <si>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</si>
  <si>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</si>
  <si>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</si>
  <si>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</si>
  <si>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</si>
  <si>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</si>
  <si>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</si>
  <si>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</si>
  <si>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</si>
  <si>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</si>
  <si>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</si>
  <si>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</si>
  <si>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</si>
  <si>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</si>
  <si>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</si>
  <si>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</si>
  <si>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</si>
  <si>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</si>
  <si>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</si>
  <si>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</si>
  <si>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</si>
  <si>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</si>
  <si>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</si>
  <si>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</si>
  <si>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</si>
  <si>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</si>
  <si>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</si>
  <si>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</si>
  <si>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</si>
  <si>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</si>
  <si>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</si>
  <si>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</si>
  <si>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</si>
  <si>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</si>
  <si>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</si>
  <si>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</si>
  <si>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</si>
  <si>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</si>
  <si>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</si>
  <si>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</si>
  <si>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</si>
  <si>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</si>
  <si>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</si>
  <si>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</si>
  <si>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</si>
  <si>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</si>
  <si>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</si>
  <si>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</si>
  <si>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</si>
  <si>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</si>
  <si>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</si>
  <si>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</si>
  <si>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</si>
  <si>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</si>
  <si>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</si>
  <si>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</si>
  <si>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</si>
  <si>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</si>
  <si>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</si>
  <si>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</si>
  <si>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</si>
  <si>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</si>
  <si>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</si>
  <si>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</si>
  <si>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</si>
  <si>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</si>
  <si>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</si>
  <si>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</si>
  <si>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</si>
  <si>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</si>
  <si>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</si>
  <si>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</si>
  <si>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</si>
  <si>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</si>
  <si>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</si>
  <si>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</si>
  <si>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</si>
  <si>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</si>
  <si>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</si>
  <si>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</si>
  <si>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</si>
  <si>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</si>
  <si>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</si>
  <si>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</si>
  <si>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</si>
  <si>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</si>
  <si>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</si>
  <si>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</si>
  <si>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</si>
  <si>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</si>
  <si>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</si>
  <si>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</si>
  <si>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</si>
  <si>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Two sales?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</si>
  <si>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</si>
  <si>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</si>
  <si>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</si>
  <si>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</si>
  <si>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</si>
  <si>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</si>
  <si>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</si>
  <si>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</si>
  <si>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</si>
  <si>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</si>
  <si>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</si>
  <si>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</si>
  <si>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</si>
  <si>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</si>
  <si>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</si>
  <si>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</si>
  <si>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</si>
  <si>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</si>
  <si>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</si>
  <si>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</si>
  <si>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</si>
  <si>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Sold after the exhibition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</si>
  <si>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</si>
  <si>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</si>
  <si>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</si>
  <si>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</si>
  <si>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</si>
  <si>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</si>
  <si>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</si>
  <si>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</si>
  <si>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</si>
  <si>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</si>
  <si>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</si>
  <si>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</si>
  <si>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Schuckburgh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</si>
  <si>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</si>
  <si>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</si>
  <si>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</si>
  <si>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</si>
  <si>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</si>
  <si>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</si>
  <si>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</si>
  <si>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</si>
  <si>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</si>
  <si>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</si>
  <si>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</si>
  <si>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</si>
  <si>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</si>
  <si>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</si>
  <si>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</si>
  <si>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</si>
  <si>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</si>
  <si>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</si>
  <si>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</si>
  <si>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</si>
  <si>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</si>
  <si>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</si>
  <si>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</si>
  <si>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Jobling</t>
  </si>
  <si>
    <t>Kirby</t>
  </si>
  <si>
    <t>Warwick</t>
  </si>
  <si>
    <t>Whitehouse</t>
  </si>
  <si>
    <t>Henrietta</t>
  </si>
  <si>
    <t>Lawson-Johnston</t>
  </si>
  <si>
    <t xml:space="preserve">Alexandra </t>
  </si>
  <si>
    <t>Fiona</t>
  </si>
  <si>
    <t>CRAIG F MRS FREDRICA CRAIG</t>
  </si>
  <si>
    <t>LESLEY REEVES YOUNG TWO</t>
  </si>
  <si>
    <t xml:space="preserve">Lesley </t>
  </si>
  <si>
    <t>Reeves Young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</si>
  <si>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</si>
  <si>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</si>
  <si>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</si>
  <si>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</si>
  <si>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</si>
  <si>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</si>
  <si>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</si>
  <si>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</si>
  <si>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</si>
  <si>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</si>
  <si>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</si>
  <si>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</si>
  <si>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</si>
  <si>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</si>
  <si>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</si>
  <si>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</si>
  <si>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</si>
  <si>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</si>
  <si>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</si>
  <si>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</si>
  <si>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</si>
  <si>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</si>
  <si>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</si>
  <si>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</si>
  <si>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</si>
  <si>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</si>
  <si>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</si>
  <si>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</si>
  <si>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</si>
  <si>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INDIGO ARTS ANTONIAGLYNNEJONES</t>
  </si>
  <si>
    <t>Minter</t>
  </si>
  <si>
    <t>Wills-Brown</t>
  </si>
  <si>
    <t>Taylor-Smith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</si>
  <si>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</si>
  <si>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</si>
  <si>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</si>
  <si>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</si>
  <si>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</si>
  <si>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</si>
  <si>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</si>
  <si>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</si>
  <si>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</si>
  <si>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</si>
  <si>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</si>
  <si>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</si>
  <si>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</si>
  <si>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</si>
  <si>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</si>
  <si>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</si>
  <si>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</si>
  <si>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</si>
  <si>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</si>
  <si>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</si>
  <si>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</si>
  <si>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</si>
  <si>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</si>
  <si>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</si>
  <si>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</si>
  <si>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</si>
  <si>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</si>
  <si>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</si>
  <si>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</si>
  <si>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</si>
  <si>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</si>
  <si>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</si>
  <si>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</si>
  <si>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</si>
  <si>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</si>
  <si>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</si>
  <si>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</si>
  <si>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</si>
  <si>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</si>
  <si>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</si>
  <si>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</si>
  <si>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</si>
  <si>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</si>
  <si>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</si>
  <si>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</si>
  <si>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</si>
  <si>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</si>
  <si>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</si>
  <si>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</si>
  <si>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</si>
  <si>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</si>
  <si>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</si>
  <si>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</si>
  <si>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</si>
  <si>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</si>
  <si>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</si>
  <si>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</si>
  <si>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</si>
  <si>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</si>
  <si>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</si>
  <si>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</si>
  <si>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</si>
  <si>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</si>
  <si>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</si>
  <si>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</si>
  <si>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</si>
  <si>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</si>
  <si>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</si>
  <si>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</si>
  <si>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</si>
  <si>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</si>
  <si>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</si>
  <si>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</si>
  <si>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</si>
  <si>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</si>
  <si>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</si>
  <si>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</si>
  <si>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</si>
  <si>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</si>
  <si>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</si>
  <si>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</si>
  <si>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</si>
  <si>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</si>
  <si>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</si>
  <si>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</si>
  <si>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</si>
  <si>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</si>
  <si>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</si>
  <si>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</si>
  <si>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</si>
  <si>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</si>
  <si>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</si>
  <si>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</si>
  <si>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</si>
  <si>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</si>
  <si>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</si>
  <si>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</si>
  <si>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</si>
  <si>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</si>
  <si>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</si>
  <si>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</si>
  <si>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</si>
  <si>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</si>
  <si>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</si>
  <si>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</si>
  <si>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</si>
  <si>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</si>
  <si>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</si>
  <si>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</si>
  <si>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</si>
  <si>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</si>
  <si>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</si>
  <si>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</si>
  <si>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</si>
  <si>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</si>
  <si>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</si>
  <si>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</si>
  <si>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</si>
  <si>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</si>
  <si>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</si>
  <si>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</si>
  <si>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</si>
  <si>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</si>
  <si>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</si>
  <si>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</si>
  <si>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</si>
  <si>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</si>
  <si>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</si>
  <si>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</si>
  <si>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</si>
  <si>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</si>
  <si>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</si>
  <si>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</si>
  <si>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</si>
  <si>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</si>
  <si>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</si>
  <si>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</si>
  <si>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</si>
  <si>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</si>
  <si>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</si>
  <si>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</si>
  <si>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Freemantle-Schremp</t>
  </si>
  <si>
    <t>Dutton</t>
  </si>
  <si>
    <t>Joan</t>
  </si>
  <si>
    <t>Denny</t>
  </si>
  <si>
    <t>Webb</t>
  </si>
  <si>
    <t>Somerscales</t>
  </si>
  <si>
    <t>Jill</t>
  </si>
  <si>
    <t>Colchester</t>
  </si>
  <si>
    <t>Lawrence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</si>
  <si>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</si>
  <si>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</si>
  <si>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</si>
  <si>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</si>
  <si>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</si>
  <si>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</si>
  <si>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</si>
  <si>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</si>
  <si>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</si>
  <si>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</si>
  <si>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</si>
  <si>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</si>
  <si>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</si>
  <si>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</si>
  <si>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</si>
  <si>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</si>
  <si>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</si>
  <si>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</si>
  <si>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</si>
  <si>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</si>
  <si>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</si>
  <si>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</si>
  <si>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</si>
  <si>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</si>
  <si>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</si>
  <si>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</si>
  <si>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</si>
  <si>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</si>
  <si>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</si>
  <si>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</si>
  <si>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</si>
  <si>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</si>
  <si>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</si>
  <si>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</si>
  <si>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</si>
  <si>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</si>
  <si>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</si>
  <si>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</si>
  <si>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Butler</t>
  </si>
  <si>
    <t>Strother</t>
  </si>
  <si>
    <t>Hinchliffe</t>
  </si>
  <si>
    <t>Selhurst</t>
  </si>
  <si>
    <t>Sampson</t>
  </si>
  <si>
    <t>Vainker</t>
  </si>
  <si>
    <t>Radcliffe</t>
  </si>
  <si>
    <t>Rowe</t>
  </si>
  <si>
    <t>Thompsom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</si>
  <si>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</si>
  <si>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</si>
  <si>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</si>
  <si>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</si>
  <si>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</si>
  <si>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</si>
  <si>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</si>
  <si>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</si>
  <si>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</si>
  <si>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</si>
  <si>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</si>
  <si>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</si>
  <si>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</si>
  <si>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</si>
  <si>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</si>
  <si>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Matthews</t>
  </si>
  <si>
    <t>Yarrow</t>
  </si>
  <si>
    <t>Benjamin</t>
  </si>
  <si>
    <t>Collins</t>
  </si>
  <si>
    <t>Cox</t>
  </si>
  <si>
    <t>Dianne</t>
  </si>
  <si>
    <t>Glover</t>
  </si>
  <si>
    <t>Cockburn</t>
  </si>
  <si>
    <t>Kenner</t>
  </si>
  <si>
    <t>Mavis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</si>
  <si>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</si>
  <si>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</si>
  <si>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</si>
  <si>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</si>
  <si>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</si>
  <si>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</si>
  <si>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</si>
  <si>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</si>
  <si>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</si>
  <si>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</si>
  <si>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</si>
  <si>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</si>
  <si>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</si>
  <si>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Bell</t>
  </si>
  <si>
    <t>Davies</t>
  </si>
  <si>
    <t>Guastalla</t>
  </si>
  <si>
    <t>Morana</t>
  </si>
  <si>
    <t>Clutton-Brock</t>
  </si>
  <si>
    <t>Daggitt</t>
  </si>
  <si>
    <t xml:space="preserve">Cole </t>
  </si>
  <si>
    <t>Shakespeare</t>
  </si>
  <si>
    <t>Fay</t>
  </si>
  <si>
    <t>Jenny</t>
  </si>
  <si>
    <t>Skinner-Smith</t>
  </si>
  <si>
    <t>Jane</t>
  </si>
  <si>
    <t>Antony</t>
  </si>
  <si>
    <t>Fern</t>
  </si>
  <si>
    <t>Mandy</t>
  </si>
  <si>
    <t>Cooper</t>
  </si>
  <si>
    <t>Lever</t>
  </si>
  <si>
    <t>Philip</t>
  </si>
  <si>
    <t>Glees</t>
  </si>
  <si>
    <t>Amy</t>
  </si>
  <si>
    <t>Mcaloon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</si>
  <si>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</si>
  <si>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</si>
  <si>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</si>
  <si>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</si>
  <si>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</si>
  <si>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</si>
  <si>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</si>
  <si>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</si>
  <si>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</si>
  <si>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</si>
  <si>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</si>
  <si>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</si>
  <si>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</si>
  <si>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</si>
  <si>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</si>
  <si>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</si>
  <si>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</si>
  <si>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Bahar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</si>
  <si>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</si>
  <si>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</si>
  <si>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</si>
  <si>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</si>
  <si>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</si>
  <si>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</si>
  <si>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</si>
  <si>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</si>
  <si>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</si>
  <si>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</si>
  <si>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</si>
  <si>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</si>
  <si>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</si>
  <si>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</si>
  <si>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</si>
  <si>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</si>
  <si>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</si>
  <si>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</si>
  <si>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</si>
  <si>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</si>
  <si>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</si>
  <si>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</si>
  <si>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</si>
  <si>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</si>
  <si>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</si>
  <si>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</si>
  <si>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</si>
  <si>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</si>
  <si>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</si>
  <si>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</si>
  <si>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</si>
  <si>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</si>
  <si>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</si>
  <si>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</si>
  <si>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</si>
  <si>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</si>
  <si>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paullester3655@yahoo.co.uk</t>
  </si>
  <si>
    <t>Eleanor</t>
  </si>
  <si>
    <t>Mary or Marie?</t>
  </si>
  <si>
    <t>Andrea</t>
  </si>
  <si>
    <t>Deborah</t>
  </si>
  <si>
    <t>??</t>
  </si>
  <si>
    <t>acole4art@aol.com</t>
  </si>
  <si>
    <t>Francesca</t>
  </si>
  <si>
    <t>Grant</t>
  </si>
  <si>
    <t>grant.waters@oxfordshire.gov.uk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</si>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</sst>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1" xfId="0" applyNumberFormat="1" applyFill="1" applyBorder="1"/>
    <xf numFmtId="3" fontId="6" fillId="3" borderId="0" xfId="0" applyNumberFormat="1" applyFont="1" applyFill="1"/>
    <xf numFmtId="9" fontId="3" fillId="0" borderId="0" xfId="3" applyFont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44" fontId="0" fillId="3" borderId="3" xfId="4" applyFont="1" applyFill="1" applyBorder="1"/>
    <xf numFmtId="44" fontId="0" fillId="3" borderId="2" xfId="4" applyFont="1" applyFill="1" applyBorder="1"/>
    <xf numFmtId="44" fontId="0" fillId="3" borderId="0" xfId="4" applyFont="1" applyFill="1"/>
    <xf numFmtId="44" fontId="0" fillId="3" borderId="1" xfId="4" applyFont="1" applyFill="1" applyBorder="1"/>
    <xf numFmtId="44" fontId="3" fillId="0" borderId="0" xfId="4" applyFont="1"/>
    <xf numFmtId="44" fontId="9" fillId="3" borderId="0" xfId="4" applyFont="1" applyFill="1"/>
    <xf numFmtId="6" fontId="3" fillId="0" borderId="0" xfId="2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bar\Dropbox\OAS\OAS_Finances_2025\OAS%202025a.xlsx" TargetMode="External"/><Relationship Id="rId1" Type="http://schemas.openxmlformats.org/officeDocument/2006/relationships/externalLinkPath" Target="OAS%20202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"/>
      <sheetName val="Main"/>
      <sheetName val="Current account"/>
      <sheetName val="Savings"/>
      <sheetName val="Membership List"/>
      <sheetName val="Lapsed members"/>
      <sheetName val="Sheet2"/>
      <sheetName val="Savings account"/>
      <sheetName val="Pivot Table"/>
      <sheetName val="Exhibitions"/>
      <sheetName val="Stripe"/>
      <sheetName val="Members Exhibition"/>
      <sheetName val="Open Exhibition"/>
    </sheetNames>
    <sheetDataSet>
      <sheetData sheetId="0" refreshError="1"/>
      <sheetData sheetId="1" refreshError="1">
        <row r="2">
          <cell r="T2">
            <v>5029.6099999999997</v>
          </cell>
        </row>
        <row r="360">
          <cell r="M360">
            <v>750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9.828292708335" createdVersion="8" refreshedVersion="8" minRefreshableVersion="3" recordCount="370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5-01-01T00:00:00" maxDate="2025-01-03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NonDate="0" containsString="0" containsBlank="1"/>
    </cacheField>
    <cacheField name="Income" numFmtId="0">
      <sharedItems containsString="0" containsBlank="1" containsNumber="1" containsInteger="1" minValue="25" maxValue="50"/>
    </cacheField>
    <cacheField name="Balance" numFmtId="164">
      <sharedItems containsString="0" containsBlank="1" containsNumber="1" minValue="5823.88" maxValue="9513.880000000001"/>
    </cacheField>
    <cacheField name="Category" numFmtId="0">
      <sharedItems containsBlank="1" count="26">
        <m/>
        <s v="Subs 2025"/>
        <s v="Subs" u="1"/>
        <s v="Admin" u="1"/>
        <s v="Submissions" u="1"/>
        <s v="Website" u="1"/>
        <s v="Donations cr" u="1"/>
        <s v="Other income" u="1"/>
        <s v="Bar sales" u="1"/>
        <s v="Sales cr" u="1"/>
        <s v="Prizes" u="1"/>
        <s v="Website manager's fee" u="1"/>
        <s v="Publicity" u="1"/>
        <s v="Exhibition organisers fees" u="1"/>
        <s v="Refunds" u="1"/>
        <s v="Prof Fees" u="1"/>
        <s v="Sales db" u="1"/>
        <s v="AGM" u="1"/>
        <s v="Donations db" u="1"/>
        <s v="Venue hire" u="1"/>
        <s v="Gifts" u="1"/>
        <s v="Insurance" u="1"/>
        <s v="Exhibitions db" u="1"/>
        <s v="Other expenses" u="1"/>
        <s v="Transfer Out" u="1"/>
        <s v="Honoraria" u="1"/>
      </sharedItems>
    </cacheField>
    <cacheField name="Exhibition" numFmtId="0">
      <sharedItems containsNonDate="0" containsBlank="1" count="3">
        <m/>
        <s v="Members" u="1"/>
        <s v="Ope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59.833857638892" createdVersion="8" refreshedVersion="8" minRefreshableVersion="3" recordCount="124" xr:uid="{00817194-AFFC-4A9A-8AF5-771A8B9E7504}">
  <cacheSource type="worksheet">
    <worksheetSource ref="A1:I125" sheet="Current account"/>
  </cacheSource>
  <cacheFields count="9">
    <cacheField name="Date" numFmtId="15">
      <sharedItems containsSemiMixedTypes="0" containsNonDate="0" containsDate="1" containsString="0" minDate="2025-01-01T00:00:00" maxDate="2025-01-03T00:00:00"/>
    </cacheField>
    <cacheField name="Type" numFmtId="0">
      <sharedItems containsBlank="1"/>
    </cacheField>
    <cacheField name="Description" numFmtId="0">
      <sharedItems/>
    </cacheField>
    <cacheField name="Expenditure" numFmtId="0">
      <sharedItems containsNonDate="0" containsString="0" containsBlank="1" count="1">
        <m/>
      </sharedItems>
    </cacheField>
    <cacheField name="Income" numFmtId="0">
      <sharedItems containsString="0" containsBlank="1" containsNumber="1" containsInteger="1" minValue="25" maxValue="50" count="5">
        <m/>
        <n v="30"/>
        <n v="50"/>
        <n v="25"/>
        <n v="35"/>
      </sharedItems>
    </cacheField>
    <cacheField name="Balance" numFmtId="164">
      <sharedItems containsSemiMixedTypes="0" containsString="0" containsNumber="1" minValue="5823.88" maxValue="9513.880000000001"/>
    </cacheField>
    <cacheField name="Category" numFmtId="0">
      <sharedItems containsBlank="1" count="2">
        <m/>
        <s v="Subs 2025"/>
      </sharedItems>
    </cacheField>
    <cacheField name="Exhibition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LEVELL BK+S SALLY LEVELL"/>
    <m/>
    <n v="30"/>
    <n v="5913.88"/>
    <x v="1"/>
    <x v="0"/>
    <m/>
  </r>
  <r>
    <d v="2025-01-02T00:00:00"/>
    <s v="CR"/>
    <s v="MARTINO FOSCHI FOSCHI&amp;DZEPAVA"/>
    <m/>
    <n v="30"/>
    <n v="5943.88"/>
    <x v="1"/>
    <x v="0"/>
    <m/>
  </r>
  <r>
    <d v="2025-01-02T00:00:00"/>
    <s v="BP"/>
    <s v="DUTTON J C JOAN DUTTON"/>
    <m/>
    <n v="30"/>
    <n v="5973.88"/>
    <x v="1"/>
    <x v="0"/>
    <m/>
  </r>
  <r>
    <d v="2025-01-02T00:00:00"/>
    <s v="CR"/>
    <s v="WEBB DA DENNY WEBB"/>
    <m/>
    <n v="30"/>
    <n v="6003.88"/>
    <x v="1"/>
    <x v="0"/>
    <m/>
  </r>
  <r>
    <d v="2025-01-02T00:00:00"/>
    <s v="CR"/>
    <s v="GLYNNE-JONES AM AGLYNNEJONES"/>
    <m/>
    <n v="30"/>
    <n v="6033.88"/>
    <x v="1"/>
    <x v="0"/>
    <m/>
  </r>
  <r>
    <d v="2025-01-02T00:00:00"/>
    <s v="CR"/>
    <s v="SHI B MEMBERSHIP FEE"/>
    <m/>
    <n v="30"/>
    <n v="6063.88"/>
    <x v="1"/>
    <x v="0"/>
    <m/>
  </r>
  <r>
    <d v="2025-01-02T00:00:00"/>
    <s v="CR"/>
    <s v="MRS JILLIAN R COLCJ COLCHESTER"/>
    <m/>
    <n v="30"/>
    <n v="6093.88"/>
    <x v="1"/>
    <x v="0"/>
    <m/>
  </r>
  <r>
    <d v="2025-01-02T00:00:00"/>
    <s v="CR"/>
    <s v="ISAACSON KM ISAACSON"/>
    <m/>
    <n v="30"/>
    <n v="6123.88"/>
    <x v="1"/>
    <x v="0"/>
    <m/>
  </r>
  <r>
    <d v="2025-01-02T00:00:00"/>
    <s v="CR"/>
    <s v="Bicknell Maggie"/>
    <m/>
    <n v="30"/>
    <n v="6153.88"/>
    <x v="1"/>
    <x v="0"/>
    <m/>
  </r>
  <r>
    <d v="2025-01-02T00:00:00"/>
    <s v="CR"/>
    <s v="Somerscales John ART"/>
    <m/>
    <n v="30"/>
    <n v="6183.88"/>
    <x v="1"/>
    <x v="0"/>
    <m/>
  </r>
  <r>
    <d v="2025-01-02T00:00:00"/>
    <s v="CR"/>
    <s v="WALL SJC SJ WALL MEMBERSHIP"/>
    <m/>
    <n v="30"/>
    <n v="6213.88"/>
    <x v="1"/>
    <x v="0"/>
    <m/>
  </r>
  <r>
    <d v="2025-01-02T00:00:00"/>
    <s v="CR"/>
    <s v="LAWRENCE P ATTNY P G LAWRENCE"/>
    <m/>
    <n v="30"/>
    <n v="6243.88"/>
    <x v="1"/>
    <x v="0"/>
    <m/>
  </r>
  <r>
    <d v="2025-01-02T00:00:00"/>
    <s v="CR"/>
    <s v="GANLY HM NO REF"/>
    <m/>
    <n v="30"/>
    <n v="6273.88"/>
    <x v="1"/>
    <x v="0"/>
    <m/>
  </r>
  <r>
    <d v="2025-01-02T00:00:00"/>
    <s v="CR"/>
    <s v="LAWSON B BRIONY LAWSON"/>
    <m/>
    <n v="50"/>
    <n v="6323.88"/>
    <x v="1"/>
    <x v="0"/>
    <m/>
  </r>
  <r>
    <d v="2025-01-02T00:00:00"/>
    <s v="CR"/>
    <s v="KIRKHAM EA KIRKHAM EA"/>
    <m/>
    <n v="30"/>
    <n v="6353.88"/>
    <x v="1"/>
    <x v="0"/>
    <m/>
  </r>
  <r>
    <d v="2025-01-02T00:00:00"/>
    <s v="CR"/>
    <s v="Rebecca GouverneurBECKY GOUVERNEUR"/>
    <m/>
    <n v="30"/>
    <n v="6383.88"/>
    <x v="1"/>
    <x v="0"/>
    <m/>
  </r>
  <r>
    <d v="2025-01-02T00:00:00"/>
    <s v="CR"/>
    <s v="STRANGE RDTW RAYMOND STRANGE"/>
    <m/>
    <n v="30"/>
    <n v="6413.88"/>
    <x v="1"/>
    <x v="0"/>
    <m/>
  </r>
  <r>
    <d v="2025-01-02T00:00:00"/>
    <s v="CR"/>
    <s v="WELCHMAN SA ALEX HYDE"/>
    <m/>
    <n v="30"/>
    <n v="6443.88"/>
    <x v="1"/>
    <x v="0"/>
    <m/>
  </r>
  <r>
    <d v="2025-01-02T00:00:00"/>
    <s v="CR"/>
    <s v="RICHARD FOX T/AS OAS MEMBERSHIP"/>
    <m/>
    <n v="30"/>
    <n v="6473.88"/>
    <x v="1"/>
    <x v="0"/>
    <m/>
  </r>
  <r>
    <d v="2025-01-02T00:00:00"/>
    <s v="CR"/>
    <s v="SALMON G L NO REF"/>
    <m/>
    <n v="30"/>
    <n v="6503.88"/>
    <x v="1"/>
    <x v="0"/>
    <m/>
  </r>
  <r>
    <d v="2025-01-02T00:00:00"/>
    <s v="CR"/>
    <s v="MATHEWS J C MRS J MATHEWS"/>
    <m/>
    <n v="30"/>
    <n v="6533.88"/>
    <x v="1"/>
    <x v="0"/>
    <m/>
  </r>
  <r>
    <d v="2025-01-02T00:00:00"/>
    <s v="CR"/>
    <s v="YARROW J K G NO REF"/>
    <m/>
    <n v="30"/>
    <n v="6563.88"/>
    <x v="1"/>
    <x v="0"/>
    <m/>
  </r>
  <r>
    <d v="2025-01-02T00:00:00"/>
    <s v="CR"/>
    <s v="SMITH RE+ML RE + ML SMITH"/>
    <m/>
    <n v="30"/>
    <n v="6593.88"/>
    <x v="1"/>
    <x v="0"/>
    <m/>
  </r>
  <r>
    <d v="2025-01-02T00:00:00"/>
    <s v="CR"/>
    <s v="DOBSON+DOOLEY S DOOLEY"/>
    <m/>
    <n v="30"/>
    <n v="6623.88"/>
    <x v="1"/>
    <x v="0"/>
    <m/>
  </r>
  <r>
    <d v="2025-01-02T00:00:00"/>
    <s v="CR"/>
    <s v="HOPE B T BUS A/C BENJAMIN HOPE"/>
    <m/>
    <n v="30"/>
    <n v="6653.88"/>
    <x v="1"/>
    <x v="0"/>
    <m/>
  </r>
  <r>
    <d v="2025-01-02T00:00:00"/>
    <s v="CR"/>
    <s v=" COLLINS MA"/>
    <m/>
    <n v="30"/>
    <n v="6683.88"/>
    <x v="1"/>
    <x v="0"/>
    <m/>
  </r>
  <r>
    <d v="2025-01-02T00:00:00"/>
    <s v="CR"/>
    <s v="COX S M"/>
    <m/>
    <n v="30"/>
    <n v="6713.88"/>
    <x v="1"/>
    <x v="0"/>
    <m/>
  </r>
  <r>
    <d v="2025-01-02T00:00:00"/>
    <s v="CR"/>
    <s v="DILLON A AD ANNA DILLON"/>
    <m/>
    <n v="30"/>
    <n v="6743.88"/>
    <x v="1"/>
    <x v="0"/>
    <m/>
  </r>
  <r>
    <d v="2025-01-02T00:00:00"/>
    <s v="CR"/>
    <s v="Frank Dianne FRANK"/>
    <m/>
    <n v="30"/>
    <n v="6773.88"/>
    <x v="1"/>
    <x v="0"/>
    <m/>
  </r>
  <r>
    <d v="2025-01-02T00:00:00"/>
    <s v="CR"/>
    <s v="FULLJAMES P A C"/>
    <m/>
    <n v="30"/>
    <n v="6803.88"/>
    <x v="1"/>
    <x v="0"/>
    <m/>
  </r>
  <r>
    <d v="2025-01-02T00:00:00"/>
    <s v="CR"/>
    <s v="GLOVER S &amp; C"/>
    <m/>
    <n v="25"/>
    <n v="6828.88"/>
    <x v="1"/>
    <x v="0"/>
    <m/>
  </r>
  <r>
    <d v="2025-01-02T00:00:00"/>
    <s v="CR"/>
    <s v="PAKEMAN HC MRS GCQHELEN PAKEMAN"/>
    <m/>
    <n v="30"/>
    <n v="6858.88"/>
    <x v="1"/>
    <x v="0"/>
    <m/>
  </r>
  <r>
    <d v="2025-01-02T00:00:00"/>
    <s v="CR"/>
    <s v="COCKBURN PB+D COCKBURN PB+D"/>
    <m/>
    <n v="30"/>
    <n v="6888.88"/>
    <x v="1"/>
    <x v="0"/>
    <m/>
  </r>
  <r>
    <d v="2025-01-02T00:00:00"/>
    <s v="CR"/>
    <s v="KENNER R E"/>
    <m/>
    <n v="30"/>
    <n v="6918.88"/>
    <x v="1"/>
    <x v="0"/>
    <m/>
  </r>
  <r>
    <d v="2025-01-02T00:00:00"/>
    <s v="CR"/>
    <s v="BASS SMB &amp; CA AUTOCHRISTINE BASS"/>
    <m/>
    <n v="30"/>
    <n v="6948.88"/>
    <x v="1"/>
    <x v="0"/>
    <m/>
  </r>
  <r>
    <d v="2025-01-02T00:00:00"/>
    <s v="CR"/>
    <s v="Bayton Mavis DR MAVIS BAYTON"/>
    <m/>
    <n v="30"/>
    <n v="6978.88"/>
    <x v="1"/>
    <x v="0"/>
    <m/>
  </r>
  <r>
    <d v="2025-01-02T00:00:00"/>
    <s v="CR"/>
    <s v="MRS SUSAN J WHEELESJ WHEELER"/>
    <m/>
    <n v="30"/>
    <n v="7008.88"/>
    <x v="1"/>
    <x v="0"/>
    <m/>
  </r>
  <r>
    <d v="2025-01-02T00:00:00"/>
    <s v="CR"/>
    <s v="BALMER J A"/>
    <m/>
    <n v="30"/>
    <n v="7038.88"/>
    <x v="1"/>
    <x v="0"/>
    <m/>
  </r>
  <r>
    <d v="2025-01-02T00:00:00"/>
    <s v="CR"/>
    <s v="J COLCHESTER JILL COLCHESTER"/>
    <m/>
    <n v="30"/>
    <n v="7068.88"/>
    <x v="1"/>
    <x v="0"/>
    <m/>
  </r>
  <r>
    <d v="2025-01-02T00:00:00"/>
    <s v="CR"/>
    <s v="C H JONES"/>
    <m/>
    <n v="30"/>
    <n v="7098.88"/>
    <x v="1"/>
    <x v="0"/>
    <m/>
  </r>
  <r>
    <d v="2025-01-02T00:00:00"/>
    <s v="CR"/>
    <s v="P J FARLEY"/>
    <m/>
    <n v="30"/>
    <n v="7128.88"/>
    <x v="1"/>
    <x v="0"/>
    <m/>
  </r>
  <r>
    <d v="2025-01-02T00:00:00"/>
    <s v="CR"/>
    <s v="WOOTTON A GNY F WOOTTON"/>
    <m/>
    <n v="30"/>
    <n v="7158.88"/>
    <x v="1"/>
    <x v="0"/>
    <m/>
  </r>
  <r>
    <d v="2025-01-02T00:00:00"/>
    <s v="CR"/>
    <s v="C KING CAROLINE KING OAS"/>
    <m/>
    <n v="30"/>
    <n v="7188.88"/>
    <x v="1"/>
    <x v="0"/>
    <m/>
  </r>
  <r>
    <d v="2025-01-02T00:00:00"/>
    <s v="CR"/>
    <s v="PENNY T WD0 F PENNY"/>
    <m/>
    <n v="30"/>
    <n v="7218.88"/>
    <x v="1"/>
    <x v="0"/>
    <m/>
  </r>
  <r>
    <d v="2025-01-02T00:00:00"/>
    <s v="CR"/>
    <s v="R FORD RON FORD"/>
    <m/>
    <n v="30"/>
    <n v="7248.88"/>
    <x v="1"/>
    <x v="0"/>
    <m/>
  </r>
  <r>
    <d v="2025-01-02T00:00:00"/>
    <s v="CR"/>
    <s v="MILBURN D. MILBURN"/>
    <m/>
    <n v="30"/>
    <n v="7278.88"/>
    <x v="1"/>
    <x v="0"/>
    <m/>
  </r>
  <r>
    <d v="2025-01-02T00:00:00"/>
    <s v="CR"/>
    <s v="GORAYSKA B 1B7 F GORAYSKA"/>
    <m/>
    <n v="30"/>
    <n v="7308.88"/>
    <x v="1"/>
    <x v="0"/>
    <m/>
  </r>
  <r>
    <d v="2025-01-02T00:00:00"/>
    <s v="CR"/>
    <s v="STEPHEN J S2X F STEPHEN"/>
    <m/>
    <n v="30"/>
    <n v="7338.88"/>
    <x v="1"/>
    <x v="0"/>
    <m/>
  </r>
  <r>
    <d v="2025-01-02T00:00:00"/>
    <s v="CR"/>
    <s v="ORT J DG0 F ORT"/>
    <m/>
    <n v="30"/>
    <n v="7368.88"/>
    <x v="1"/>
    <x v="0"/>
    <m/>
  </r>
  <r>
    <d v="2025-01-02T00:00:00"/>
    <s v="CR"/>
    <s v="LINDISFARNE JOK F LINDISFARNE"/>
    <m/>
    <n v="30"/>
    <n v="7398.88"/>
    <x v="1"/>
    <x v="0"/>
    <m/>
  </r>
  <r>
    <d v="2025-01-02T00:00:00"/>
    <s v="CR"/>
    <s v="DUCKER R MY8 F DUCKER"/>
    <m/>
    <n v="30"/>
    <n v="7428.88"/>
    <x v="1"/>
    <x v="0"/>
    <m/>
  </r>
  <r>
    <d v="2025-01-02T00:00:00"/>
    <s v="CR"/>
    <s v="B JONES BEVERLEY JONES SUB"/>
    <m/>
    <n v="30"/>
    <n v="7458.88"/>
    <x v="1"/>
    <x v="0"/>
    <m/>
  </r>
  <r>
    <d v="2025-01-02T00:00:00"/>
    <s v="CR"/>
    <s v="ALAN BERMAN"/>
    <m/>
    <n v="30"/>
    <n v="7488.88"/>
    <x v="1"/>
    <x v="0"/>
    <m/>
  </r>
  <r>
    <d v="2025-01-02T00:00:00"/>
    <s v="CR"/>
    <s v="R J COON"/>
    <m/>
    <n v="30"/>
    <n v="7518.88"/>
    <x v="1"/>
    <x v="0"/>
    <m/>
  </r>
  <r>
    <d v="2025-01-02T00:00:00"/>
    <s v="CR"/>
    <s v="H F KING"/>
    <m/>
    <n v="30"/>
    <n v="7548.88"/>
    <x v="1"/>
    <x v="0"/>
    <m/>
  </r>
  <r>
    <d v="2025-01-02T00:00:00"/>
    <s v="CR"/>
    <s v="HOLLAND M FGE F HOLLAND"/>
    <m/>
    <n v="30"/>
    <n v="7578.88"/>
    <x v="1"/>
    <x v="0"/>
    <m/>
  </r>
  <r>
    <d v="2025-01-02T00:00:00"/>
    <s v="CR"/>
    <s v="C DAVIES ANNUAL SUBS"/>
    <m/>
    <n v="30"/>
    <n v="7608.88"/>
    <x v="1"/>
    <x v="0"/>
    <m/>
  </r>
  <r>
    <d v="2025-01-02T00:00:00"/>
    <s v="CR"/>
    <s v="SOSKIES A. SOSKIES"/>
    <m/>
    <n v="30"/>
    <n v="7638.88"/>
    <x v="1"/>
    <x v="0"/>
    <m/>
  </r>
  <r>
    <d v="2025-01-02T00:00:00"/>
    <s v="CR"/>
    <s v="LINE K VUB F LINE"/>
    <m/>
    <n v="30"/>
    <n v="7668.88"/>
    <x v="1"/>
    <x v="0"/>
    <m/>
  </r>
  <r>
    <d v="2025-01-02T00:00:00"/>
    <s v="CR"/>
    <s v="MRS BYGOTT ANNETTE BYGOTT"/>
    <m/>
    <n v="30"/>
    <n v="7698.88"/>
    <x v="1"/>
    <x v="0"/>
    <m/>
  </r>
  <r>
    <d v="2025-01-02T00:00:00"/>
    <s v="CR"/>
    <s v="C MOORE CAROLINE MOORE"/>
    <m/>
    <n v="30"/>
    <n v="7728.88"/>
    <x v="1"/>
    <x v="0"/>
    <m/>
  </r>
  <r>
    <d v="2025-01-02T00:00:00"/>
    <s v="CR"/>
    <s v="MR GUASTALLA &amp; MS SUB"/>
    <m/>
    <n v="30"/>
    <n v="7758.88"/>
    <x v="1"/>
    <x v="0"/>
    <m/>
  </r>
  <r>
    <d v="2025-01-02T00:00:00"/>
    <s v="CR"/>
    <s v="MR ROBINSON OXFORD ART SOCIETY"/>
    <m/>
    <n v="30"/>
    <n v="7788.88"/>
    <x v="1"/>
    <x v="0"/>
    <m/>
  </r>
  <r>
    <d v="2025-01-02T00:00:00"/>
    <s v="CR"/>
    <s v="MRS NEWHOFER NEWHOFER"/>
    <m/>
    <n v="30"/>
    <n v="7818.88"/>
    <x v="1"/>
    <x v="0"/>
    <m/>
  </r>
  <r>
    <d v="2025-01-02T00:00:00"/>
    <s v="CR"/>
    <s v="MS &amp; MR BURRELL LW &amp; JO BURRELL"/>
    <m/>
    <n v="30"/>
    <n v="7848.88"/>
    <x v="1"/>
    <x v="0"/>
    <m/>
  </r>
  <r>
    <d v="2025-01-02T00:00:00"/>
    <s v="CR"/>
    <s v="MRS WATES WATES"/>
    <m/>
    <n v="30"/>
    <n v="7878.88"/>
    <x v="1"/>
    <x v="0"/>
    <m/>
  </r>
  <r>
    <d v="2025-01-02T00:00:00"/>
    <s v="CR"/>
    <s v="R PATON BECKY PATON"/>
    <m/>
    <n v="30"/>
    <n v="7908.88"/>
    <x v="1"/>
    <x v="0"/>
    <m/>
  </r>
  <r>
    <d v="2025-01-02T00:00:00"/>
    <s v="CR"/>
    <s v="Moeran Nicola NICOLA MOERAN"/>
    <m/>
    <n v="30"/>
    <n v="7938.88"/>
    <x v="1"/>
    <x v="0"/>
    <m/>
  </r>
  <r>
    <d v="2025-01-02T00:00:00"/>
    <s v="CR"/>
    <s v="K GIBBONS KAY GIBBONS"/>
    <m/>
    <n v="30"/>
    <n v="7968.88"/>
    <x v="1"/>
    <x v="0"/>
    <m/>
  </r>
  <r>
    <d v="2025-01-02T00:00:00"/>
    <s v="CR"/>
    <s v="LINES EDK F LINES"/>
    <m/>
    <n v="30"/>
    <n v="7998.88"/>
    <x v="1"/>
    <x v="0"/>
    <m/>
  </r>
  <r>
    <d v="2025-01-02T00:00:00"/>
    <s v="CR"/>
    <s v="J.P PEART S4N 1 J.P PEART"/>
    <m/>
    <n v="30"/>
    <n v="8028.88"/>
    <x v="1"/>
    <x v="0"/>
    <m/>
  </r>
  <r>
    <d v="2025-01-02T00:00:00"/>
    <s v="CR"/>
    <s v="J CONWAY J CONWAY"/>
    <m/>
    <n v="30"/>
    <n v="8058.88"/>
    <x v="1"/>
    <x v="0"/>
    <m/>
  </r>
  <r>
    <d v="2025-01-02T00:00:00"/>
    <s v="CR"/>
    <s v="KIRKMAN AJ+S KIRKMAN AJ+S"/>
    <m/>
    <n v="30"/>
    <n v="8088.88"/>
    <x v="1"/>
    <x v="0"/>
    <m/>
  </r>
  <r>
    <d v="2025-01-02T00:00:00"/>
    <s v="CR"/>
    <s v="D WILLIAMS 0NS M WILLIAMS"/>
    <m/>
    <n v="30"/>
    <n v="8118.88"/>
    <x v="1"/>
    <x v="0"/>
    <m/>
  </r>
  <r>
    <d v="2025-01-02T00:00:00"/>
    <s v="CR"/>
    <s v="MORNA RHYS MORANA RHYS"/>
    <m/>
    <n v="30"/>
    <n v="8148.88"/>
    <x v="1"/>
    <x v="0"/>
    <m/>
  </r>
  <r>
    <d v="2025-01-02T00:00:00"/>
    <s v="CR"/>
    <s v="LESTER P R ZZ"/>
    <m/>
    <n v="25"/>
    <n v="8173.88"/>
    <x v="1"/>
    <x v="0"/>
    <m/>
  </r>
  <r>
    <d v="2025-01-02T00:00:00"/>
    <s v="CR"/>
    <s v="Clutton-Brock EleaCLUTTON-BROCK"/>
    <m/>
    <n v="30"/>
    <n v="8203.880000000001"/>
    <x v="1"/>
    <x v="0"/>
    <m/>
  </r>
  <r>
    <d v="2025-01-02T00:00:00"/>
    <s v="CR"/>
    <s v="JONES D LVW F JONES"/>
    <m/>
    <n v="30"/>
    <n v="8233.880000000001"/>
    <x v="1"/>
    <x v="0"/>
    <m/>
  </r>
  <r>
    <d v="2025-01-02T00:00:00"/>
    <s v="CR"/>
    <s v="YMR ROBINSON YM"/>
    <m/>
    <n v="30"/>
    <n v="8263.880000000001"/>
    <x v="1"/>
    <x v="0"/>
    <m/>
  </r>
  <r>
    <d v="2025-01-02T00:00:00"/>
    <s v="CR"/>
    <s v="LEVELL B&amp;S"/>
    <m/>
    <n v="30"/>
    <n v="8293.880000000001"/>
    <x v="1"/>
    <x v="0"/>
    <m/>
  </r>
  <r>
    <d v="2025-01-02T00:00:00"/>
    <s v="CR"/>
    <s v="BATES A M"/>
    <m/>
    <n v="30"/>
    <n v="8323.880000000001"/>
    <x v="1"/>
    <x v="0"/>
    <m/>
  </r>
  <r>
    <d v="2025-01-02T00:00:00"/>
    <s v="CR"/>
    <s v="Laidlaw W &amp; D"/>
    <m/>
    <n v="30"/>
    <n v="8353.880000000001"/>
    <x v="1"/>
    <x v="0"/>
    <m/>
  </r>
  <r>
    <d v="2025-01-02T00:00:00"/>
    <s v="CR"/>
    <s v="SALLY WYATT SALLY WYATT"/>
    <m/>
    <n v="30"/>
    <n v="8383.880000000001"/>
    <x v="1"/>
    <x v="0"/>
    <m/>
  </r>
  <r>
    <d v="2025-01-02T00:00:00"/>
    <s v="CR"/>
    <s v="STEVE DAGGITT GREBENIK&amp;DAGGITT"/>
    <m/>
    <n v="30"/>
    <n v="8413.880000000001"/>
    <x v="1"/>
    <x v="0"/>
    <m/>
  </r>
  <r>
    <d v="2025-01-02T00:00:00"/>
    <s v="CR"/>
    <s v="ANGIE HUNT SUBS HUNT AJ"/>
    <m/>
    <n v="30"/>
    <n v="8443.880000000001"/>
    <x v="1"/>
    <x v="0"/>
    <m/>
  </r>
  <r>
    <d v="2025-01-02T00:00:00"/>
    <s v="CR"/>
    <s v="SUBSCRIPTION FENNE SKELS"/>
    <m/>
    <n v="30"/>
    <n v="8473.880000000001"/>
    <x v="1"/>
    <x v="0"/>
    <m/>
  </r>
  <r>
    <d v="2025-01-02T00:00:00"/>
    <s v="CR"/>
    <s v="WILSON W A"/>
    <m/>
    <n v="30"/>
    <n v="8503.880000000001"/>
    <x v="1"/>
    <x v="0"/>
    <m/>
  </r>
  <r>
    <d v="2025-01-02T00:00:00"/>
    <s v="CR"/>
    <s v="SANDH C&amp;I"/>
    <m/>
    <n v="25"/>
    <n v="8528.880000000001"/>
    <x v="1"/>
    <x v="0"/>
    <m/>
  </r>
  <r>
    <d v="2025-01-02T00:00:00"/>
    <s v="CR"/>
    <s v="COLE E A"/>
    <m/>
    <n v="25"/>
    <n v="8553.880000000001"/>
    <x v="1"/>
    <x v="0"/>
    <m/>
  </r>
  <r>
    <d v="2025-01-02T00:00:00"/>
    <s v="CR"/>
    <s v="CULLEN F SHAKESPEARE F"/>
    <m/>
    <n v="30"/>
    <n v="8583.880000000001"/>
    <x v="1"/>
    <x v="0"/>
    <m/>
  </r>
  <r>
    <d v="2025-01-02T00:00:00"/>
    <s v="CR"/>
    <s v="JENNYFAYART"/>
    <m/>
    <n v="30"/>
    <n v="8613.880000000001"/>
    <x v="1"/>
    <x v="0"/>
    <m/>
  </r>
  <r>
    <d v="2025-01-02T00:00:00"/>
    <s v="CR"/>
    <s v="WATERS S G"/>
    <m/>
    <n v="25"/>
    <n v="8638.880000000001"/>
    <x v="1"/>
    <x v="0"/>
    <m/>
  </r>
  <r>
    <d v="2025-01-02T00:00:00"/>
    <s v="CR"/>
    <s v="KIRBY TESSA KIRBY T"/>
    <m/>
    <n v="30"/>
    <n v="8668.880000000001"/>
    <x v="1"/>
    <x v="0"/>
    <m/>
  </r>
  <r>
    <d v="2025-01-02T00:00:00"/>
    <s v="CR"/>
    <s v="JAMES HAMILT"/>
    <m/>
    <n v="30"/>
    <n v="8698.880000000001"/>
    <x v="1"/>
    <x v="0"/>
    <m/>
  </r>
  <r>
    <d v="2025-01-02T00:00:00"/>
    <s v="CR"/>
    <s v="W S-SMITH SO8 1 W SKINNER-SMITH"/>
    <m/>
    <n v="35"/>
    <n v="8733.880000000001"/>
    <x v="1"/>
    <x v="0"/>
    <m/>
  </r>
  <r>
    <d v="2025-01-02T00:00:00"/>
    <s v="CR"/>
    <s v="BUTLER A. BUTLER"/>
    <m/>
    <n v="30"/>
    <n v="8763.880000000001"/>
    <x v="1"/>
    <x v="0"/>
    <m/>
  </r>
  <r>
    <d v="2025-01-02T00:00:00"/>
    <s v="CR"/>
    <s v="J STROTHER"/>
    <m/>
    <n v="30"/>
    <n v="8793.880000000001"/>
    <x v="1"/>
    <x v="0"/>
    <m/>
  </r>
  <r>
    <d v="2025-01-02T00:00:00"/>
    <s v="CR"/>
    <s v="Hinchliffe Antony HINCHLIFFE"/>
    <m/>
    <n v="30"/>
    <n v="8823.880000000001"/>
    <x v="1"/>
    <x v="0"/>
    <m/>
  </r>
  <r>
    <d v="2025-01-02T00:00:00"/>
    <s v="CR"/>
    <s v="FLUDRA A &amp; L CP"/>
    <m/>
    <n v="30"/>
    <n v="8853.880000000001"/>
    <x v="1"/>
    <x v="0"/>
    <m/>
  </r>
  <r>
    <d v="2025-01-02T00:00:00"/>
    <s v="CR"/>
    <s v="MRS FERN STRANGE"/>
    <m/>
    <n v="30"/>
    <n v="8883.880000000001"/>
    <x v="1"/>
    <x v="0"/>
    <m/>
  </r>
  <r>
    <d v="2025-01-02T00:00:00"/>
    <s v="CR"/>
    <s v="SELHURST MM MANDY SELHURST"/>
    <m/>
    <n v="30"/>
    <n v="8913.880000000001"/>
    <x v="1"/>
    <x v="0"/>
    <m/>
  </r>
  <r>
    <d v="2025-01-02T00:00:00"/>
    <s v="CR"/>
    <s v="SELHURST MM SELHURST"/>
    <m/>
    <n v="30"/>
    <n v="8943.880000000001"/>
    <x v="1"/>
    <x v="0"/>
    <m/>
  </r>
  <r>
    <d v="2025-01-02T00:00:00"/>
    <s v="CR"/>
    <s v="J COOPER FASTER PAYMENT"/>
    <m/>
    <n v="30"/>
    <n v="8973.880000000001"/>
    <x v="1"/>
    <x v="0"/>
    <m/>
  </r>
  <r>
    <d v="2025-01-02T00:00:00"/>
    <s v="CR"/>
    <s v="Anna Lever N140590"/>
    <m/>
    <n v="30"/>
    <n v="9003.880000000001"/>
    <x v="1"/>
    <x v="0"/>
    <m/>
  </r>
  <r>
    <d v="2025-01-02T00:00:00"/>
    <s v="CR"/>
    <s v="SAMPSON JS &amp; JM PPJOHN SAMPSON"/>
    <m/>
    <n v="30"/>
    <n v="9033.880000000001"/>
    <x v="1"/>
    <x v="0"/>
    <m/>
  </r>
  <r>
    <d v="2025-01-02T00:00:00"/>
    <s v="CR"/>
    <s v="MR PHILIP S VAINKEPHILIP VAINKER"/>
    <m/>
    <n v="30"/>
    <n v="9063.880000000001"/>
    <x v="1"/>
    <x v="0"/>
    <m/>
  </r>
  <r>
    <d v="2025-01-02T00:00:00"/>
    <s v="CR"/>
    <s v="MS AMY F GLEES OASGLEES"/>
    <m/>
    <n v="30"/>
    <n v="9093.880000000001"/>
    <x v="1"/>
    <x v="0"/>
    <m/>
  </r>
  <r>
    <d v="2025-01-02T00:00:00"/>
    <s v="CR"/>
    <s v="JOHN MCALOON MCALOON PA"/>
    <m/>
    <n v="30"/>
    <n v="9123.880000000001"/>
    <x v="1"/>
    <x v="0"/>
    <m/>
  </r>
  <r>
    <d v="2025-01-02T00:00:00"/>
    <s v="CR"/>
    <s v="ANGELA RADCLIFFE ms a radcliffe"/>
    <m/>
    <n v="30"/>
    <n v="9153.880000000001"/>
    <x v="1"/>
    <x v="0"/>
    <m/>
  </r>
  <r>
    <d v="2025-01-02T00:00:00"/>
    <s v="CR"/>
    <s v="Robinson Mary MARY ROBINSON"/>
    <m/>
    <n v="30"/>
    <n v="9183.880000000001"/>
    <x v="1"/>
    <x v="0"/>
    <m/>
  </r>
  <r>
    <d v="2025-01-02T00:00:00"/>
    <s v="CR"/>
    <s v="L ROWE"/>
    <m/>
    <n v="30"/>
    <n v="9213.880000000001"/>
    <x v="1"/>
    <x v="0"/>
    <m/>
  </r>
  <r>
    <d v="2025-01-02T00:00:00"/>
    <s v="CR"/>
    <s v="Thompson Marc MR M H THOMPSOM"/>
    <m/>
    <n v="30"/>
    <n v="9243.880000000001"/>
    <x v="1"/>
    <x v="0"/>
    <m/>
  </r>
  <r>
    <d v="2025-01-02T00:00:00"/>
    <s v="CR"/>
    <s v="Side Richard SUE SIDE"/>
    <m/>
    <n v="30"/>
    <n v="9273.880000000001"/>
    <x v="1"/>
    <x v="0"/>
    <m/>
  </r>
  <r>
    <d v="2025-01-02T00:00:00"/>
    <s v="CR"/>
    <s v="Anuk Naumann FASTER PAYMENT"/>
    <m/>
    <n v="30"/>
    <n v="9303.880000000001"/>
    <x v="1"/>
    <x v="0"/>
    <m/>
  </r>
  <r>
    <d v="2025-01-02T00:00:00"/>
    <s v="CR"/>
    <s v="A KESTNER ALAN KESTNER SUBS"/>
    <m/>
    <n v="30"/>
    <n v="9333.880000000001"/>
    <x v="1"/>
    <x v="0"/>
    <m/>
  </r>
  <r>
    <d v="2025-01-02T00:00:00"/>
    <s v="CR"/>
    <s v="BEVAN A. BEVAN"/>
    <m/>
    <n v="30"/>
    <n v="9363.880000000001"/>
    <x v="1"/>
    <x v="0"/>
    <m/>
  </r>
  <r>
    <d v="2025-01-02T00:00:00"/>
    <s v="CR"/>
    <s v="Pretorius DiederikDIRK PRETORIUS"/>
    <m/>
    <n v="30"/>
    <n v="9393.880000000001"/>
    <x v="1"/>
    <x v="0"/>
    <m/>
  </r>
  <r>
    <d v="2025-01-02T00:00:00"/>
    <s v="CR"/>
    <s v="Bell Elizabeth"/>
    <m/>
    <n v="30"/>
    <n v="9423.880000000001"/>
    <x v="1"/>
    <x v="0"/>
    <m/>
  </r>
  <r>
    <d v="2025-01-02T00:00:00"/>
    <s v="CR"/>
    <s v="Williams Elaine HSBC OAS"/>
    <m/>
    <n v="30"/>
    <n v="9453.880000000001"/>
    <x v="1"/>
    <x v="0"/>
    <m/>
  </r>
  <r>
    <d v="2025-01-02T00:00:00"/>
    <s v="CR"/>
    <s v="CLAIRE DRINKWATER DRINKWATER"/>
    <m/>
    <n v="30"/>
    <n v="9483.880000000001"/>
    <x v="1"/>
    <x v="0"/>
    <m/>
  </r>
  <r>
    <d v="2025-01-02T00:00:00"/>
    <s v="CR"/>
    <s v="E R WHEELER LIZZIEWHEELER"/>
    <m/>
    <n v="30"/>
    <n v="9513.880000000001"/>
    <x v="1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d v="2025-01-01T00:00:00"/>
    <m/>
    <s v="Opening balance"/>
    <x v="0"/>
    <x v="0"/>
    <n v="5823.88"/>
    <x v="0"/>
    <m/>
    <m/>
  </r>
  <r>
    <d v="2025-01-01T00:00:00"/>
    <s v="CR"/>
    <s v="TAYLOR L M LOUISE TAYLOR"/>
    <x v="0"/>
    <x v="1"/>
    <n v="5853.88"/>
    <x v="1"/>
    <m/>
    <m/>
  </r>
  <r>
    <d v="2025-01-01T00:00:00"/>
    <s v="CR"/>
    <s v="FREEMANTLE SCHR ECFREEMANTLESCHREMP"/>
    <x v="0"/>
    <x v="1"/>
    <n v="5883.88"/>
    <x v="1"/>
    <m/>
    <m/>
  </r>
  <r>
    <d v="2025-01-02T00:00:00"/>
    <s v="CR"/>
    <s v="LEVELL BK+S SALLY LEVELL"/>
    <x v="0"/>
    <x v="1"/>
    <n v="5913.88"/>
    <x v="1"/>
    <m/>
    <m/>
  </r>
  <r>
    <d v="2025-01-02T00:00:00"/>
    <s v="CR"/>
    <s v="MARTINO FOSCHI FOSCHI&amp;DZEPAVA"/>
    <x v="0"/>
    <x v="1"/>
    <n v="5943.88"/>
    <x v="1"/>
    <m/>
    <m/>
  </r>
  <r>
    <d v="2025-01-02T00:00:00"/>
    <s v="BP"/>
    <s v="DUTTON J C JOAN DUTTON"/>
    <x v="0"/>
    <x v="1"/>
    <n v="5973.88"/>
    <x v="1"/>
    <m/>
    <m/>
  </r>
  <r>
    <d v="2025-01-02T00:00:00"/>
    <s v="CR"/>
    <s v="WEBB DA DENNY WEBB"/>
    <x v="0"/>
    <x v="1"/>
    <n v="6003.88"/>
    <x v="1"/>
    <m/>
    <m/>
  </r>
  <r>
    <d v="2025-01-02T00:00:00"/>
    <s v="CR"/>
    <s v="GLYNNE-JONES AM AGLYNNEJONES"/>
    <x v="0"/>
    <x v="1"/>
    <n v="6033.88"/>
    <x v="1"/>
    <m/>
    <m/>
  </r>
  <r>
    <d v="2025-01-02T00:00:00"/>
    <s v="CR"/>
    <s v="SHI B MEMBERSHIP FEE"/>
    <x v="0"/>
    <x v="1"/>
    <n v="6063.88"/>
    <x v="1"/>
    <m/>
    <m/>
  </r>
  <r>
    <d v="2025-01-02T00:00:00"/>
    <s v="CR"/>
    <s v="MRS JILLIAN R COLCJ COLCHESTER"/>
    <x v="0"/>
    <x v="1"/>
    <n v="6093.88"/>
    <x v="1"/>
    <m/>
    <m/>
  </r>
  <r>
    <d v="2025-01-02T00:00:00"/>
    <s v="CR"/>
    <s v="ISAACSON KM ISAACSON"/>
    <x v="0"/>
    <x v="1"/>
    <n v="6123.88"/>
    <x v="1"/>
    <m/>
    <m/>
  </r>
  <r>
    <d v="2025-01-02T00:00:00"/>
    <s v="CR"/>
    <s v="Bicknell Maggie"/>
    <x v="0"/>
    <x v="1"/>
    <n v="6153.88"/>
    <x v="1"/>
    <m/>
    <m/>
  </r>
  <r>
    <d v="2025-01-02T00:00:00"/>
    <s v="CR"/>
    <s v="Somerscales John ART"/>
    <x v="0"/>
    <x v="1"/>
    <n v="6183.88"/>
    <x v="1"/>
    <m/>
    <m/>
  </r>
  <r>
    <d v="2025-01-02T00:00:00"/>
    <s v="CR"/>
    <s v="WALL SJC SJ WALL MEMBERSHIP"/>
    <x v="0"/>
    <x v="1"/>
    <n v="6213.88"/>
    <x v="1"/>
    <m/>
    <m/>
  </r>
  <r>
    <d v="2025-01-02T00:00:00"/>
    <s v="CR"/>
    <s v="LAWRENCE P ATTNY P G LAWRENCE"/>
    <x v="0"/>
    <x v="1"/>
    <n v="6243.88"/>
    <x v="1"/>
    <m/>
    <m/>
  </r>
  <r>
    <d v="2025-01-02T00:00:00"/>
    <s v="CR"/>
    <s v="GANLY HM NO REF"/>
    <x v="0"/>
    <x v="1"/>
    <n v="6273.88"/>
    <x v="1"/>
    <m/>
    <m/>
  </r>
  <r>
    <d v="2025-01-02T00:00:00"/>
    <s v="CR"/>
    <s v="LAWSON B BRIONY LAWSON"/>
    <x v="0"/>
    <x v="2"/>
    <n v="6323.88"/>
    <x v="1"/>
    <m/>
    <m/>
  </r>
  <r>
    <d v="2025-01-02T00:00:00"/>
    <s v="CR"/>
    <s v="KIRKHAM EA KIRKHAM EA"/>
    <x v="0"/>
    <x v="1"/>
    <n v="6353.88"/>
    <x v="1"/>
    <m/>
    <m/>
  </r>
  <r>
    <d v="2025-01-02T00:00:00"/>
    <s v="CR"/>
    <s v="Rebecca GouverneurBECKY GOUVERNEUR"/>
    <x v="0"/>
    <x v="1"/>
    <n v="6383.88"/>
    <x v="1"/>
    <m/>
    <m/>
  </r>
  <r>
    <d v="2025-01-02T00:00:00"/>
    <s v="CR"/>
    <s v="STRANGE RDTW RAYMOND STRANGE"/>
    <x v="0"/>
    <x v="1"/>
    <n v="6413.88"/>
    <x v="1"/>
    <m/>
    <m/>
  </r>
  <r>
    <d v="2025-01-02T00:00:00"/>
    <s v="CR"/>
    <s v="WELCHMAN SA ALEX HYDE"/>
    <x v="0"/>
    <x v="1"/>
    <n v="6443.88"/>
    <x v="1"/>
    <m/>
    <m/>
  </r>
  <r>
    <d v="2025-01-02T00:00:00"/>
    <s v="CR"/>
    <s v="RICHARD FOX T/AS OAS MEMBERSHIP"/>
    <x v="0"/>
    <x v="1"/>
    <n v="6473.88"/>
    <x v="1"/>
    <m/>
    <m/>
  </r>
  <r>
    <d v="2025-01-02T00:00:00"/>
    <s v="CR"/>
    <s v="SALMON G L NO REF"/>
    <x v="0"/>
    <x v="1"/>
    <n v="6503.88"/>
    <x v="1"/>
    <m/>
    <m/>
  </r>
  <r>
    <d v="2025-01-02T00:00:00"/>
    <s v="CR"/>
    <s v="MATHEWS J C MRS J MATHEWS"/>
    <x v="0"/>
    <x v="1"/>
    <n v="6533.88"/>
    <x v="1"/>
    <m/>
    <m/>
  </r>
  <r>
    <d v="2025-01-02T00:00:00"/>
    <s v="CR"/>
    <s v="YARROW J K G NO REF"/>
    <x v="0"/>
    <x v="1"/>
    <n v="6563.88"/>
    <x v="1"/>
    <m/>
    <m/>
  </r>
  <r>
    <d v="2025-01-02T00:00:00"/>
    <s v="CR"/>
    <s v="SMITH RE+ML RE + ML SMITH"/>
    <x v="0"/>
    <x v="1"/>
    <n v="6593.88"/>
    <x v="1"/>
    <m/>
    <m/>
  </r>
  <r>
    <d v="2025-01-02T00:00:00"/>
    <s v="CR"/>
    <s v="DOBSON+DOOLEY S DOOLEY"/>
    <x v="0"/>
    <x v="1"/>
    <n v="6623.88"/>
    <x v="1"/>
    <m/>
    <m/>
  </r>
  <r>
    <d v="2025-01-02T00:00:00"/>
    <s v="CR"/>
    <s v="HOPE B T BUS A/C BENJAMIN HOPE"/>
    <x v="0"/>
    <x v="1"/>
    <n v="6653.88"/>
    <x v="1"/>
    <m/>
    <m/>
  </r>
  <r>
    <d v="2025-01-02T00:00:00"/>
    <s v="CR"/>
    <s v=" COLLINS MA"/>
    <x v="0"/>
    <x v="1"/>
    <n v="6683.88"/>
    <x v="1"/>
    <m/>
    <m/>
  </r>
  <r>
    <d v="2025-01-02T00:00:00"/>
    <s v="CR"/>
    <s v="COX S M"/>
    <x v="0"/>
    <x v="1"/>
    <n v="6713.88"/>
    <x v="1"/>
    <m/>
    <m/>
  </r>
  <r>
    <d v="2025-01-02T00:00:00"/>
    <s v="CR"/>
    <s v="DILLON A AD ANNA DILLON"/>
    <x v="0"/>
    <x v="1"/>
    <n v="6743.88"/>
    <x v="1"/>
    <m/>
    <m/>
  </r>
  <r>
    <d v="2025-01-02T00:00:00"/>
    <s v="CR"/>
    <s v="Frank Dianne FRANK"/>
    <x v="0"/>
    <x v="1"/>
    <n v="6773.88"/>
    <x v="1"/>
    <m/>
    <m/>
  </r>
  <r>
    <d v="2025-01-02T00:00:00"/>
    <s v="CR"/>
    <s v="FULLJAMES P A C"/>
    <x v="0"/>
    <x v="1"/>
    <n v="6803.88"/>
    <x v="1"/>
    <m/>
    <m/>
  </r>
  <r>
    <d v="2025-01-02T00:00:00"/>
    <s v="CR"/>
    <s v="GLOVER S &amp; C"/>
    <x v="0"/>
    <x v="3"/>
    <n v="6828.88"/>
    <x v="1"/>
    <m/>
    <m/>
  </r>
  <r>
    <d v="2025-01-02T00:00:00"/>
    <s v="CR"/>
    <s v="PAKEMAN HC MRS GCQHELEN PAKEMAN"/>
    <x v="0"/>
    <x v="1"/>
    <n v="6858.88"/>
    <x v="1"/>
    <m/>
    <m/>
  </r>
  <r>
    <d v="2025-01-02T00:00:00"/>
    <s v="CR"/>
    <s v="COCKBURN PB+D COCKBURN PB+D"/>
    <x v="0"/>
    <x v="1"/>
    <n v="6888.88"/>
    <x v="1"/>
    <m/>
    <m/>
  </r>
  <r>
    <d v="2025-01-02T00:00:00"/>
    <s v="CR"/>
    <s v="KENNER R E"/>
    <x v="0"/>
    <x v="1"/>
    <n v="6918.88"/>
    <x v="1"/>
    <m/>
    <m/>
  </r>
  <r>
    <d v="2025-01-02T00:00:00"/>
    <s v="CR"/>
    <s v="BASS SMB &amp; CA AUTOCHRISTINE BASS"/>
    <x v="0"/>
    <x v="1"/>
    <n v="6948.88"/>
    <x v="1"/>
    <m/>
    <m/>
  </r>
  <r>
    <d v="2025-01-02T00:00:00"/>
    <s v="CR"/>
    <s v="Bayton Mavis DR MAVIS BAYTON"/>
    <x v="0"/>
    <x v="1"/>
    <n v="6978.88"/>
    <x v="1"/>
    <m/>
    <m/>
  </r>
  <r>
    <d v="2025-01-02T00:00:00"/>
    <s v="CR"/>
    <s v="MRS SUSAN J WHEELESJ WHEELER"/>
    <x v="0"/>
    <x v="1"/>
    <n v="7008.88"/>
    <x v="1"/>
    <m/>
    <m/>
  </r>
  <r>
    <d v="2025-01-02T00:00:00"/>
    <s v="CR"/>
    <s v="BALMER J A"/>
    <x v="0"/>
    <x v="1"/>
    <n v="7038.88"/>
    <x v="1"/>
    <m/>
    <m/>
  </r>
  <r>
    <d v="2025-01-02T00:00:00"/>
    <s v="CR"/>
    <s v="J COLCHESTER JILL COLCHESTER"/>
    <x v="0"/>
    <x v="1"/>
    <n v="7068.88"/>
    <x v="1"/>
    <m/>
    <m/>
  </r>
  <r>
    <d v="2025-01-02T00:00:00"/>
    <s v="CR"/>
    <s v="C H JONES"/>
    <x v="0"/>
    <x v="1"/>
    <n v="7098.88"/>
    <x v="1"/>
    <m/>
    <m/>
  </r>
  <r>
    <d v="2025-01-02T00:00:00"/>
    <s v="CR"/>
    <s v="P J FARLEY"/>
    <x v="0"/>
    <x v="1"/>
    <n v="7128.88"/>
    <x v="1"/>
    <m/>
    <m/>
  </r>
  <r>
    <d v="2025-01-02T00:00:00"/>
    <s v="CR"/>
    <s v="WOOTTON A GNY F WOOTTON"/>
    <x v="0"/>
    <x v="1"/>
    <n v="7158.88"/>
    <x v="1"/>
    <m/>
    <m/>
  </r>
  <r>
    <d v="2025-01-02T00:00:00"/>
    <s v="CR"/>
    <s v="C KING CAROLINE KING OAS"/>
    <x v="0"/>
    <x v="1"/>
    <n v="7188.88"/>
    <x v="1"/>
    <m/>
    <m/>
  </r>
  <r>
    <d v="2025-01-02T00:00:00"/>
    <s v="CR"/>
    <s v="PENNY T WD0 F PENNY"/>
    <x v="0"/>
    <x v="1"/>
    <n v="7218.88"/>
    <x v="1"/>
    <m/>
    <m/>
  </r>
  <r>
    <d v="2025-01-02T00:00:00"/>
    <s v="CR"/>
    <s v="R FORD RON FORD"/>
    <x v="0"/>
    <x v="1"/>
    <n v="7248.88"/>
    <x v="1"/>
    <m/>
    <m/>
  </r>
  <r>
    <d v="2025-01-02T00:00:00"/>
    <s v="CR"/>
    <s v="MILBURN D. MILBURN"/>
    <x v="0"/>
    <x v="1"/>
    <n v="7278.88"/>
    <x v="1"/>
    <m/>
    <m/>
  </r>
  <r>
    <d v="2025-01-02T00:00:00"/>
    <s v="CR"/>
    <s v="GORAYSKA B 1B7 F GORAYSKA"/>
    <x v="0"/>
    <x v="1"/>
    <n v="7308.88"/>
    <x v="1"/>
    <m/>
    <m/>
  </r>
  <r>
    <d v="2025-01-02T00:00:00"/>
    <s v="CR"/>
    <s v="STEPHEN J S2X F STEPHEN"/>
    <x v="0"/>
    <x v="1"/>
    <n v="7338.88"/>
    <x v="1"/>
    <m/>
    <m/>
  </r>
  <r>
    <d v="2025-01-02T00:00:00"/>
    <s v="CR"/>
    <s v="ORT J DG0 F ORT"/>
    <x v="0"/>
    <x v="1"/>
    <n v="7368.88"/>
    <x v="1"/>
    <m/>
    <m/>
  </r>
  <r>
    <d v="2025-01-02T00:00:00"/>
    <s v="CR"/>
    <s v="LINDISFARNE JOK F LINDISFARNE"/>
    <x v="0"/>
    <x v="1"/>
    <n v="7398.88"/>
    <x v="1"/>
    <m/>
    <m/>
  </r>
  <r>
    <d v="2025-01-02T00:00:00"/>
    <s v="CR"/>
    <s v="DUCKER R MY8 F DUCKER"/>
    <x v="0"/>
    <x v="1"/>
    <n v="7428.88"/>
    <x v="1"/>
    <m/>
    <m/>
  </r>
  <r>
    <d v="2025-01-02T00:00:00"/>
    <s v="CR"/>
    <s v="B JONES BEVERLEY JONES SUB"/>
    <x v="0"/>
    <x v="1"/>
    <n v="7458.88"/>
    <x v="1"/>
    <m/>
    <m/>
  </r>
  <r>
    <d v="2025-01-02T00:00:00"/>
    <s v="CR"/>
    <s v="ALAN BERMAN"/>
    <x v="0"/>
    <x v="1"/>
    <n v="7488.88"/>
    <x v="1"/>
    <m/>
    <m/>
  </r>
  <r>
    <d v="2025-01-02T00:00:00"/>
    <s v="CR"/>
    <s v="R J COON"/>
    <x v="0"/>
    <x v="1"/>
    <n v="7518.88"/>
    <x v="1"/>
    <m/>
    <m/>
  </r>
  <r>
    <d v="2025-01-02T00:00:00"/>
    <s v="CR"/>
    <s v="H F KING"/>
    <x v="0"/>
    <x v="1"/>
    <n v="7548.88"/>
    <x v="1"/>
    <m/>
    <m/>
  </r>
  <r>
    <d v="2025-01-02T00:00:00"/>
    <s v="CR"/>
    <s v="HOLLAND M FGE F HOLLAND"/>
    <x v="0"/>
    <x v="1"/>
    <n v="7578.88"/>
    <x v="1"/>
    <m/>
    <m/>
  </r>
  <r>
    <d v="2025-01-02T00:00:00"/>
    <s v="CR"/>
    <s v="C DAVIES ANNUAL SUBS"/>
    <x v="0"/>
    <x v="1"/>
    <n v="7608.88"/>
    <x v="1"/>
    <m/>
    <m/>
  </r>
  <r>
    <d v="2025-01-02T00:00:00"/>
    <s v="CR"/>
    <s v="SOSKIES A. SOSKIES"/>
    <x v="0"/>
    <x v="1"/>
    <n v="7638.88"/>
    <x v="1"/>
    <m/>
    <m/>
  </r>
  <r>
    <d v="2025-01-02T00:00:00"/>
    <s v="CR"/>
    <s v="LINE K VUB F LINE"/>
    <x v="0"/>
    <x v="1"/>
    <n v="7668.88"/>
    <x v="1"/>
    <m/>
    <m/>
  </r>
  <r>
    <d v="2025-01-02T00:00:00"/>
    <s v="CR"/>
    <s v="MRS BYGOTT ANNETTE BYGOTT"/>
    <x v="0"/>
    <x v="1"/>
    <n v="7698.88"/>
    <x v="1"/>
    <m/>
    <m/>
  </r>
  <r>
    <d v="2025-01-02T00:00:00"/>
    <s v="CR"/>
    <s v="C MOORE CAROLINE MOORE"/>
    <x v="0"/>
    <x v="1"/>
    <n v="7728.88"/>
    <x v="1"/>
    <m/>
    <m/>
  </r>
  <r>
    <d v="2025-01-02T00:00:00"/>
    <s v="CR"/>
    <s v="MR GUASTALLA &amp; MS SUB"/>
    <x v="0"/>
    <x v="1"/>
    <n v="7758.88"/>
    <x v="1"/>
    <m/>
    <m/>
  </r>
  <r>
    <d v="2025-01-02T00:00:00"/>
    <s v="CR"/>
    <s v="MR ROBINSON OXFORD ART SOCIETY"/>
    <x v="0"/>
    <x v="1"/>
    <n v="7788.88"/>
    <x v="1"/>
    <m/>
    <m/>
  </r>
  <r>
    <d v="2025-01-02T00:00:00"/>
    <s v="CR"/>
    <s v="MRS NEWHOFER NEWHOFER"/>
    <x v="0"/>
    <x v="1"/>
    <n v="7818.88"/>
    <x v="1"/>
    <m/>
    <m/>
  </r>
  <r>
    <d v="2025-01-02T00:00:00"/>
    <s v="CR"/>
    <s v="MS &amp; MR BURRELL LW &amp; JO BURRELL"/>
    <x v="0"/>
    <x v="1"/>
    <n v="7848.88"/>
    <x v="1"/>
    <m/>
    <m/>
  </r>
  <r>
    <d v="2025-01-02T00:00:00"/>
    <s v="CR"/>
    <s v="MRS WATES WATES"/>
    <x v="0"/>
    <x v="1"/>
    <n v="7878.88"/>
    <x v="1"/>
    <m/>
    <m/>
  </r>
  <r>
    <d v="2025-01-02T00:00:00"/>
    <s v="CR"/>
    <s v="R PATON BECKY PATON"/>
    <x v="0"/>
    <x v="1"/>
    <n v="7908.88"/>
    <x v="1"/>
    <m/>
    <m/>
  </r>
  <r>
    <d v="2025-01-02T00:00:00"/>
    <s v="CR"/>
    <s v="Moeran Nicola NICOLA MOERAN"/>
    <x v="0"/>
    <x v="1"/>
    <n v="7938.88"/>
    <x v="1"/>
    <m/>
    <m/>
  </r>
  <r>
    <d v="2025-01-02T00:00:00"/>
    <s v="CR"/>
    <s v="K GIBBONS KAY GIBBONS"/>
    <x v="0"/>
    <x v="1"/>
    <n v="7968.88"/>
    <x v="1"/>
    <m/>
    <m/>
  </r>
  <r>
    <d v="2025-01-02T00:00:00"/>
    <s v="CR"/>
    <s v="LINES EDK F LINES"/>
    <x v="0"/>
    <x v="1"/>
    <n v="7998.88"/>
    <x v="1"/>
    <m/>
    <m/>
  </r>
  <r>
    <d v="2025-01-02T00:00:00"/>
    <s v="CR"/>
    <s v="J.P PEART S4N 1 J.P PEART"/>
    <x v="0"/>
    <x v="1"/>
    <n v="8028.88"/>
    <x v="1"/>
    <m/>
    <m/>
  </r>
  <r>
    <d v="2025-01-02T00:00:00"/>
    <s v="CR"/>
    <s v="J CONWAY J CONWAY"/>
    <x v="0"/>
    <x v="1"/>
    <n v="8058.88"/>
    <x v="1"/>
    <m/>
    <m/>
  </r>
  <r>
    <d v="2025-01-02T00:00:00"/>
    <s v="CR"/>
    <s v="KIRKMAN AJ+S KIRKMAN AJ+S"/>
    <x v="0"/>
    <x v="1"/>
    <n v="8088.88"/>
    <x v="1"/>
    <m/>
    <m/>
  </r>
  <r>
    <d v="2025-01-02T00:00:00"/>
    <s v="CR"/>
    <s v="D WILLIAMS 0NS M WILLIAMS"/>
    <x v="0"/>
    <x v="1"/>
    <n v="8118.88"/>
    <x v="1"/>
    <m/>
    <m/>
  </r>
  <r>
    <d v="2025-01-02T00:00:00"/>
    <s v="CR"/>
    <s v="MORNA RHYS MORANA RHYS"/>
    <x v="0"/>
    <x v="1"/>
    <n v="8148.88"/>
    <x v="1"/>
    <m/>
    <m/>
  </r>
  <r>
    <d v="2025-01-02T00:00:00"/>
    <s v="CR"/>
    <s v="LESTER P R ZZ"/>
    <x v="0"/>
    <x v="3"/>
    <n v="8173.88"/>
    <x v="1"/>
    <m/>
    <m/>
  </r>
  <r>
    <d v="2025-01-02T00:00:00"/>
    <s v="CR"/>
    <s v="Clutton-Brock EleaCLUTTON-BROCK"/>
    <x v="0"/>
    <x v="1"/>
    <n v="8203.880000000001"/>
    <x v="1"/>
    <m/>
    <m/>
  </r>
  <r>
    <d v="2025-01-02T00:00:00"/>
    <s v="CR"/>
    <s v="JONES D LVW F JONES"/>
    <x v="0"/>
    <x v="1"/>
    <n v="8233.880000000001"/>
    <x v="1"/>
    <m/>
    <m/>
  </r>
  <r>
    <d v="2025-01-02T00:00:00"/>
    <s v="CR"/>
    <s v="YMR ROBINSON YM"/>
    <x v="0"/>
    <x v="1"/>
    <n v="8263.880000000001"/>
    <x v="1"/>
    <m/>
    <m/>
  </r>
  <r>
    <d v="2025-01-02T00:00:00"/>
    <s v="CR"/>
    <s v="LEVELL B&amp;S"/>
    <x v="0"/>
    <x v="1"/>
    <n v="8293.880000000001"/>
    <x v="1"/>
    <m/>
    <m/>
  </r>
  <r>
    <d v="2025-01-02T00:00:00"/>
    <s v="CR"/>
    <s v="BATES A M"/>
    <x v="0"/>
    <x v="1"/>
    <n v="8323.880000000001"/>
    <x v="1"/>
    <m/>
    <m/>
  </r>
  <r>
    <d v="2025-01-02T00:00:00"/>
    <s v="CR"/>
    <s v="Laidlaw W &amp; D"/>
    <x v="0"/>
    <x v="1"/>
    <n v="8353.880000000001"/>
    <x v="1"/>
    <m/>
    <m/>
  </r>
  <r>
    <d v="2025-01-02T00:00:00"/>
    <s v="CR"/>
    <s v="SALLY WYATT SALLY WYATT"/>
    <x v="0"/>
    <x v="1"/>
    <n v="8383.880000000001"/>
    <x v="1"/>
    <m/>
    <m/>
  </r>
  <r>
    <d v="2025-01-02T00:00:00"/>
    <s v="CR"/>
    <s v="STEVE DAGGITT GREBENIK&amp;DAGGITT"/>
    <x v="0"/>
    <x v="1"/>
    <n v="8413.880000000001"/>
    <x v="1"/>
    <m/>
    <m/>
  </r>
  <r>
    <d v="2025-01-02T00:00:00"/>
    <s v="CR"/>
    <s v="ANGIE HUNT SUBS HUNT AJ"/>
    <x v="0"/>
    <x v="1"/>
    <n v="8443.880000000001"/>
    <x v="1"/>
    <m/>
    <m/>
  </r>
  <r>
    <d v="2025-01-02T00:00:00"/>
    <s v="CR"/>
    <s v="SUBSCRIPTION FENNE SKELS"/>
    <x v="0"/>
    <x v="1"/>
    <n v="8473.880000000001"/>
    <x v="1"/>
    <m/>
    <m/>
  </r>
  <r>
    <d v="2025-01-02T00:00:00"/>
    <s v="CR"/>
    <s v="WILSON W A"/>
    <x v="0"/>
    <x v="1"/>
    <n v="8503.880000000001"/>
    <x v="1"/>
    <m/>
    <m/>
  </r>
  <r>
    <d v="2025-01-02T00:00:00"/>
    <s v="CR"/>
    <s v="SANDH C&amp;I"/>
    <x v="0"/>
    <x v="3"/>
    <n v="8528.880000000001"/>
    <x v="1"/>
    <m/>
    <m/>
  </r>
  <r>
    <d v="2025-01-02T00:00:00"/>
    <s v="CR"/>
    <s v="COLE E A"/>
    <x v="0"/>
    <x v="3"/>
    <n v="8553.880000000001"/>
    <x v="1"/>
    <m/>
    <m/>
  </r>
  <r>
    <d v="2025-01-02T00:00:00"/>
    <s v="CR"/>
    <s v="CULLEN F SHAKESPEARE F"/>
    <x v="0"/>
    <x v="1"/>
    <n v="8583.880000000001"/>
    <x v="1"/>
    <m/>
    <m/>
  </r>
  <r>
    <d v="2025-01-02T00:00:00"/>
    <s v="CR"/>
    <s v="JENNYFAYART"/>
    <x v="0"/>
    <x v="1"/>
    <n v="8613.880000000001"/>
    <x v="1"/>
    <m/>
    <m/>
  </r>
  <r>
    <d v="2025-01-02T00:00:00"/>
    <s v="CR"/>
    <s v="WATERS S G"/>
    <x v="0"/>
    <x v="3"/>
    <n v="8638.880000000001"/>
    <x v="1"/>
    <m/>
    <m/>
  </r>
  <r>
    <d v="2025-01-02T00:00:00"/>
    <s v="CR"/>
    <s v="KIRBY TESSA KIRBY T"/>
    <x v="0"/>
    <x v="1"/>
    <n v="8668.880000000001"/>
    <x v="1"/>
    <m/>
    <m/>
  </r>
  <r>
    <d v="2025-01-02T00:00:00"/>
    <s v="CR"/>
    <s v="JAMES HAMILT"/>
    <x v="0"/>
    <x v="1"/>
    <n v="8698.880000000001"/>
    <x v="1"/>
    <m/>
    <m/>
  </r>
  <r>
    <d v="2025-01-02T00:00:00"/>
    <s v="CR"/>
    <s v="W S-SMITH SO8 1 W SKINNER-SMITH"/>
    <x v="0"/>
    <x v="4"/>
    <n v="8733.880000000001"/>
    <x v="1"/>
    <m/>
    <m/>
  </r>
  <r>
    <d v="2025-01-02T00:00:00"/>
    <s v="CR"/>
    <s v="BUTLER A. BUTLER"/>
    <x v="0"/>
    <x v="1"/>
    <n v="8763.880000000001"/>
    <x v="1"/>
    <m/>
    <m/>
  </r>
  <r>
    <d v="2025-01-02T00:00:00"/>
    <s v="CR"/>
    <s v="J STROTHER"/>
    <x v="0"/>
    <x v="1"/>
    <n v="8793.880000000001"/>
    <x v="1"/>
    <m/>
    <m/>
  </r>
  <r>
    <d v="2025-01-02T00:00:00"/>
    <s v="CR"/>
    <s v="Hinchliffe Antony HINCHLIFFE"/>
    <x v="0"/>
    <x v="1"/>
    <n v="8823.880000000001"/>
    <x v="1"/>
    <m/>
    <m/>
  </r>
  <r>
    <d v="2025-01-02T00:00:00"/>
    <s v="CR"/>
    <s v="FLUDRA A &amp; L CP"/>
    <x v="0"/>
    <x v="1"/>
    <n v="8853.880000000001"/>
    <x v="1"/>
    <m/>
    <m/>
  </r>
  <r>
    <d v="2025-01-02T00:00:00"/>
    <s v="CR"/>
    <s v="MRS FERN STRANGE"/>
    <x v="0"/>
    <x v="1"/>
    <n v="8883.880000000001"/>
    <x v="1"/>
    <m/>
    <m/>
  </r>
  <r>
    <d v="2025-01-02T00:00:00"/>
    <s v="CR"/>
    <s v="SELHURST MM MANDY SELHURST"/>
    <x v="0"/>
    <x v="1"/>
    <n v="8913.880000000001"/>
    <x v="1"/>
    <m/>
    <m/>
  </r>
  <r>
    <d v="2025-01-02T00:00:00"/>
    <s v="CR"/>
    <s v="SELHURST MM SELHURST"/>
    <x v="0"/>
    <x v="1"/>
    <n v="8943.880000000001"/>
    <x v="1"/>
    <m/>
    <m/>
  </r>
  <r>
    <d v="2025-01-02T00:00:00"/>
    <s v="CR"/>
    <s v="J COOPER FASTER PAYMENT"/>
    <x v="0"/>
    <x v="1"/>
    <n v="8973.880000000001"/>
    <x v="1"/>
    <m/>
    <m/>
  </r>
  <r>
    <d v="2025-01-02T00:00:00"/>
    <s v="CR"/>
    <s v="Anna Lever N140590"/>
    <x v="0"/>
    <x v="1"/>
    <n v="9003.880000000001"/>
    <x v="1"/>
    <m/>
    <m/>
  </r>
  <r>
    <d v="2025-01-02T00:00:00"/>
    <s v="CR"/>
    <s v="SAMPSON JS &amp; JM PPJOHN SAMPSON"/>
    <x v="0"/>
    <x v="1"/>
    <n v="9033.880000000001"/>
    <x v="1"/>
    <m/>
    <m/>
  </r>
  <r>
    <d v="2025-01-02T00:00:00"/>
    <s v="CR"/>
    <s v="MR PHILIP S VAINKEPHILIP VAINKER"/>
    <x v="0"/>
    <x v="1"/>
    <n v="9063.880000000001"/>
    <x v="1"/>
    <m/>
    <m/>
  </r>
  <r>
    <d v="2025-01-02T00:00:00"/>
    <s v="CR"/>
    <s v="MS AMY F GLEES OASGLEES"/>
    <x v="0"/>
    <x v="1"/>
    <n v="9093.880000000001"/>
    <x v="1"/>
    <m/>
    <m/>
  </r>
  <r>
    <d v="2025-01-02T00:00:00"/>
    <s v="CR"/>
    <s v="JOHN MCALOON MCALOON PA"/>
    <x v="0"/>
    <x v="1"/>
    <n v="9123.880000000001"/>
    <x v="1"/>
    <m/>
    <m/>
  </r>
  <r>
    <d v="2025-01-02T00:00:00"/>
    <s v="CR"/>
    <s v="ANGELA RADCLIFFE ms a radcliffe"/>
    <x v="0"/>
    <x v="1"/>
    <n v="9153.880000000001"/>
    <x v="1"/>
    <m/>
    <m/>
  </r>
  <r>
    <d v="2025-01-02T00:00:00"/>
    <s v="CR"/>
    <s v="Robinson Mary MARY ROBINSON"/>
    <x v="0"/>
    <x v="1"/>
    <n v="9183.880000000001"/>
    <x v="1"/>
    <m/>
    <m/>
  </r>
  <r>
    <d v="2025-01-02T00:00:00"/>
    <s v="CR"/>
    <s v="L ROWE"/>
    <x v="0"/>
    <x v="1"/>
    <n v="9213.880000000001"/>
    <x v="1"/>
    <m/>
    <m/>
  </r>
  <r>
    <d v="2025-01-02T00:00:00"/>
    <s v="CR"/>
    <s v="Thompson Marc MR M H THOMPSOM"/>
    <x v="0"/>
    <x v="1"/>
    <n v="9243.880000000001"/>
    <x v="1"/>
    <m/>
    <m/>
  </r>
  <r>
    <d v="2025-01-02T00:00:00"/>
    <s v="CR"/>
    <s v="Side Richard SUE SIDE"/>
    <x v="0"/>
    <x v="1"/>
    <n v="9273.880000000001"/>
    <x v="1"/>
    <m/>
    <m/>
  </r>
  <r>
    <d v="2025-01-02T00:00:00"/>
    <s v="CR"/>
    <s v="Anuk Naumann FASTER PAYMENT"/>
    <x v="0"/>
    <x v="1"/>
    <n v="9303.880000000001"/>
    <x v="1"/>
    <m/>
    <m/>
  </r>
  <r>
    <d v="2025-01-02T00:00:00"/>
    <s v="CR"/>
    <s v="A KESTNER ALAN KESTNER SUBS"/>
    <x v="0"/>
    <x v="1"/>
    <n v="9333.880000000001"/>
    <x v="1"/>
    <m/>
    <m/>
  </r>
  <r>
    <d v="2025-01-02T00:00:00"/>
    <s v="CR"/>
    <s v="BEVAN A. BEVAN"/>
    <x v="0"/>
    <x v="1"/>
    <n v="9363.880000000001"/>
    <x v="1"/>
    <m/>
    <m/>
  </r>
  <r>
    <d v="2025-01-02T00:00:00"/>
    <s v="CR"/>
    <s v="Pretorius DiederikDIRK PRETORIUS"/>
    <x v="0"/>
    <x v="1"/>
    <n v="9393.880000000001"/>
    <x v="1"/>
    <m/>
    <m/>
  </r>
  <r>
    <d v="2025-01-02T00:00:00"/>
    <s v="CR"/>
    <s v="Bell Elizabeth"/>
    <x v="0"/>
    <x v="1"/>
    <n v="9423.880000000001"/>
    <x v="1"/>
    <m/>
    <m/>
  </r>
  <r>
    <d v="2025-01-02T00:00:00"/>
    <s v="CR"/>
    <s v="Williams Elaine HSBC OAS"/>
    <x v="0"/>
    <x v="1"/>
    <n v="9453.880000000001"/>
    <x v="1"/>
    <m/>
    <m/>
  </r>
  <r>
    <d v="2025-01-02T00:00:00"/>
    <s v="CR"/>
    <s v="CLAIRE DRINKWATER DRINKWATER"/>
    <x v="0"/>
    <x v="1"/>
    <n v="9483.880000000001"/>
    <x v="1"/>
    <m/>
    <m/>
  </r>
  <r>
    <d v="2025-01-02T00:00:00"/>
    <s v="CR"/>
    <s v="E R WHEELER LIZZIEWHEELER"/>
    <x v="0"/>
    <x v="1"/>
    <n v="9513.88000000000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4C6AF-BBF5-4640-ADF2-7DFBCF4D5BF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numFmtId="15" showAll="0"/>
    <pivotField showAll="0"/>
    <pivotField showAll="0"/>
    <pivotField dataField="1" showAll="0">
      <items count="2">
        <item x="0"/>
        <item t="default"/>
      </items>
    </pivotField>
    <pivotField dataField="1" showAll="0">
      <items count="6">
        <item x="3"/>
        <item x="1"/>
        <item x="4"/>
        <item x="2"/>
        <item x="0"/>
        <item t="default"/>
      </items>
    </pivotField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2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m="1" x="3"/>
        <item m="1" x="17"/>
        <item m="1" x="6"/>
        <item m="1" x="18"/>
        <item m="1" x="13"/>
        <item m="1" x="20"/>
        <item m="1" x="21"/>
        <item m="1" x="10"/>
        <item m="1" x="15"/>
        <item m="1" x="12"/>
        <item m="1" x="14"/>
        <item m="1" x="9"/>
        <item m="1" x="16"/>
        <item m="1" x="4"/>
        <item m="1" x="2"/>
        <item m="1" x="5"/>
        <item m="1" x="19"/>
        <item x="0"/>
        <item m="1" x="7"/>
        <item m="1" x="22"/>
        <item m="1" x="25"/>
        <item m="1" x="23"/>
        <item m="1" x="8"/>
        <item m="1" x="24"/>
        <item m="1" x="11"/>
        <item x="1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showAll="0"/>
  </pivotFields>
  <rowFields count="1">
    <field x="6"/>
  </rowFields>
  <rowItems count="3">
    <i>
      <x v="17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7">
        <item m="1" x="3"/>
        <item m="1" x="17"/>
        <item m="1" x="6"/>
        <item m="1" x="18"/>
        <item m="1" x="13"/>
        <item m="1" x="20"/>
        <item m="1" x="21"/>
        <item m="1" x="10"/>
        <item m="1" x="15"/>
        <item m="1" x="12"/>
        <item m="1" x="14"/>
        <item m="1" x="9"/>
        <item m="1" x="16"/>
        <item m="1" x="4"/>
        <item m="1" x="2"/>
        <item m="1" x="5"/>
        <item m="1" x="19"/>
        <item x="0"/>
        <item m="1" x="7"/>
        <item m="1" x="22"/>
        <item m="1" x="25"/>
        <item m="1" x="23"/>
        <item m="1" x="8"/>
        <item m="1" x="24"/>
        <item m="1" x="11"/>
        <item x="1"/>
        <item t="default"/>
      </items>
    </pivotField>
    <pivotField axis="axisPage" showAll="0">
      <items count="4">
        <item m="1" x="1"/>
        <item m="1" x="2"/>
        <item x="0"/>
        <item t="default"/>
      </items>
    </pivotField>
    <pivotField showAll="0"/>
  </pivotFields>
  <rowFields count="1">
    <field x="6"/>
  </rowFields>
  <rowItems count="3">
    <i>
      <x v="17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V35"/>
  <sheetViews>
    <sheetView topLeftCell="E1" zoomScale="90" zoomScaleNormal="90" workbookViewId="0">
      <selection activeCell="O24" sqref="O24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21" ht="14" x14ac:dyDescent="0.3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 t="s">
        <v>288</v>
      </c>
      <c r="K1" s="14"/>
      <c r="L1" s="14"/>
      <c r="M1" s="14"/>
      <c r="N1" s="14"/>
      <c r="O1" s="14"/>
    </row>
    <row r="2" spans="1:21" x14ac:dyDescent="0.3">
      <c r="A2" s="15"/>
      <c r="B2" s="15" t="s">
        <v>50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51</v>
      </c>
      <c r="M2" s="15"/>
      <c r="N2" s="15"/>
      <c r="O2" s="15"/>
    </row>
    <row r="3" spans="1:21" x14ac:dyDescent="0.3">
      <c r="A3" s="16" t="s">
        <v>52</v>
      </c>
      <c r="B3" s="17"/>
      <c r="C3" s="17"/>
      <c r="D3" s="17"/>
      <c r="E3" s="16" t="s">
        <v>53</v>
      </c>
      <c r="F3" s="17"/>
      <c r="G3" s="17"/>
      <c r="H3" s="17"/>
      <c r="I3" s="16" t="s">
        <v>52</v>
      </c>
      <c r="J3" s="17"/>
      <c r="K3" s="17"/>
      <c r="L3" s="17"/>
      <c r="M3" s="16" t="s">
        <v>53</v>
      </c>
      <c r="N3" s="17"/>
      <c r="O3" s="17"/>
    </row>
    <row r="4" spans="1:21" x14ac:dyDescent="0.3">
      <c r="A4" s="16" t="s">
        <v>54</v>
      </c>
      <c r="B4" s="17"/>
      <c r="C4" s="18"/>
      <c r="D4" s="18"/>
      <c r="E4" s="18"/>
      <c r="F4" s="18"/>
      <c r="G4" s="18"/>
      <c r="H4" s="18"/>
      <c r="I4" s="18" t="s">
        <v>55</v>
      </c>
      <c r="J4" s="18"/>
      <c r="K4" s="36">
        <f>SUMIF('Current account'!G2:G400, "Subs", 'Current account'!E2:E400)</f>
        <v>0</v>
      </c>
      <c r="L4" s="18"/>
      <c r="M4" s="18" t="s">
        <v>79</v>
      </c>
      <c r="N4" s="18"/>
      <c r="O4" s="36">
        <f>SUMIF('Current account'!G2:G400,"Prof Fees",'Current account'!D2:D400)</f>
        <v>0</v>
      </c>
      <c r="R4" s="5" t="s">
        <v>0</v>
      </c>
      <c r="S4" s="13">
        <f>[1]Main!D360</f>
        <v>0</v>
      </c>
      <c r="T4" s="22">
        <f>K4</f>
        <v>0</v>
      </c>
    </row>
    <row r="5" spans="1:21" x14ac:dyDescent="0.3">
      <c r="A5" s="17" t="s">
        <v>2</v>
      </c>
      <c r="B5" s="17" t="s">
        <v>163</v>
      </c>
      <c r="C5" s="36" t="e">
        <f>GETPIVOTDATA("Sum of Income",Exhibitions!$A$3,"Category","Sales cr")</f>
        <v>#REF!</v>
      </c>
      <c r="D5" s="18"/>
      <c r="E5" s="18" t="s">
        <v>10</v>
      </c>
      <c r="F5" s="36" t="e">
        <f>GETPIVOTDATA("Sum of Expenditure",Exhibitions!$A$3,"Category","Prizes")</f>
        <v>#REF!</v>
      </c>
      <c r="G5" s="18"/>
      <c r="H5" s="18"/>
      <c r="I5" s="18" t="s">
        <v>287</v>
      </c>
      <c r="J5" s="18"/>
      <c r="K5" s="36">
        <f>SUMIF('Current account'!G2:G400, "Subs 2025", 'Current account'!E2:E400)</f>
        <v>3863.94</v>
      </c>
      <c r="L5" s="18"/>
      <c r="M5" s="18" t="s">
        <v>117</v>
      </c>
      <c r="N5" s="18"/>
      <c r="O5" s="36">
        <f>SUMIF('Current account'!G2:G400,"AGM",'Current account'!D2:D400)</f>
        <v>0</v>
      </c>
      <c r="P5" s="22"/>
      <c r="R5" s="5" t="s">
        <v>1</v>
      </c>
      <c r="S5" s="13">
        <f>[1]Main!E360</f>
        <v>0</v>
      </c>
      <c r="T5" s="22" t="e">
        <f>C12+C27</f>
        <v>#REF!</v>
      </c>
    </row>
    <row r="6" spans="1:21" x14ac:dyDescent="0.3">
      <c r="A6" s="17" t="s">
        <v>57</v>
      </c>
      <c r="B6" s="17"/>
      <c r="C6" s="39" t="e">
        <f>GETPIVOTDATA("Sum of Expenditure",Exhibitions!$A$3,"Category","Sales db")</f>
        <v>#REF!</v>
      </c>
      <c r="D6" s="18"/>
      <c r="E6" s="18" t="s">
        <v>198</v>
      </c>
      <c r="F6" s="36" t="e">
        <f>GETPIVOTDATA("Sum of Expenditure",Exhibitions!$A$3,"Category","Website manager's fee")</f>
        <v>#REF!</v>
      </c>
      <c r="G6" s="18"/>
      <c r="H6" s="18"/>
      <c r="I6" s="18" t="s">
        <v>285</v>
      </c>
      <c r="J6" s="18"/>
      <c r="K6" s="36">
        <f>SUMIF('Current account'!G2:G400, "Other income", 'Current account'!D2:D400)</f>
        <v>0</v>
      </c>
      <c r="L6" s="18"/>
      <c r="M6" s="18" t="s">
        <v>56</v>
      </c>
      <c r="N6" s="18"/>
      <c r="O6" s="36">
        <f>SUMIF('Current account'!G2:G400,"Gifts",'Current account'!D2:D400)</f>
        <v>0</v>
      </c>
      <c r="R6" s="5" t="s">
        <v>2</v>
      </c>
      <c r="S6" s="13">
        <f>[1]Main!F360-[1]Main!L360</f>
        <v>0</v>
      </c>
      <c r="T6" s="22" t="e">
        <f>C7+C22+K9</f>
        <v>#REF!</v>
      </c>
      <c r="U6" s="13" t="e">
        <f>S6-T6</f>
        <v>#REF!</v>
      </c>
    </row>
    <row r="7" spans="1:21" x14ac:dyDescent="0.3">
      <c r="A7" s="17"/>
      <c r="B7" s="17"/>
      <c r="C7" s="36" t="e">
        <f>C5-C6</f>
        <v>#REF!</v>
      </c>
      <c r="D7" s="23"/>
      <c r="E7" s="18" t="s">
        <v>77</v>
      </c>
      <c r="F7" s="36" t="e">
        <f>GETPIVOTDATA("Sum of Expenditure",Exhibitions!$A$3,"Category","Exhibition organisers fees")</f>
        <v>#REF!</v>
      </c>
      <c r="G7" s="18"/>
      <c r="H7" s="18"/>
      <c r="I7" s="18" t="s">
        <v>58</v>
      </c>
      <c r="J7" s="18"/>
      <c r="K7" s="36">
        <f>SUMIF('Savings account'!G2:G15, "Interest", 'Savings account'!E2:E15)</f>
        <v>0</v>
      </c>
      <c r="L7" s="18"/>
      <c r="M7" s="18" t="s">
        <v>59</v>
      </c>
      <c r="N7" s="18"/>
      <c r="O7" s="36">
        <f>SUMIF('Current account'!G2:G400,"Admin",'Current account'!D2:D400)+SUMIF('Current account'!G2:G400, "Other expenses", 'Current account'!D2:D400)</f>
        <v>0</v>
      </c>
      <c r="R7" s="5" t="s">
        <v>81</v>
      </c>
      <c r="S7" s="13">
        <f>[1]Main!I360</f>
        <v>0</v>
      </c>
    </row>
    <row r="8" spans="1:21" x14ac:dyDescent="0.3">
      <c r="C8" s="38"/>
      <c r="D8" s="18"/>
      <c r="E8" s="18" t="s">
        <v>60</v>
      </c>
      <c r="F8" s="36" t="e">
        <f>GETPIVOTDATA("Sum of Expenditure",Exhibitions!$A$3,"Category","Venue hire")</f>
        <v>#REF!</v>
      </c>
      <c r="G8" s="18"/>
      <c r="H8" s="18"/>
      <c r="I8" s="18"/>
      <c r="J8" s="18"/>
      <c r="K8" s="18"/>
      <c r="L8" s="18"/>
      <c r="M8" s="18" t="s">
        <v>61</v>
      </c>
      <c r="N8" s="18"/>
      <c r="O8" s="36">
        <f ca="1">SUMIF('Current account'!G2:G400,"Website",'Current account'!D2:D40)</f>
        <v>0</v>
      </c>
      <c r="S8" s="13">
        <f>SUM(S4:S6)</f>
        <v>0</v>
      </c>
      <c r="T8" s="13" t="e">
        <f>SUM(T4:T6)</f>
        <v>#REF!</v>
      </c>
      <c r="U8" s="22" t="e">
        <f>K4+K9+C16+C31</f>
        <v>#REF!</v>
      </c>
    </row>
    <row r="9" spans="1:21" x14ac:dyDescent="0.3">
      <c r="A9" s="17" t="s">
        <v>162</v>
      </c>
      <c r="B9" s="17"/>
      <c r="C9" s="36" t="e">
        <f>GETPIVOTDATA("Sum of Income",Exhibitions!$A$3,"Category","Bar sales")</f>
        <v>#REF!</v>
      </c>
      <c r="D9" s="18"/>
      <c r="E9" s="18" t="s">
        <v>62</v>
      </c>
      <c r="F9" s="36" t="e">
        <f>GETPIVOTDATA("Sum of Expenditure",Exhibitions!$A$3,"Category","Publicity")</f>
        <v>#REF!</v>
      </c>
      <c r="G9" s="18"/>
      <c r="H9" s="18"/>
      <c r="I9" s="18"/>
      <c r="J9" s="18"/>
      <c r="K9" s="18"/>
      <c r="L9" s="18"/>
      <c r="M9" s="18" t="s">
        <v>63</v>
      </c>
      <c r="N9" s="18"/>
      <c r="O9" s="36">
        <f>SUMIF('Current account'!G2:G400, "Insurance", 'Current account'!D2:D400)</f>
        <v>0</v>
      </c>
    </row>
    <row r="10" spans="1:21" x14ac:dyDescent="0.3">
      <c r="A10" s="17" t="s">
        <v>286</v>
      </c>
      <c r="B10" s="17"/>
      <c r="C10" s="36" t="e">
        <f>GETPIVOTDATA("Sum of Income",Exhibitions!$A$3,"Category","Donations cr")</f>
        <v>#REF!</v>
      </c>
      <c r="D10" s="18"/>
      <c r="E10" s="18" t="s">
        <v>5</v>
      </c>
      <c r="F10" s="36" t="e">
        <f>GETPIVOTDATA("Sum of Expenditure",Exhibitions!$A$3,"Category","Refunds")</f>
        <v>#REF!</v>
      </c>
      <c r="G10" s="18"/>
      <c r="H10" s="18"/>
      <c r="I10" s="18"/>
      <c r="J10" s="18"/>
      <c r="K10" s="18"/>
      <c r="L10" s="18"/>
      <c r="M10" s="18" t="s">
        <v>3</v>
      </c>
      <c r="N10" s="18"/>
      <c r="O10" s="36">
        <f>SUMIF('Current account'!G2:G400, "Donations db", 'Current account'!D2:D400)</f>
        <v>0</v>
      </c>
      <c r="R10" s="5" t="s">
        <v>5</v>
      </c>
    </row>
    <row r="11" spans="1:21" x14ac:dyDescent="0.3">
      <c r="A11" s="17"/>
      <c r="B11" s="17"/>
      <c r="C11" s="36"/>
      <c r="D11" s="18"/>
      <c r="E11" s="18" t="s">
        <v>285</v>
      </c>
      <c r="F11" s="36">
        <v>0</v>
      </c>
      <c r="G11" s="18"/>
      <c r="H11" s="18"/>
      <c r="I11" s="18" t="s">
        <v>65</v>
      </c>
      <c r="J11" s="18"/>
      <c r="K11" s="36" t="e">
        <f>F34</f>
        <v>#REF!</v>
      </c>
      <c r="L11" s="18"/>
      <c r="M11" s="18" t="s">
        <v>64</v>
      </c>
      <c r="N11" s="18"/>
      <c r="O11" s="36">
        <v>0</v>
      </c>
      <c r="R11" s="5" t="s">
        <v>15</v>
      </c>
      <c r="S11" s="13">
        <f>[1]Main!K360</f>
        <v>0</v>
      </c>
      <c r="T11" s="22">
        <f>O11+F11+F26</f>
        <v>0</v>
      </c>
    </row>
    <row r="12" spans="1:21" x14ac:dyDescent="0.3">
      <c r="A12" s="17" t="s">
        <v>66</v>
      </c>
      <c r="B12" s="17" t="s">
        <v>85</v>
      </c>
      <c r="C12" s="36" t="e">
        <f>GETPIVOTDATA("Sum of Income",Exhibitions!$A$3,"Category","Submissions")</f>
        <v>#REF!</v>
      </c>
      <c r="D12" s="18"/>
      <c r="E12" s="18"/>
      <c r="F12" s="36" t="e">
        <f>SUM(F5:F11)</f>
        <v>#REF!</v>
      </c>
      <c r="G12" s="18"/>
      <c r="H12" s="18"/>
      <c r="I12" s="18"/>
      <c r="J12" s="18"/>
      <c r="K12" s="18"/>
      <c r="L12" s="18"/>
      <c r="M12" s="18" t="s">
        <v>76</v>
      </c>
      <c r="N12" s="18"/>
      <c r="O12" s="36">
        <v>0</v>
      </c>
    </row>
    <row r="13" spans="1:21" x14ac:dyDescent="0.3">
      <c r="A13" s="17"/>
      <c r="B13" s="17"/>
      <c r="C13" s="18"/>
      <c r="D13" s="18"/>
      <c r="E13" s="18"/>
      <c r="F13" s="36"/>
      <c r="G13" s="18"/>
      <c r="H13" s="18"/>
      <c r="I13" s="18"/>
      <c r="J13" s="18"/>
      <c r="K13" s="18"/>
      <c r="L13" s="18"/>
      <c r="M13" s="18" t="s">
        <v>5</v>
      </c>
      <c r="N13" s="18"/>
      <c r="O13" s="37"/>
      <c r="R13" s="5" t="s">
        <v>6</v>
      </c>
      <c r="S13" s="13">
        <f>[1]Main!M360</f>
        <v>750</v>
      </c>
      <c r="T13" s="22">
        <f>SUM(O5:O7,O9:O10)+O12</f>
        <v>0</v>
      </c>
    </row>
    <row r="14" spans="1:21" x14ac:dyDescent="0.3">
      <c r="A14" s="17"/>
      <c r="B14" s="17"/>
      <c r="C14" s="18"/>
      <c r="D14" s="18"/>
      <c r="E14" s="18" t="s">
        <v>67</v>
      </c>
      <c r="F14" s="36" t="e">
        <f>C16-F12</f>
        <v>#REF!</v>
      </c>
      <c r="G14" s="18"/>
      <c r="H14" s="18"/>
      <c r="I14" s="18"/>
      <c r="J14" s="18"/>
      <c r="K14" s="19" t="s">
        <v>68</v>
      </c>
      <c r="L14" s="18"/>
      <c r="R14" s="5" t="s">
        <v>7</v>
      </c>
      <c r="S14" s="13">
        <f>[1]Main!N360</f>
        <v>0</v>
      </c>
      <c r="T14" s="9">
        <f ca="1">O8</f>
        <v>0</v>
      </c>
    </row>
    <row r="15" spans="1:21" x14ac:dyDescent="0.3">
      <c r="A15" s="17"/>
      <c r="B15" s="17"/>
      <c r="D15" s="18"/>
      <c r="E15" s="18"/>
      <c r="F15" s="36"/>
      <c r="G15" s="18"/>
      <c r="H15" s="18"/>
      <c r="I15" s="18"/>
      <c r="J15" s="18"/>
      <c r="K15" s="36" t="e">
        <f>SUM(K4:K11)</f>
        <v>#REF!</v>
      </c>
      <c r="L15" s="18"/>
      <c r="M15" s="18"/>
      <c r="N15" s="18"/>
      <c r="O15" s="36">
        <f ca="1">SUM(O4:O13)</f>
        <v>0</v>
      </c>
      <c r="R15" s="5" t="s">
        <v>8</v>
      </c>
      <c r="S15" s="13">
        <f>[1]Main!O360</f>
        <v>0</v>
      </c>
      <c r="T15" s="22">
        <f>O4</f>
        <v>0</v>
      </c>
    </row>
    <row r="16" spans="1:21" ht="13.5" thickBot="1" x14ac:dyDescent="0.35">
      <c r="A16" s="17"/>
      <c r="B16" s="17"/>
      <c r="C16" s="35" t="e">
        <f>SUM(C7:C12)</f>
        <v>#REF!</v>
      </c>
      <c r="D16" s="18"/>
      <c r="E16" s="18"/>
      <c r="F16" s="35" t="e">
        <f>F12+F14</f>
        <v>#REF!</v>
      </c>
      <c r="G16" s="18"/>
      <c r="H16" s="18"/>
      <c r="I16" s="18"/>
      <c r="J16" s="18"/>
      <c r="K16" s="18"/>
      <c r="L16" s="18"/>
      <c r="M16" s="18"/>
      <c r="N16" s="18"/>
      <c r="O16" s="18"/>
      <c r="R16" s="5" t="s">
        <v>9</v>
      </c>
    </row>
    <row r="17" spans="1:22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69</v>
      </c>
      <c r="N17" s="18"/>
      <c r="O17" s="36" t="e">
        <f ca="1">K15-O15</f>
        <v>#REF!</v>
      </c>
      <c r="P17" s="22"/>
      <c r="R17" s="5" t="s">
        <v>3</v>
      </c>
      <c r="S17" s="13">
        <f>[1]Main!Q360</f>
        <v>0</v>
      </c>
      <c r="T17" s="22" t="e">
        <f>#REF!</f>
        <v>#REF!</v>
      </c>
    </row>
    <row r="18" spans="1:22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R18" s="5" t="s">
        <v>4</v>
      </c>
      <c r="S18" s="13">
        <f>[1]Main!R360-[1]Main!H360</f>
        <v>0</v>
      </c>
      <c r="T18" s="9" t="e">
        <f>SUM(F6:F9,F22:F25)</f>
        <v>#REF!</v>
      </c>
      <c r="U18" s="13" t="e">
        <f>S18-T18</f>
        <v>#REF!</v>
      </c>
    </row>
    <row r="19" spans="1:22" ht="13.5" thickBot="1" x14ac:dyDescent="0.35">
      <c r="A19" s="16" t="s">
        <v>84</v>
      </c>
      <c r="B19" s="17"/>
      <c r="C19" s="18"/>
      <c r="D19" s="18"/>
      <c r="E19" s="18"/>
      <c r="F19" s="18"/>
      <c r="G19" s="18"/>
      <c r="H19" s="18"/>
      <c r="I19" s="18"/>
      <c r="J19" s="18"/>
      <c r="K19" s="35" t="e">
        <f>K15</f>
        <v>#REF!</v>
      </c>
      <c r="L19" s="18"/>
      <c r="M19" s="18"/>
      <c r="N19" s="18"/>
      <c r="O19" s="35" t="e">
        <f ca="1">O15+O17</f>
        <v>#REF!</v>
      </c>
      <c r="R19" s="5" t="s">
        <v>10</v>
      </c>
      <c r="S19" s="13">
        <f>[1]Main!S360</f>
        <v>0</v>
      </c>
      <c r="T19" s="22" t="e">
        <f>F5+F21</f>
        <v>#REF!</v>
      </c>
    </row>
    <row r="20" spans="1:22" ht="13.5" thickTop="1" x14ac:dyDescent="0.3">
      <c r="A20" s="17" t="s">
        <v>2</v>
      </c>
      <c r="B20" s="17" t="s">
        <v>196</v>
      </c>
      <c r="C20" s="29" t="e">
        <f>GETPIVOTDATA("Sum of Income",Exhibitions!$A$19,"Category","Sales cr")</f>
        <v>#REF!</v>
      </c>
      <c r="D20" s="18"/>
      <c r="E20" s="18" t="s">
        <v>285</v>
      </c>
      <c r="F20" s="36"/>
      <c r="G20" s="18"/>
      <c r="H20" s="18"/>
      <c r="I20" s="18"/>
      <c r="J20" s="18"/>
      <c r="K20" s="18"/>
      <c r="L20" s="18"/>
      <c r="M20" s="18"/>
      <c r="N20" s="18"/>
      <c r="O20" s="18"/>
    </row>
    <row r="21" spans="1:22" x14ac:dyDescent="0.3">
      <c r="A21" s="17" t="s">
        <v>57</v>
      </c>
      <c r="B21" s="17"/>
      <c r="C21" s="29" t="e">
        <f>GETPIVOTDATA("Sum of Expenditure",Exhibitions!$A$19,"Category","Sales db")</f>
        <v>#REF!</v>
      </c>
      <c r="D21" s="18"/>
      <c r="E21" s="18" t="s">
        <v>10</v>
      </c>
      <c r="F21" s="36"/>
      <c r="G21" s="18"/>
      <c r="H21" s="18"/>
      <c r="I21" s="18"/>
      <c r="J21" s="18"/>
      <c r="K21" s="18"/>
      <c r="L21" s="20" t="s">
        <v>70</v>
      </c>
      <c r="M21" s="18"/>
      <c r="N21" s="18"/>
      <c r="O21" s="18"/>
      <c r="S21" s="5">
        <f>SUM(S10:S19)</f>
        <v>750</v>
      </c>
      <c r="T21" s="5" t="e">
        <f ca="1">SUM(T10:T19)</f>
        <v>#REF!</v>
      </c>
      <c r="U21" s="22" t="e">
        <f ca="1">O15+F12+F27</f>
        <v>#REF!</v>
      </c>
      <c r="V21" s="22" t="e">
        <f ca="1">S21-U21</f>
        <v>#REF!</v>
      </c>
    </row>
    <row r="22" spans="1:22" x14ac:dyDescent="0.3">
      <c r="A22" s="17"/>
      <c r="B22" s="17"/>
      <c r="C22" s="36" t="e">
        <f>C20-C21</f>
        <v>#REF!</v>
      </c>
      <c r="D22" s="18"/>
      <c r="E22" s="18" t="s">
        <v>198</v>
      </c>
      <c r="F22" s="36"/>
      <c r="G22" s="18"/>
      <c r="H22" s="18"/>
      <c r="I22" s="20" t="s">
        <v>78</v>
      </c>
      <c r="J22" s="18"/>
      <c r="K22" s="18"/>
      <c r="L22" s="18"/>
      <c r="M22" s="20" t="s">
        <v>284</v>
      </c>
      <c r="N22" s="18"/>
      <c r="O22" s="18"/>
    </row>
    <row r="23" spans="1:22" x14ac:dyDescent="0.3">
      <c r="A23" s="17"/>
      <c r="B23" s="17"/>
      <c r="C23" s="36"/>
      <c r="D23" s="18"/>
      <c r="E23" s="18" t="s">
        <v>77</v>
      </c>
      <c r="F23" s="36"/>
      <c r="G23" s="18"/>
      <c r="H23" s="18"/>
      <c r="I23" s="18" t="s">
        <v>71</v>
      </c>
      <c r="J23" s="18"/>
      <c r="K23" s="36">
        <f>'Savings account'!F2+Main!T2</f>
        <v>28500.73</v>
      </c>
      <c r="L23" s="18"/>
      <c r="M23" s="18" t="s">
        <v>71</v>
      </c>
      <c r="N23" s="18"/>
      <c r="O23" s="36">
        <f>'Savings account'!F15+'Current account'!F400</f>
        <v>0</v>
      </c>
      <c r="S23" s="13">
        <f>SUM(S4:S6)-SUM(S10:S19)</f>
        <v>-750</v>
      </c>
      <c r="T23" s="13" t="e">
        <f ca="1">SUM(T4:T6)-SUM(T10:T19)</f>
        <v>#REF!</v>
      </c>
      <c r="U23" s="13" t="e">
        <f ca="1">S23-T23</f>
        <v>#REF!</v>
      </c>
    </row>
    <row r="24" spans="1:22" x14ac:dyDescent="0.3">
      <c r="A24" s="17"/>
      <c r="B24" s="17"/>
      <c r="C24" s="36"/>
      <c r="D24" s="18"/>
      <c r="E24" s="18" t="s">
        <v>60</v>
      </c>
      <c r="F24" s="36"/>
      <c r="G24" s="18"/>
      <c r="H24" s="18"/>
      <c r="I24" s="18"/>
      <c r="J24" s="18"/>
      <c r="K24" s="19"/>
      <c r="L24" s="18"/>
      <c r="M24" s="18"/>
      <c r="N24" s="18"/>
      <c r="O24" s="18"/>
    </row>
    <row r="25" spans="1:22" x14ac:dyDescent="0.3">
      <c r="A25" s="17" t="s">
        <v>162</v>
      </c>
      <c r="B25" s="17"/>
      <c r="C25" s="29" t="e">
        <f>GETPIVOTDATA("Sum of Income",Exhibitions!$A$19,"Category","Bar sales")</f>
        <v>#REF!</v>
      </c>
      <c r="D25" s="18"/>
      <c r="E25" s="18" t="s">
        <v>62</v>
      </c>
      <c r="F25" s="36"/>
      <c r="G25" s="18"/>
      <c r="H25" s="18"/>
      <c r="I25" s="18"/>
      <c r="J25" s="18"/>
      <c r="K25" s="36">
        <f>K23</f>
        <v>28500.73</v>
      </c>
      <c r="L25" s="18"/>
      <c r="M25" s="18"/>
      <c r="N25" s="18"/>
      <c r="O25" s="18"/>
    </row>
    <row r="26" spans="1:22" x14ac:dyDescent="0.3">
      <c r="A26" s="17"/>
      <c r="B26" s="17"/>
      <c r="C26" s="36"/>
      <c r="D26" s="18"/>
      <c r="E26" s="18" t="s">
        <v>5</v>
      </c>
      <c r="F26" s="36"/>
      <c r="G26" s="18"/>
      <c r="H26" s="18"/>
      <c r="I26" s="18"/>
      <c r="J26" s="18"/>
      <c r="K26" s="18"/>
      <c r="L26" s="18"/>
      <c r="M26" s="18"/>
      <c r="N26" s="18"/>
      <c r="O26" s="18"/>
    </row>
    <row r="27" spans="1:22" x14ac:dyDescent="0.3">
      <c r="A27" s="17" t="s">
        <v>66</v>
      </c>
      <c r="B27" s="17" t="s">
        <v>197</v>
      </c>
      <c r="C27" s="29" t="e">
        <f>GETPIVOTDATA("Sum of Income",Exhibitions!$A$19,"Category","Submissions")</f>
        <v>#REF!</v>
      </c>
      <c r="D27" s="18"/>
      <c r="E27" s="18"/>
      <c r="F27" s="36">
        <f>SUM(F20:F26)</f>
        <v>0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22" x14ac:dyDescent="0.3">
      <c r="A28" s="17"/>
      <c r="B28" s="17"/>
      <c r="C28" s="18"/>
      <c r="D28" s="18"/>
      <c r="E28" s="18"/>
      <c r="F28" s="18"/>
      <c r="G28" s="18"/>
      <c r="H28" s="18"/>
      <c r="I28" s="18" t="s">
        <v>69</v>
      </c>
      <c r="J28" s="18"/>
      <c r="K28" s="36" t="e">
        <f ca="1">O17</f>
        <v>#REF!</v>
      </c>
      <c r="L28" s="18"/>
      <c r="M28" s="18"/>
      <c r="N28" s="18"/>
      <c r="O28" s="18"/>
    </row>
    <row r="29" spans="1:22" x14ac:dyDescent="0.3">
      <c r="A29" s="17"/>
      <c r="B29" s="17"/>
      <c r="C29" s="18"/>
      <c r="D29" s="18"/>
      <c r="E29" s="18" t="s">
        <v>67</v>
      </c>
      <c r="F29" s="36" t="e">
        <f>C31-F27</f>
        <v>#REF!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35" t="e">
        <f ca="1">K25+K28</f>
        <v>#REF!</v>
      </c>
      <c r="L30" s="18"/>
      <c r="M30" s="18"/>
      <c r="N30" s="18"/>
      <c r="O30" s="35">
        <f>O23</f>
        <v>0</v>
      </c>
    </row>
    <row r="31" spans="1:22" ht="14" thickTop="1" thickBot="1" x14ac:dyDescent="0.35">
      <c r="C31" s="35" t="e">
        <f>SUM(C22:C27)</f>
        <v>#REF!</v>
      </c>
      <c r="E31" s="18"/>
      <c r="F31" s="35" t="e">
        <f>F27+F29</f>
        <v>#REF!</v>
      </c>
    </row>
    <row r="32" spans="1:22" ht="13.5" thickTop="1" x14ac:dyDescent="0.3"/>
    <row r="33" spans="1:6" x14ac:dyDescent="0.3">
      <c r="B33" s="17"/>
      <c r="C33" s="18"/>
      <c r="D33" s="18"/>
    </row>
    <row r="34" spans="1:6" ht="13.5" thickBot="1" x14ac:dyDescent="0.35">
      <c r="A34" s="15" t="s">
        <v>72</v>
      </c>
      <c r="E34" s="18"/>
      <c r="F34" s="34" t="e">
        <f>F29+F14</f>
        <v>#REF!</v>
      </c>
    </row>
    <row r="35" spans="1:6" ht="13.5" thickTop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477"/>
  <sheetViews>
    <sheetView topLeftCell="M1" workbookViewId="0">
      <selection activeCell="S2" sqref="S2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37</v>
      </c>
      <c r="B1" t="s">
        <v>86</v>
      </c>
      <c r="C1" t="s">
        <v>42</v>
      </c>
      <c r="D1" t="s">
        <v>87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36</v>
      </c>
      <c r="L1" t="s">
        <v>43</v>
      </c>
      <c r="M1" t="s">
        <v>149</v>
      </c>
      <c r="N1" t="s">
        <v>180</v>
      </c>
      <c r="O1" t="s">
        <v>150</v>
      </c>
      <c r="P1" t="s">
        <v>151</v>
      </c>
      <c r="Q1" t="s">
        <v>152</v>
      </c>
      <c r="R1" t="s">
        <v>153</v>
      </c>
      <c r="S1" t="s">
        <v>135</v>
      </c>
      <c r="T1" t="s">
        <v>136</v>
      </c>
      <c r="U1" t="s">
        <v>137</v>
      </c>
      <c r="V1" t="s">
        <v>138</v>
      </c>
      <c r="W1" t="s">
        <v>74</v>
      </c>
    </row>
    <row r="2" spans="1:23" x14ac:dyDescent="0.25">
      <c r="A2" t="s">
        <v>601</v>
      </c>
      <c r="B2" s="6">
        <v>45660.622824074075</v>
      </c>
      <c r="C2">
        <v>30</v>
      </c>
      <c r="D2">
        <v>0</v>
      </c>
      <c r="E2" t="s">
        <v>181</v>
      </c>
      <c r="F2" t="b">
        <v>1</v>
      </c>
      <c r="G2">
        <v>30</v>
      </c>
      <c r="H2">
        <v>0</v>
      </c>
      <c r="I2" t="s">
        <v>181</v>
      </c>
      <c r="K2" t="s">
        <v>88</v>
      </c>
      <c r="L2">
        <v>0.77</v>
      </c>
      <c r="N2" t="s">
        <v>182</v>
      </c>
      <c r="O2" t="s">
        <v>154</v>
      </c>
      <c r="P2" t="s">
        <v>155</v>
      </c>
      <c r="Q2">
        <v>0</v>
      </c>
      <c r="R2" t="s">
        <v>159</v>
      </c>
      <c r="S2" t="s">
        <v>145</v>
      </c>
      <c r="T2" t="s">
        <v>34</v>
      </c>
      <c r="U2" t="s">
        <v>146</v>
      </c>
      <c r="V2" t="s">
        <v>602</v>
      </c>
    </row>
    <row r="3" spans="1:23" x14ac:dyDescent="0.25">
      <c r="A3" t="s">
        <v>603</v>
      </c>
      <c r="B3" s="6">
        <v>45660.54855324074</v>
      </c>
      <c r="C3">
        <v>30</v>
      </c>
      <c r="D3">
        <v>0</v>
      </c>
      <c r="E3" t="s">
        <v>181</v>
      </c>
      <c r="F3" t="b">
        <v>1</v>
      </c>
      <c r="G3">
        <v>30</v>
      </c>
      <c r="H3">
        <v>0</v>
      </c>
      <c r="I3" t="s">
        <v>181</v>
      </c>
      <c r="K3" t="s">
        <v>604</v>
      </c>
      <c r="L3">
        <v>0.95</v>
      </c>
      <c r="N3" t="s">
        <v>182</v>
      </c>
      <c r="O3" t="s">
        <v>154</v>
      </c>
      <c r="P3" t="s">
        <v>155</v>
      </c>
      <c r="Q3">
        <v>0</v>
      </c>
      <c r="R3" t="s">
        <v>605</v>
      </c>
      <c r="S3" t="s">
        <v>147</v>
      </c>
      <c r="T3" t="s">
        <v>92</v>
      </c>
      <c r="U3" t="s">
        <v>148</v>
      </c>
      <c r="V3" t="s">
        <v>606</v>
      </c>
    </row>
    <row r="4" spans="1:23" x14ac:dyDescent="0.25">
      <c r="A4" t="s">
        <v>607</v>
      </c>
      <c r="B4" s="6">
        <v>45659.742245370369</v>
      </c>
      <c r="C4">
        <v>30</v>
      </c>
      <c r="D4">
        <v>0</v>
      </c>
      <c r="E4" t="s">
        <v>181</v>
      </c>
      <c r="F4" t="b">
        <v>1</v>
      </c>
      <c r="G4">
        <v>30</v>
      </c>
      <c r="H4">
        <v>0</v>
      </c>
      <c r="I4" t="s">
        <v>181</v>
      </c>
      <c r="K4" t="s">
        <v>88</v>
      </c>
      <c r="L4">
        <v>0.65</v>
      </c>
      <c r="N4" t="s">
        <v>182</v>
      </c>
      <c r="O4" t="s">
        <v>154</v>
      </c>
      <c r="P4" t="s">
        <v>155</v>
      </c>
      <c r="Q4">
        <v>0</v>
      </c>
      <c r="R4" t="s">
        <v>157</v>
      </c>
      <c r="S4" t="s">
        <v>141</v>
      </c>
      <c r="T4" t="s">
        <v>41</v>
      </c>
      <c r="U4" t="s">
        <v>142</v>
      </c>
      <c r="V4" t="s">
        <v>608</v>
      </c>
    </row>
    <row r="5" spans="1:23" x14ac:dyDescent="0.25">
      <c r="A5" t="s">
        <v>609</v>
      </c>
      <c r="B5" s="6">
        <v>45659.735844907409</v>
      </c>
      <c r="C5">
        <v>30</v>
      </c>
      <c r="D5">
        <v>0</v>
      </c>
      <c r="E5" t="s">
        <v>181</v>
      </c>
      <c r="F5" t="b">
        <v>1</v>
      </c>
      <c r="G5">
        <v>30</v>
      </c>
      <c r="H5">
        <v>0</v>
      </c>
      <c r="I5" t="s">
        <v>181</v>
      </c>
      <c r="K5" t="s">
        <v>88</v>
      </c>
      <c r="L5">
        <v>0.65</v>
      </c>
      <c r="N5" t="s">
        <v>182</v>
      </c>
      <c r="O5" t="s">
        <v>154</v>
      </c>
      <c r="P5" t="s">
        <v>155</v>
      </c>
      <c r="Q5">
        <v>0</v>
      </c>
      <c r="R5" t="s">
        <v>158</v>
      </c>
      <c r="S5" t="s">
        <v>143</v>
      </c>
      <c r="T5" t="s">
        <v>35</v>
      </c>
      <c r="U5" t="s">
        <v>144</v>
      </c>
      <c r="V5" t="s">
        <v>610</v>
      </c>
    </row>
    <row r="6" spans="1:23" x14ac:dyDescent="0.25">
      <c r="A6" t="s">
        <v>611</v>
      </c>
      <c r="B6" s="6">
        <v>45659.561307870368</v>
      </c>
      <c r="C6">
        <v>30</v>
      </c>
      <c r="D6">
        <v>0</v>
      </c>
      <c r="E6" t="s">
        <v>181</v>
      </c>
      <c r="F6" t="b">
        <v>1</v>
      </c>
      <c r="G6">
        <v>30</v>
      </c>
      <c r="H6">
        <v>0</v>
      </c>
      <c r="I6" t="s">
        <v>181</v>
      </c>
      <c r="K6" t="s">
        <v>88</v>
      </c>
      <c r="L6">
        <v>0.65</v>
      </c>
      <c r="N6" t="s">
        <v>182</v>
      </c>
      <c r="O6" t="s">
        <v>154</v>
      </c>
      <c r="P6" t="s">
        <v>155</v>
      </c>
      <c r="Q6">
        <v>0</v>
      </c>
      <c r="R6" t="s">
        <v>156</v>
      </c>
      <c r="S6" t="s">
        <v>139</v>
      </c>
      <c r="T6" t="s">
        <v>89</v>
      </c>
      <c r="U6" t="s">
        <v>140</v>
      </c>
      <c r="V6" t="s">
        <v>612</v>
      </c>
    </row>
    <row r="7" spans="1:23" x14ac:dyDescent="0.25">
      <c r="B7" s="6"/>
    </row>
    <row r="8" spans="1:23" x14ac:dyDescent="0.25">
      <c r="B8" s="6"/>
    </row>
    <row r="9" spans="1:23" x14ac:dyDescent="0.25">
      <c r="B9" s="6"/>
    </row>
    <row r="10" spans="1:23" x14ac:dyDescent="0.25">
      <c r="B10" s="6"/>
    </row>
    <row r="11" spans="1:23" x14ac:dyDescent="0.25">
      <c r="B11" s="6"/>
    </row>
    <row r="12" spans="1:23" x14ac:dyDescent="0.25">
      <c r="B12" s="6"/>
    </row>
    <row r="13" spans="1:23" x14ac:dyDescent="0.25">
      <c r="B13" s="6"/>
    </row>
    <row r="14" spans="1:23" x14ac:dyDescent="0.25">
      <c r="B14" s="6"/>
    </row>
    <row r="15" spans="1:23" x14ac:dyDescent="0.25">
      <c r="B15" s="6"/>
    </row>
    <row r="16" spans="1:23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</sheetData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A1"/>
      <c r="B1"/>
      <c r="C1" t="s">
        <v>104</v>
      </c>
      <c r="D1" t="s">
        <v>105</v>
      </c>
      <c r="E1" t="s">
        <v>106</v>
      </c>
      <c r="F1"/>
    </row>
    <row r="2" spans="1:26" x14ac:dyDescent="0.3">
      <c r="A2" t="s">
        <v>107</v>
      </c>
      <c r="B2" t="s">
        <v>108</v>
      </c>
      <c r="C2" s="29">
        <v>120</v>
      </c>
      <c r="D2" s="29">
        <f>0.25*C2</f>
        <v>30</v>
      </c>
      <c r="E2" s="29">
        <f>C2-D2</f>
        <v>90</v>
      </c>
      <c r="F2" t="s">
        <v>109</v>
      </c>
      <c r="I2" s="10"/>
      <c r="O2" s="9"/>
      <c r="P2" s="8"/>
      <c r="Q2" s="9"/>
      <c r="R2" s="8"/>
      <c r="S2" s="9"/>
      <c r="U2" s="12"/>
      <c r="Z2" s="21" t="e">
        <f t="shared" ref="Z2:Z23" si="0">S2/G2</f>
        <v>#DIV/0!</v>
      </c>
    </row>
    <row r="3" spans="1:26" x14ac:dyDescent="0.3">
      <c r="A3" t="s">
        <v>110</v>
      </c>
      <c r="B3" t="s">
        <v>111</v>
      </c>
      <c r="C3" s="29">
        <v>155</v>
      </c>
      <c r="D3" s="29">
        <f t="shared" ref="D3:D13" si="1">0.25*C3</f>
        <v>38.75</v>
      </c>
      <c r="E3" s="29">
        <f t="shared" ref="E3:E13" si="2">C3-D3</f>
        <v>116.25</v>
      </c>
      <c r="F3" t="s">
        <v>109</v>
      </c>
      <c r="O3" s="9"/>
      <c r="P3" s="8"/>
      <c r="Q3" s="9"/>
      <c r="R3" s="8"/>
      <c r="S3" s="9"/>
      <c r="U3" s="11"/>
      <c r="X3" s="13">
        <f>Q3-N21</f>
        <v>0</v>
      </c>
      <c r="Z3" s="21" t="e">
        <f t="shared" si="0"/>
        <v>#DIV/0!</v>
      </c>
    </row>
    <row r="4" spans="1:26" x14ac:dyDescent="0.3">
      <c r="A4" t="s">
        <v>110</v>
      </c>
      <c r="B4" t="s">
        <v>111</v>
      </c>
      <c r="C4" s="29">
        <v>155</v>
      </c>
      <c r="D4" s="29">
        <f t="shared" si="1"/>
        <v>38.75</v>
      </c>
      <c r="E4" s="29">
        <f t="shared" si="2"/>
        <v>116.25</v>
      </c>
      <c r="F4" t="s">
        <v>109</v>
      </c>
      <c r="O4" s="9"/>
      <c r="P4" s="8"/>
      <c r="Q4" s="9"/>
      <c r="S4" s="9"/>
      <c r="U4" s="12"/>
      <c r="Z4" s="21" t="e">
        <f t="shared" si="0"/>
        <v>#DIV/0!</v>
      </c>
    </row>
    <row r="5" spans="1:26" x14ac:dyDescent="0.3">
      <c r="A5" t="s">
        <v>112</v>
      </c>
      <c r="B5" t="s">
        <v>32</v>
      </c>
      <c r="C5" s="29">
        <v>175</v>
      </c>
      <c r="D5" s="29">
        <f t="shared" si="1"/>
        <v>43.75</v>
      </c>
      <c r="E5" s="29">
        <f t="shared" si="2"/>
        <v>131.25</v>
      </c>
      <c r="F5" t="s">
        <v>109</v>
      </c>
      <c r="O5" s="9"/>
      <c r="P5" s="8"/>
      <c r="Q5" s="9"/>
      <c r="S5" s="9"/>
      <c r="U5" s="11"/>
      <c r="Z5" s="21" t="e">
        <f t="shared" si="0"/>
        <v>#DIV/0!</v>
      </c>
    </row>
    <row r="6" spans="1:26" x14ac:dyDescent="0.3">
      <c r="A6" t="s">
        <v>18</v>
      </c>
      <c r="B6" t="s">
        <v>19</v>
      </c>
      <c r="C6" s="29">
        <v>250</v>
      </c>
      <c r="D6" s="29">
        <f t="shared" si="1"/>
        <v>62.5</v>
      </c>
      <c r="E6" s="29">
        <f t="shared" si="2"/>
        <v>187.5</v>
      </c>
      <c r="F6" t="s">
        <v>109</v>
      </c>
      <c r="O6" s="9"/>
      <c r="P6" s="8"/>
      <c r="Q6" s="9"/>
      <c r="R6" s="8"/>
      <c r="S6" s="9"/>
      <c r="U6" s="12"/>
      <c r="Z6" s="21" t="e">
        <f t="shared" si="0"/>
        <v>#DIV/0!</v>
      </c>
    </row>
    <row r="7" spans="1:26" x14ac:dyDescent="0.3">
      <c r="A7" t="s">
        <v>113</v>
      </c>
      <c r="B7" t="s">
        <v>16</v>
      </c>
      <c r="C7" s="29">
        <v>295</v>
      </c>
      <c r="D7" s="29">
        <f t="shared" si="1"/>
        <v>73.75</v>
      </c>
      <c r="E7" s="29">
        <f t="shared" si="2"/>
        <v>221.25</v>
      </c>
      <c r="F7" t="s">
        <v>109</v>
      </c>
      <c r="O7" s="9"/>
      <c r="P7" s="8"/>
      <c r="Q7" s="9"/>
      <c r="R7" s="8"/>
      <c r="S7" s="9"/>
      <c r="U7" s="11"/>
      <c r="Z7" s="21" t="e">
        <f t="shared" si="0"/>
        <v>#DIV/0!</v>
      </c>
    </row>
    <row r="8" spans="1:26" x14ac:dyDescent="0.3">
      <c r="A8" t="s">
        <v>22</v>
      </c>
      <c r="B8" t="s">
        <v>23</v>
      </c>
      <c r="C8" s="29">
        <v>295</v>
      </c>
      <c r="D8" s="29">
        <f t="shared" si="1"/>
        <v>73.75</v>
      </c>
      <c r="E8" s="29">
        <f t="shared" si="2"/>
        <v>221.25</v>
      </c>
      <c r="F8" t="s">
        <v>109</v>
      </c>
      <c r="O8" s="9"/>
      <c r="P8" s="8"/>
      <c r="Q8" s="9"/>
      <c r="R8" s="8"/>
      <c r="S8" s="9"/>
      <c r="U8" s="11"/>
      <c r="Z8" s="21" t="e">
        <f t="shared" si="0"/>
        <v>#DIV/0!</v>
      </c>
    </row>
    <row r="9" spans="1:26" x14ac:dyDescent="0.3">
      <c r="A9" t="s">
        <v>27</v>
      </c>
      <c r="B9" t="s">
        <v>33</v>
      </c>
      <c r="C9" s="29">
        <v>330</v>
      </c>
      <c r="D9" s="29">
        <f t="shared" si="1"/>
        <v>82.5</v>
      </c>
      <c r="E9" s="29">
        <f t="shared" si="2"/>
        <v>247.5</v>
      </c>
      <c r="F9" t="s">
        <v>109</v>
      </c>
      <c r="O9" s="9"/>
      <c r="P9" s="8"/>
      <c r="Q9" s="9"/>
      <c r="R9" s="8"/>
      <c r="S9" s="9"/>
      <c r="U9" s="11"/>
      <c r="Z9" s="21" t="e">
        <f t="shared" si="0"/>
        <v>#DIV/0!</v>
      </c>
    </row>
    <row r="10" spans="1:26" x14ac:dyDescent="0.3">
      <c r="A10" t="s">
        <v>44</v>
      </c>
      <c r="B10" t="s">
        <v>45</v>
      </c>
      <c r="C10" s="29">
        <v>350</v>
      </c>
      <c r="D10" s="29">
        <f t="shared" si="1"/>
        <v>87.5</v>
      </c>
      <c r="E10" s="29">
        <f t="shared" si="2"/>
        <v>262.5</v>
      </c>
      <c r="F10" t="s">
        <v>109</v>
      </c>
      <c r="O10" s="9"/>
      <c r="P10" s="8"/>
      <c r="Q10" s="9"/>
      <c r="R10" s="8"/>
      <c r="S10" s="9"/>
      <c r="U10" s="11"/>
      <c r="Z10" s="21" t="e">
        <f t="shared" si="0"/>
        <v>#DIV/0!</v>
      </c>
    </row>
    <row r="11" spans="1:26" x14ac:dyDescent="0.3">
      <c r="A11" t="s">
        <v>24</v>
      </c>
      <c r="B11" t="s">
        <v>25</v>
      </c>
      <c r="C11" s="29">
        <v>380</v>
      </c>
      <c r="D11" s="29">
        <f t="shared" si="1"/>
        <v>95</v>
      </c>
      <c r="E11" s="29">
        <f t="shared" si="2"/>
        <v>285</v>
      </c>
      <c r="F11" t="s">
        <v>109</v>
      </c>
      <c r="O11" s="9"/>
      <c r="P11" s="8"/>
      <c r="Q11" s="9"/>
      <c r="R11" s="8"/>
      <c r="S11" s="9"/>
      <c r="U11" s="11"/>
      <c r="Z11" s="21" t="e">
        <f t="shared" si="0"/>
        <v>#DIV/0!</v>
      </c>
    </row>
    <row r="12" spans="1:26" x14ac:dyDescent="0.3">
      <c r="A12" t="s">
        <v>29</v>
      </c>
      <c r="B12" t="s">
        <v>30</v>
      </c>
      <c r="C12" s="29">
        <v>425</v>
      </c>
      <c r="D12" s="29">
        <f t="shared" si="1"/>
        <v>106.25</v>
      </c>
      <c r="E12" s="29">
        <f t="shared" si="2"/>
        <v>318.75</v>
      </c>
      <c r="F12" t="s">
        <v>109</v>
      </c>
      <c r="O12" s="9"/>
      <c r="P12" s="8"/>
      <c r="Q12" s="9"/>
      <c r="R12" s="8"/>
      <c r="S12" s="9"/>
      <c r="U12" s="11"/>
      <c r="Z12" s="21" t="e">
        <f t="shared" si="0"/>
        <v>#DIV/0!</v>
      </c>
    </row>
    <row r="13" spans="1:26" x14ac:dyDescent="0.3">
      <c r="A13" t="s">
        <v>46</v>
      </c>
      <c r="B13" t="s">
        <v>47</v>
      </c>
      <c r="C13" s="29">
        <v>580</v>
      </c>
      <c r="D13" s="29">
        <f t="shared" si="1"/>
        <v>145</v>
      </c>
      <c r="E13" s="29">
        <f t="shared" si="2"/>
        <v>435</v>
      </c>
      <c r="F13" t="s">
        <v>109</v>
      </c>
      <c r="O13" s="9"/>
      <c r="P13" s="8"/>
      <c r="Q13" s="9"/>
      <c r="R13" s="8"/>
      <c r="S13" s="9"/>
      <c r="U13" s="11"/>
      <c r="Z13" s="21" t="e">
        <f t="shared" si="0"/>
        <v>#DIV/0!</v>
      </c>
    </row>
    <row r="14" spans="1:26" x14ac:dyDescent="0.3">
      <c r="A14" t="s">
        <v>114</v>
      </c>
      <c r="B14"/>
      <c r="C14" s="29">
        <f>SUM(C2:C13)</f>
        <v>3510</v>
      </c>
      <c r="D14" s="29">
        <f t="shared" ref="D14:E14" si="3">SUM(D2:D13)</f>
        <v>877.5</v>
      </c>
      <c r="E14" s="29">
        <f t="shared" si="3"/>
        <v>2632.5</v>
      </c>
      <c r="F14"/>
      <c r="O14" s="9"/>
      <c r="P14" s="8"/>
      <c r="Q14" s="9"/>
      <c r="R14" s="8"/>
      <c r="S14" s="9"/>
      <c r="U14" s="12"/>
      <c r="Z14" s="21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1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1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1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1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1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1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1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1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1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1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1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20</v>
      </c>
      <c r="C28" t="s">
        <v>31</v>
      </c>
      <c r="D28" t="s">
        <v>38</v>
      </c>
      <c r="E28" t="s">
        <v>48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49"/>
  <sheetViews>
    <sheetView topLeftCell="A4" workbookViewId="0">
      <selection activeCell="E25" sqref="E25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1" x14ac:dyDescent="0.3">
      <c r="C1" t="s">
        <v>104</v>
      </c>
      <c r="D1" t="s">
        <v>105</v>
      </c>
      <c r="E1" t="s">
        <v>106</v>
      </c>
      <c r="F1"/>
      <c r="G1" s="5" t="s">
        <v>166</v>
      </c>
      <c r="J1" s="5" t="s">
        <v>171</v>
      </c>
    </row>
    <row r="2" spans="3:11" x14ac:dyDescent="0.3">
      <c r="C2" s="29">
        <v>250</v>
      </c>
      <c r="D2" s="29">
        <f>C2*0.25</f>
        <v>62.5</v>
      </c>
      <c r="E2" s="29">
        <f>C2-D2</f>
        <v>187.5</v>
      </c>
      <c r="F2"/>
      <c r="G2" s="31">
        <f>0.0169*C2</f>
        <v>4.2249999999999996</v>
      </c>
      <c r="H2" s="5" t="s">
        <v>168</v>
      </c>
      <c r="I2" s="32">
        <v>1.6899999999999998E-2</v>
      </c>
      <c r="J2" s="31">
        <f>C2-G2</f>
        <v>245.77500000000001</v>
      </c>
    </row>
    <row r="3" spans="3:11" x14ac:dyDescent="0.3">
      <c r="C3" s="29">
        <v>60</v>
      </c>
      <c r="D3" s="29">
        <f t="shared" ref="D3:D23" si="0">C3*0.25</f>
        <v>15</v>
      </c>
      <c r="E3" s="29">
        <f t="shared" ref="E3:E23" si="1">C3-D3</f>
        <v>45</v>
      </c>
      <c r="F3"/>
      <c r="G3" s="31">
        <f t="shared" ref="G3:G21" si="2">0.0169*C3</f>
        <v>1.0139999999999998</v>
      </c>
      <c r="H3" s="5" t="s">
        <v>168</v>
      </c>
      <c r="J3" s="31">
        <f t="shared" ref="J3:J23" si="3">C3-G3</f>
        <v>58.985999999999997</v>
      </c>
    </row>
    <row r="4" spans="3:11" x14ac:dyDescent="0.3">
      <c r="C4" s="29">
        <v>80</v>
      </c>
      <c r="D4" s="29">
        <f t="shared" si="0"/>
        <v>20</v>
      </c>
      <c r="E4" s="29">
        <f t="shared" si="1"/>
        <v>60</v>
      </c>
      <c r="F4"/>
      <c r="G4" s="31">
        <f t="shared" si="2"/>
        <v>1.3519999999999999</v>
      </c>
      <c r="H4" s="5" t="s">
        <v>168</v>
      </c>
      <c r="J4" s="31">
        <f t="shared" si="3"/>
        <v>78.647999999999996</v>
      </c>
    </row>
    <row r="5" spans="3:11" x14ac:dyDescent="0.3">
      <c r="C5" s="29">
        <v>90</v>
      </c>
      <c r="D5" s="29">
        <f t="shared" si="0"/>
        <v>22.5</v>
      </c>
      <c r="E5" s="29">
        <f t="shared" si="1"/>
        <v>67.5</v>
      </c>
      <c r="F5"/>
      <c r="G5" s="31">
        <v>0</v>
      </c>
      <c r="H5" s="5" t="s">
        <v>170</v>
      </c>
      <c r="J5" s="31">
        <f t="shared" si="3"/>
        <v>90</v>
      </c>
    </row>
    <row r="6" spans="3:11" x14ac:dyDescent="0.3">
      <c r="C6" s="29">
        <v>1195</v>
      </c>
      <c r="D6" s="29">
        <f t="shared" si="0"/>
        <v>298.75</v>
      </c>
      <c r="E6" s="29">
        <f t="shared" si="1"/>
        <v>896.25</v>
      </c>
      <c r="F6"/>
      <c r="G6" s="31">
        <f t="shared" si="2"/>
        <v>20.195499999999999</v>
      </c>
      <c r="H6" s="5" t="s">
        <v>168</v>
      </c>
      <c r="J6" s="31">
        <f t="shared" si="3"/>
        <v>1174.8045</v>
      </c>
    </row>
    <row r="7" spans="3:11" x14ac:dyDescent="0.3">
      <c r="C7" s="29">
        <v>350</v>
      </c>
      <c r="D7" s="29">
        <f t="shared" si="0"/>
        <v>87.5</v>
      </c>
      <c r="E7" s="29">
        <f t="shared" si="1"/>
        <v>262.5</v>
      </c>
      <c r="F7"/>
      <c r="G7" s="31">
        <f>0.015*C7+0.2</f>
        <v>5.45</v>
      </c>
      <c r="H7" s="5" t="s">
        <v>167</v>
      </c>
      <c r="I7" s="5" t="s">
        <v>169</v>
      </c>
      <c r="J7" s="31">
        <f t="shared" si="3"/>
        <v>344.55</v>
      </c>
    </row>
    <row r="8" spans="3:11" x14ac:dyDescent="0.3">
      <c r="C8" s="29">
        <v>465</v>
      </c>
      <c r="D8" s="29">
        <f t="shared" si="0"/>
        <v>116.25</v>
      </c>
      <c r="E8" s="29">
        <f t="shared" si="1"/>
        <v>348.75</v>
      </c>
      <c r="F8"/>
      <c r="G8" s="31">
        <f t="shared" si="2"/>
        <v>7.8584999999999994</v>
      </c>
      <c r="H8" s="5" t="s">
        <v>168</v>
      </c>
      <c r="J8" s="31">
        <f t="shared" si="3"/>
        <v>457.14150000000001</v>
      </c>
      <c r="K8" s="5" t="s">
        <v>173</v>
      </c>
    </row>
    <row r="9" spans="3:11" x14ac:dyDescent="0.3">
      <c r="C9" s="29">
        <v>300</v>
      </c>
      <c r="D9" s="29">
        <f t="shared" si="0"/>
        <v>75</v>
      </c>
      <c r="E9" s="29">
        <f t="shared" si="1"/>
        <v>225</v>
      </c>
      <c r="F9"/>
      <c r="G9" s="31">
        <f t="shared" si="2"/>
        <v>5.0699999999999994</v>
      </c>
      <c r="H9" s="5" t="s">
        <v>168</v>
      </c>
      <c r="J9" s="31">
        <f t="shared" si="3"/>
        <v>294.93</v>
      </c>
    </row>
    <row r="10" spans="3:11" x14ac:dyDescent="0.3">
      <c r="C10" s="29">
        <v>435</v>
      </c>
      <c r="D10" s="29">
        <f t="shared" si="0"/>
        <v>108.75</v>
      </c>
      <c r="E10" s="29">
        <f t="shared" si="1"/>
        <v>326.25</v>
      </c>
      <c r="F10"/>
      <c r="G10" s="31">
        <f t="shared" si="2"/>
        <v>7.3514999999999997</v>
      </c>
      <c r="H10" s="5" t="s">
        <v>168</v>
      </c>
      <c r="J10" s="31">
        <f t="shared" si="3"/>
        <v>427.64850000000001</v>
      </c>
    </row>
    <row r="11" spans="3:11" x14ac:dyDescent="0.3">
      <c r="C11" s="29">
        <v>125</v>
      </c>
      <c r="D11" s="29">
        <f t="shared" si="0"/>
        <v>31.25</v>
      </c>
      <c r="E11" s="29">
        <f t="shared" si="1"/>
        <v>93.75</v>
      </c>
      <c r="F11"/>
      <c r="G11" s="31">
        <f t="shared" si="2"/>
        <v>2.1124999999999998</v>
      </c>
      <c r="H11" s="5" t="s">
        <v>168</v>
      </c>
      <c r="J11" s="31">
        <f t="shared" si="3"/>
        <v>122.8875</v>
      </c>
    </row>
    <row r="12" spans="3:11" x14ac:dyDescent="0.3">
      <c r="C12" s="29">
        <v>130</v>
      </c>
      <c r="D12" s="29">
        <f t="shared" si="0"/>
        <v>32.5</v>
      </c>
      <c r="E12" s="29">
        <f t="shared" si="1"/>
        <v>97.5</v>
      </c>
      <c r="F12"/>
      <c r="G12" s="31">
        <f t="shared" si="2"/>
        <v>2.1969999999999996</v>
      </c>
      <c r="H12" s="5" t="s">
        <v>168</v>
      </c>
      <c r="J12" s="31">
        <f t="shared" si="3"/>
        <v>127.803</v>
      </c>
    </row>
    <row r="13" spans="3:11" x14ac:dyDescent="0.3">
      <c r="C13" s="29">
        <v>65</v>
      </c>
      <c r="D13" s="29">
        <f t="shared" si="0"/>
        <v>16.25</v>
      </c>
      <c r="E13" s="29">
        <f t="shared" si="1"/>
        <v>48.75</v>
      </c>
      <c r="F13"/>
      <c r="G13" s="31">
        <f t="shared" si="2"/>
        <v>1.0984999999999998</v>
      </c>
      <c r="H13" s="5" t="s">
        <v>168</v>
      </c>
      <c r="J13" s="31">
        <f t="shared" si="3"/>
        <v>63.901499999999999</v>
      </c>
    </row>
    <row r="14" spans="3:11" x14ac:dyDescent="0.3">
      <c r="C14" s="29">
        <v>225</v>
      </c>
      <c r="D14" s="29">
        <f t="shared" si="0"/>
        <v>56.25</v>
      </c>
      <c r="E14" s="29">
        <f t="shared" si="1"/>
        <v>168.75</v>
      </c>
      <c r="F14"/>
      <c r="G14" s="31">
        <f t="shared" si="2"/>
        <v>3.8024999999999998</v>
      </c>
      <c r="H14" s="5" t="s">
        <v>168</v>
      </c>
      <c r="J14" s="31">
        <f t="shared" si="3"/>
        <v>221.19749999999999</v>
      </c>
    </row>
    <row r="15" spans="3:11" x14ac:dyDescent="0.3">
      <c r="C15" s="29">
        <v>895</v>
      </c>
      <c r="D15" s="29">
        <f t="shared" si="0"/>
        <v>223.75</v>
      </c>
      <c r="E15" s="29">
        <f t="shared" si="1"/>
        <v>671.25</v>
      </c>
      <c r="G15" s="31">
        <f t="shared" si="2"/>
        <v>15.125499999999999</v>
      </c>
      <c r="H15" s="5" t="s">
        <v>168</v>
      </c>
      <c r="J15" s="31">
        <f t="shared" si="3"/>
        <v>879.87450000000001</v>
      </c>
    </row>
    <row r="16" spans="3:11" x14ac:dyDescent="0.3">
      <c r="C16" s="29">
        <v>3000</v>
      </c>
      <c r="D16" s="29">
        <f t="shared" si="0"/>
        <v>750</v>
      </c>
      <c r="E16" s="29">
        <f t="shared" si="1"/>
        <v>2250</v>
      </c>
      <c r="G16" s="31">
        <f t="shared" si="2"/>
        <v>50.699999999999996</v>
      </c>
      <c r="H16" s="5" t="s">
        <v>168</v>
      </c>
      <c r="J16" s="31">
        <f t="shared" si="3"/>
        <v>2949.3</v>
      </c>
    </row>
    <row r="17" spans="1:10" x14ac:dyDescent="0.3">
      <c r="C17" s="29">
        <v>295</v>
      </c>
      <c r="D17" s="29">
        <f t="shared" si="0"/>
        <v>73.75</v>
      </c>
      <c r="E17" s="29">
        <f t="shared" si="1"/>
        <v>221.25</v>
      </c>
      <c r="G17" s="31">
        <f t="shared" si="2"/>
        <v>4.9854999999999992</v>
      </c>
      <c r="H17" s="5" t="s">
        <v>168</v>
      </c>
      <c r="J17" s="31">
        <f t="shared" si="3"/>
        <v>290.0145</v>
      </c>
    </row>
    <row r="18" spans="1:10" x14ac:dyDescent="0.3">
      <c r="C18" s="29">
        <v>350</v>
      </c>
      <c r="D18" s="29">
        <f t="shared" si="0"/>
        <v>87.5</v>
      </c>
      <c r="E18" s="29">
        <f t="shared" si="1"/>
        <v>262.5</v>
      </c>
      <c r="G18" s="31">
        <f t="shared" si="2"/>
        <v>5.9149999999999991</v>
      </c>
      <c r="H18" s="5" t="s">
        <v>168</v>
      </c>
      <c r="J18" s="31">
        <f t="shared" si="3"/>
        <v>344.08499999999998</v>
      </c>
    </row>
    <row r="19" spans="1:10" x14ac:dyDescent="0.3">
      <c r="C19" s="29">
        <v>230</v>
      </c>
      <c r="D19" s="29">
        <f t="shared" si="0"/>
        <v>57.5</v>
      </c>
      <c r="E19" s="29">
        <f t="shared" si="1"/>
        <v>172.5</v>
      </c>
      <c r="G19" s="31">
        <f t="shared" si="2"/>
        <v>3.8869999999999996</v>
      </c>
      <c r="H19" s="5" t="s">
        <v>168</v>
      </c>
      <c r="J19" s="31">
        <f t="shared" si="3"/>
        <v>226.113</v>
      </c>
    </row>
    <row r="20" spans="1:10" x14ac:dyDescent="0.3">
      <c r="C20" s="29">
        <v>200</v>
      </c>
      <c r="D20" s="29">
        <f t="shared" si="0"/>
        <v>50</v>
      </c>
      <c r="E20" s="29">
        <f t="shared" si="1"/>
        <v>150</v>
      </c>
      <c r="G20" s="31">
        <f t="shared" si="2"/>
        <v>3.38</v>
      </c>
      <c r="H20" s="5" t="s">
        <v>168</v>
      </c>
      <c r="J20" s="31">
        <f t="shared" si="3"/>
        <v>196.62</v>
      </c>
    </row>
    <row r="21" spans="1:10" x14ac:dyDescent="0.3">
      <c r="C21" s="29">
        <v>275</v>
      </c>
      <c r="D21" s="29">
        <f t="shared" si="0"/>
        <v>68.75</v>
      </c>
      <c r="E21" s="29">
        <f t="shared" si="1"/>
        <v>206.25</v>
      </c>
      <c r="G21" s="31">
        <f t="shared" si="2"/>
        <v>4.6475</v>
      </c>
      <c r="H21" s="5" t="s">
        <v>168</v>
      </c>
      <c r="J21" s="31">
        <f t="shared" si="3"/>
        <v>270.35250000000002</v>
      </c>
    </row>
    <row r="22" spans="1:10" x14ac:dyDescent="0.3">
      <c r="C22" s="29">
        <v>175</v>
      </c>
      <c r="D22" s="29">
        <f t="shared" si="0"/>
        <v>43.75</v>
      </c>
      <c r="E22" s="29">
        <f t="shared" si="1"/>
        <v>131.25</v>
      </c>
      <c r="G22" s="31">
        <v>0</v>
      </c>
      <c r="H22" s="5" t="s">
        <v>195</v>
      </c>
      <c r="J22" s="31">
        <f t="shared" si="3"/>
        <v>175</v>
      </c>
    </row>
    <row r="23" spans="1:10" x14ac:dyDescent="0.3">
      <c r="C23" s="29">
        <v>180</v>
      </c>
      <c r="D23" s="29">
        <f t="shared" si="0"/>
        <v>45</v>
      </c>
      <c r="E23" s="29">
        <f t="shared" si="1"/>
        <v>135</v>
      </c>
      <c r="G23" s="31">
        <v>0</v>
      </c>
      <c r="H23" s="5" t="s">
        <v>195</v>
      </c>
      <c r="J23" s="31">
        <f t="shared" si="3"/>
        <v>180</v>
      </c>
    </row>
    <row r="24" spans="1:10" x14ac:dyDescent="0.3">
      <c r="C24" s="29"/>
      <c r="D24" s="29"/>
      <c r="E24" s="29"/>
      <c r="G24" s="31"/>
      <c r="J24" s="31"/>
    </row>
    <row r="25" spans="1:10" x14ac:dyDescent="0.3">
      <c r="A25" s="5" t="s">
        <v>164</v>
      </c>
      <c r="C25" s="31">
        <f>SUM(C2:C23)</f>
        <v>9370</v>
      </c>
      <c r="D25" s="29"/>
      <c r="E25" s="31">
        <f>SUM(E2:E23)</f>
        <v>7027.5</v>
      </c>
      <c r="G25" s="31">
        <f>SUM(G2:G23)</f>
        <v>150.36750000000001</v>
      </c>
      <c r="J25" s="31">
        <f>SUM(J2:J23)</f>
        <v>9219.6325000000015</v>
      </c>
    </row>
    <row r="26" spans="1:10" x14ac:dyDescent="0.3">
      <c r="A26" s="5" t="s">
        <v>165</v>
      </c>
      <c r="C26" s="5">
        <f>COUNT(C2:C21)+1</f>
        <v>21</v>
      </c>
      <c r="D26" s="29"/>
      <c r="I26" s="5" t="s">
        <v>172</v>
      </c>
      <c r="J26" s="31">
        <f>E25</f>
        <v>7027.5</v>
      </c>
    </row>
    <row r="27" spans="1:10" x14ac:dyDescent="0.3">
      <c r="D27" s="29"/>
      <c r="J27" s="33">
        <f>J25-J26</f>
        <v>2192.1325000000015</v>
      </c>
    </row>
    <row r="28" spans="1:10" x14ac:dyDescent="0.3">
      <c r="D28" s="29"/>
    </row>
    <row r="29" spans="1:10" x14ac:dyDescent="0.3">
      <c r="D29" s="29"/>
    </row>
    <row r="30" spans="1:10" x14ac:dyDescent="0.3">
      <c r="D30" s="29"/>
    </row>
    <row r="31" spans="1:10" x14ac:dyDescent="0.3">
      <c r="D31" s="29"/>
    </row>
    <row r="32" spans="1:10" x14ac:dyDescent="0.3">
      <c r="D32" s="29"/>
    </row>
    <row r="33" spans="4:4" x14ac:dyDescent="0.3">
      <c r="D33" s="29"/>
    </row>
    <row r="34" spans="4:4" x14ac:dyDescent="0.3">
      <c r="D34" s="29"/>
    </row>
    <row r="35" spans="4:4" x14ac:dyDescent="0.3">
      <c r="D35" s="29"/>
    </row>
    <row r="36" spans="4:4" x14ac:dyDescent="0.3">
      <c r="D36" s="29"/>
    </row>
    <row r="37" spans="4:4" x14ac:dyDescent="0.3">
      <c r="D37" s="29"/>
    </row>
    <row r="38" spans="4:4" x14ac:dyDescent="0.3">
      <c r="D38" s="29"/>
    </row>
    <row r="39" spans="4:4" x14ac:dyDescent="0.3">
      <c r="D39" s="29"/>
    </row>
    <row r="40" spans="4:4" x14ac:dyDescent="0.3">
      <c r="D40" s="29"/>
    </row>
    <row r="41" spans="4:4" x14ac:dyDescent="0.3">
      <c r="D41" s="29"/>
    </row>
    <row r="42" spans="4:4" x14ac:dyDescent="0.3">
      <c r="D42" s="29"/>
    </row>
    <row r="43" spans="4:4" x14ac:dyDescent="0.3">
      <c r="D43" s="29"/>
    </row>
    <row r="44" spans="4:4" x14ac:dyDescent="0.3">
      <c r="D44" s="29"/>
    </row>
    <row r="45" spans="4:4" x14ac:dyDescent="0.3">
      <c r="D45" s="29"/>
    </row>
    <row r="46" spans="4:4" x14ac:dyDescent="0.3">
      <c r="D46" s="29"/>
    </row>
    <row r="47" spans="4:4" x14ac:dyDescent="0.3">
      <c r="D47" s="29"/>
    </row>
    <row r="48" spans="4:4" x14ac:dyDescent="0.3">
      <c r="D48" s="29"/>
    </row>
    <row r="49" spans="4:4" x14ac:dyDescent="0.3">
      <c r="D49" s="29"/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9"/>
  <sheetViews>
    <sheetView topLeftCell="A2" workbookViewId="0"/>
  </sheetViews>
  <sheetFormatPr defaultRowHeight="12.5" x14ac:dyDescent="0.25"/>
  <cols>
    <col min="1" max="1" width="26.7265625" bestFit="1" customWidth="1"/>
  </cols>
  <sheetData>
    <row r="1" spans="1:2" ht="13" x14ac:dyDescent="0.3">
      <c r="A1" s="24" t="s">
        <v>91</v>
      </c>
      <c r="B1" s="24" t="s">
        <v>123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121</v>
      </c>
    </row>
    <row r="4" spans="1:2" ht="13.5" x14ac:dyDescent="0.3">
      <c r="A4" s="1" t="s">
        <v>99</v>
      </c>
      <c r="B4" t="s">
        <v>122</v>
      </c>
    </row>
    <row r="5" spans="1:2" ht="13.5" x14ac:dyDescent="0.3">
      <c r="A5" s="1" t="s">
        <v>103</v>
      </c>
    </row>
    <row r="6" spans="1:2" x14ac:dyDescent="0.25">
      <c r="A6" s="2" t="s">
        <v>98</v>
      </c>
    </row>
    <row r="7" spans="1:2" x14ac:dyDescent="0.25">
      <c r="A7" s="2" t="s">
        <v>81</v>
      </c>
    </row>
    <row r="8" spans="1:2" x14ac:dyDescent="0.25">
      <c r="A8" s="2" t="s">
        <v>129</v>
      </c>
    </row>
    <row r="9" spans="1:2" x14ac:dyDescent="0.25">
      <c r="A9" s="2" t="s">
        <v>162</v>
      </c>
    </row>
    <row r="10" spans="1:2" x14ac:dyDescent="0.25">
      <c r="A10" s="2" t="s">
        <v>73</v>
      </c>
    </row>
    <row r="11" spans="1:2" x14ac:dyDescent="0.25">
      <c r="A11" s="2" t="s">
        <v>5</v>
      </c>
    </row>
    <row r="12" spans="1:2" x14ac:dyDescent="0.25">
      <c r="A12" s="2" t="s">
        <v>100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101</v>
      </c>
    </row>
    <row r="18" spans="1:1" ht="13.5" x14ac:dyDescent="0.3">
      <c r="A18" s="1" t="s">
        <v>102</v>
      </c>
    </row>
    <row r="19" spans="1:1" x14ac:dyDescent="0.25">
      <c r="A19" s="2" t="s">
        <v>10</v>
      </c>
    </row>
    <row r="20" spans="1:1" ht="13.5" x14ac:dyDescent="0.3">
      <c r="A20" s="1" t="s">
        <v>62</v>
      </c>
    </row>
    <row r="21" spans="1:1" x14ac:dyDescent="0.25">
      <c r="A21" s="2" t="s">
        <v>117</v>
      </c>
    </row>
    <row r="22" spans="1:1" ht="13.5" x14ac:dyDescent="0.3">
      <c r="A22" s="1" t="s">
        <v>118</v>
      </c>
    </row>
    <row r="23" spans="1:1" x14ac:dyDescent="0.25">
      <c r="A23" s="2" t="s">
        <v>116</v>
      </c>
    </row>
    <row r="24" spans="1:1" ht="13.5" x14ac:dyDescent="0.3">
      <c r="A24" s="1" t="s">
        <v>76</v>
      </c>
    </row>
    <row r="25" spans="1:1" x14ac:dyDescent="0.25">
      <c r="A25" s="2" t="s">
        <v>119</v>
      </c>
    </row>
    <row r="26" spans="1:1" ht="13.5" x14ac:dyDescent="0.3">
      <c r="A26" s="1" t="s">
        <v>120</v>
      </c>
    </row>
    <row r="27" spans="1:1" x14ac:dyDescent="0.25">
      <c r="A27" s="2" t="s">
        <v>130</v>
      </c>
    </row>
    <row r="28" spans="1:1" ht="13.5" x14ac:dyDescent="0.3">
      <c r="A28" s="1" t="s">
        <v>194</v>
      </c>
    </row>
    <row r="29" spans="1:1" x14ac:dyDescent="0.25">
      <c r="A29" s="2" t="s">
        <v>205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70"/>
  <sheetViews>
    <sheetView topLeftCell="A103" workbookViewId="0">
      <selection activeCell="C127" sqref="C127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26" bestFit="1" customWidth="1"/>
    <col min="7" max="7" width="21.453125" bestFit="1" customWidth="1"/>
  </cols>
  <sheetData>
    <row r="1" spans="1:9" x14ac:dyDescent="0.25">
      <c r="A1" t="s">
        <v>40</v>
      </c>
      <c r="B1" t="s">
        <v>90</v>
      </c>
      <c r="C1" t="s">
        <v>36</v>
      </c>
      <c r="D1" t="s">
        <v>125</v>
      </c>
      <c r="E1" t="s">
        <v>126</v>
      </c>
      <c r="F1" s="26" t="s">
        <v>11</v>
      </c>
      <c r="G1" t="s">
        <v>115</v>
      </c>
      <c r="H1" t="s">
        <v>123</v>
      </c>
      <c r="I1" t="s">
        <v>124</v>
      </c>
    </row>
    <row r="2" spans="1:9" x14ac:dyDescent="0.25">
      <c r="A2" s="25">
        <v>45658</v>
      </c>
      <c r="C2" t="s">
        <v>283</v>
      </c>
      <c r="F2" s="26">
        <v>5823.88</v>
      </c>
    </row>
    <row r="3" spans="1:9" x14ac:dyDescent="0.25">
      <c r="A3" s="25">
        <v>45658</v>
      </c>
      <c r="B3" t="s">
        <v>290</v>
      </c>
      <c r="C3" t="s">
        <v>291</v>
      </c>
      <c r="E3">
        <v>30</v>
      </c>
      <c r="F3" s="26">
        <f>F2+E3-D3</f>
        <v>5853.88</v>
      </c>
      <c r="G3" t="s">
        <v>205</v>
      </c>
    </row>
    <row r="4" spans="1:9" x14ac:dyDescent="0.25">
      <c r="A4" s="25">
        <v>45658</v>
      </c>
      <c r="B4" t="s">
        <v>290</v>
      </c>
      <c r="C4" t="s">
        <v>292</v>
      </c>
      <c r="E4">
        <v>30</v>
      </c>
      <c r="F4" s="26">
        <f t="shared" ref="F4:F67" si="0">F3+E4-D4</f>
        <v>5883.88</v>
      </c>
      <c r="G4" t="s">
        <v>205</v>
      </c>
    </row>
    <row r="5" spans="1:9" x14ac:dyDescent="0.25">
      <c r="A5" s="25">
        <v>45659</v>
      </c>
      <c r="B5" t="s">
        <v>290</v>
      </c>
      <c r="C5" t="s">
        <v>293</v>
      </c>
      <c r="E5">
        <v>30</v>
      </c>
      <c r="F5" s="26">
        <f t="shared" si="0"/>
        <v>5913.88</v>
      </c>
      <c r="G5" t="s">
        <v>205</v>
      </c>
    </row>
    <row r="6" spans="1:9" x14ac:dyDescent="0.25">
      <c r="A6" s="25">
        <v>45659</v>
      </c>
      <c r="B6" t="s">
        <v>290</v>
      </c>
      <c r="C6" t="s">
        <v>294</v>
      </c>
      <c r="E6">
        <v>30</v>
      </c>
      <c r="F6" s="26">
        <f t="shared" si="0"/>
        <v>5943.88</v>
      </c>
      <c r="G6" t="s">
        <v>205</v>
      </c>
    </row>
    <row r="7" spans="1:9" x14ac:dyDescent="0.25">
      <c r="A7" s="25">
        <v>45659</v>
      </c>
      <c r="B7" t="s">
        <v>295</v>
      </c>
      <c r="C7" t="s">
        <v>296</v>
      </c>
      <c r="E7">
        <v>30</v>
      </c>
      <c r="F7" s="26">
        <f t="shared" si="0"/>
        <v>5973.88</v>
      </c>
      <c r="G7" t="s">
        <v>205</v>
      </c>
    </row>
    <row r="8" spans="1:9" x14ac:dyDescent="0.25">
      <c r="A8" s="25">
        <v>45659</v>
      </c>
      <c r="B8" t="s">
        <v>290</v>
      </c>
      <c r="C8" t="s">
        <v>297</v>
      </c>
      <c r="E8">
        <v>30</v>
      </c>
      <c r="F8" s="26">
        <f t="shared" si="0"/>
        <v>6003.88</v>
      </c>
      <c r="G8" t="s">
        <v>205</v>
      </c>
    </row>
    <row r="9" spans="1:9" x14ac:dyDescent="0.25">
      <c r="A9" s="25">
        <v>45659</v>
      </c>
      <c r="B9" t="s">
        <v>290</v>
      </c>
      <c r="C9" t="s">
        <v>298</v>
      </c>
      <c r="E9">
        <v>30</v>
      </c>
      <c r="F9" s="26">
        <f t="shared" si="0"/>
        <v>6033.88</v>
      </c>
      <c r="G9" t="s">
        <v>205</v>
      </c>
    </row>
    <row r="10" spans="1:9" x14ac:dyDescent="0.25">
      <c r="A10" s="25">
        <v>45659</v>
      </c>
      <c r="B10" t="s">
        <v>290</v>
      </c>
      <c r="C10" t="s">
        <v>299</v>
      </c>
      <c r="E10">
        <v>30</v>
      </c>
      <c r="F10" s="26">
        <f t="shared" si="0"/>
        <v>6063.88</v>
      </c>
      <c r="G10" t="s">
        <v>205</v>
      </c>
    </row>
    <row r="11" spans="1:9" x14ac:dyDescent="0.25">
      <c r="A11" s="25">
        <v>45659</v>
      </c>
      <c r="B11" t="s">
        <v>290</v>
      </c>
      <c r="C11" t="s">
        <v>300</v>
      </c>
      <c r="E11">
        <v>30</v>
      </c>
      <c r="F11" s="26">
        <f t="shared" si="0"/>
        <v>6093.88</v>
      </c>
      <c r="G11" t="s">
        <v>205</v>
      </c>
    </row>
    <row r="12" spans="1:9" x14ac:dyDescent="0.25">
      <c r="A12" s="25">
        <v>45659</v>
      </c>
      <c r="B12" t="s">
        <v>290</v>
      </c>
      <c r="C12" t="s">
        <v>301</v>
      </c>
      <c r="E12">
        <v>30</v>
      </c>
      <c r="F12" s="26">
        <f t="shared" si="0"/>
        <v>6123.88</v>
      </c>
      <c r="G12" t="s">
        <v>205</v>
      </c>
    </row>
    <row r="13" spans="1:9" x14ac:dyDescent="0.25">
      <c r="A13" s="25">
        <v>45659</v>
      </c>
      <c r="B13" t="s">
        <v>290</v>
      </c>
      <c r="C13" t="s">
        <v>302</v>
      </c>
      <c r="E13">
        <v>30</v>
      </c>
      <c r="F13" s="26">
        <f t="shared" si="0"/>
        <v>6153.88</v>
      </c>
      <c r="G13" t="s">
        <v>205</v>
      </c>
    </row>
    <row r="14" spans="1:9" x14ac:dyDescent="0.25">
      <c r="A14" s="25">
        <v>45659</v>
      </c>
      <c r="B14" t="s">
        <v>290</v>
      </c>
      <c r="C14" t="s">
        <v>303</v>
      </c>
      <c r="E14">
        <v>30</v>
      </c>
      <c r="F14" s="26">
        <f t="shared" si="0"/>
        <v>6183.88</v>
      </c>
      <c r="G14" t="s">
        <v>205</v>
      </c>
    </row>
    <row r="15" spans="1:9" x14ac:dyDescent="0.25">
      <c r="A15" s="25">
        <v>45659</v>
      </c>
      <c r="B15" t="s">
        <v>290</v>
      </c>
      <c r="C15" t="s">
        <v>304</v>
      </c>
      <c r="E15">
        <v>30</v>
      </c>
      <c r="F15" s="26">
        <f t="shared" si="0"/>
        <v>6213.88</v>
      </c>
      <c r="G15" t="s">
        <v>205</v>
      </c>
    </row>
    <row r="16" spans="1:9" x14ac:dyDescent="0.25">
      <c r="A16" s="25">
        <v>45659</v>
      </c>
      <c r="B16" t="s">
        <v>290</v>
      </c>
      <c r="C16" t="s">
        <v>305</v>
      </c>
      <c r="E16">
        <v>30</v>
      </c>
      <c r="F16" s="26">
        <f t="shared" si="0"/>
        <v>6243.88</v>
      </c>
      <c r="G16" t="s">
        <v>205</v>
      </c>
    </row>
    <row r="17" spans="1:7" x14ac:dyDescent="0.25">
      <c r="A17" s="25">
        <v>45659</v>
      </c>
      <c r="B17" t="s">
        <v>290</v>
      </c>
      <c r="C17" t="s">
        <v>306</v>
      </c>
      <c r="E17">
        <v>30</v>
      </c>
      <c r="F17" s="26">
        <f t="shared" si="0"/>
        <v>6273.88</v>
      </c>
      <c r="G17" t="s">
        <v>205</v>
      </c>
    </row>
    <row r="18" spans="1:7" x14ac:dyDescent="0.25">
      <c r="A18" s="25">
        <v>45659</v>
      </c>
      <c r="B18" t="s">
        <v>290</v>
      </c>
      <c r="C18" t="s">
        <v>307</v>
      </c>
      <c r="E18">
        <v>50</v>
      </c>
      <c r="F18" s="26">
        <f t="shared" si="0"/>
        <v>6323.88</v>
      </c>
      <c r="G18" t="s">
        <v>205</v>
      </c>
    </row>
    <row r="19" spans="1:7" x14ac:dyDescent="0.25">
      <c r="A19" s="25">
        <v>45659</v>
      </c>
      <c r="B19" t="s">
        <v>290</v>
      </c>
      <c r="C19" t="s">
        <v>308</v>
      </c>
      <c r="E19">
        <v>30</v>
      </c>
      <c r="F19" s="26">
        <f t="shared" si="0"/>
        <v>6353.88</v>
      </c>
      <c r="G19" t="s">
        <v>205</v>
      </c>
    </row>
    <row r="20" spans="1:7" x14ac:dyDescent="0.25">
      <c r="A20" s="25">
        <v>45659</v>
      </c>
      <c r="B20" t="s">
        <v>290</v>
      </c>
      <c r="C20" t="s">
        <v>309</v>
      </c>
      <c r="E20">
        <v>30</v>
      </c>
      <c r="F20" s="26">
        <f t="shared" si="0"/>
        <v>6383.88</v>
      </c>
      <c r="G20" t="s">
        <v>205</v>
      </c>
    </row>
    <row r="21" spans="1:7" x14ac:dyDescent="0.25">
      <c r="A21" s="25">
        <v>45659</v>
      </c>
      <c r="B21" t="s">
        <v>290</v>
      </c>
      <c r="C21" t="s">
        <v>310</v>
      </c>
      <c r="E21">
        <v>30</v>
      </c>
      <c r="F21" s="26">
        <f t="shared" si="0"/>
        <v>6413.88</v>
      </c>
      <c r="G21" t="s">
        <v>205</v>
      </c>
    </row>
    <row r="22" spans="1:7" x14ac:dyDescent="0.25">
      <c r="A22" s="25">
        <v>45659</v>
      </c>
      <c r="B22" t="s">
        <v>290</v>
      </c>
      <c r="C22" t="s">
        <v>311</v>
      </c>
      <c r="E22">
        <v>30</v>
      </c>
      <c r="F22" s="26">
        <f t="shared" si="0"/>
        <v>6443.88</v>
      </c>
      <c r="G22" t="s">
        <v>205</v>
      </c>
    </row>
    <row r="23" spans="1:7" x14ac:dyDescent="0.25">
      <c r="A23" s="25">
        <v>45659</v>
      </c>
      <c r="B23" t="s">
        <v>290</v>
      </c>
      <c r="C23" t="s">
        <v>312</v>
      </c>
      <c r="E23">
        <v>30</v>
      </c>
      <c r="F23" s="26">
        <f t="shared" si="0"/>
        <v>6473.88</v>
      </c>
      <c r="G23" t="s">
        <v>205</v>
      </c>
    </row>
    <row r="24" spans="1:7" x14ac:dyDescent="0.25">
      <c r="A24" s="25">
        <v>45659</v>
      </c>
      <c r="B24" t="s">
        <v>290</v>
      </c>
      <c r="C24" t="s">
        <v>313</v>
      </c>
      <c r="E24">
        <v>30</v>
      </c>
      <c r="F24" s="26">
        <f t="shared" si="0"/>
        <v>6503.88</v>
      </c>
      <c r="G24" t="s">
        <v>205</v>
      </c>
    </row>
    <row r="25" spans="1:7" x14ac:dyDescent="0.25">
      <c r="A25" s="25">
        <v>45659</v>
      </c>
      <c r="B25" t="s">
        <v>290</v>
      </c>
      <c r="C25" t="s">
        <v>314</v>
      </c>
      <c r="E25">
        <v>30</v>
      </c>
      <c r="F25" s="26">
        <f t="shared" si="0"/>
        <v>6533.88</v>
      </c>
      <c r="G25" t="s">
        <v>205</v>
      </c>
    </row>
    <row r="26" spans="1:7" x14ac:dyDescent="0.25">
      <c r="A26" s="25">
        <v>45659</v>
      </c>
      <c r="B26" t="s">
        <v>290</v>
      </c>
      <c r="C26" t="s">
        <v>315</v>
      </c>
      <c r="E26">
        <v>30</v>
      </c>
      <c r="F26" s="26">
        <f t="shared" si="0"/>
        <v>6563.88</v>
      </c>
      <c r="G26" t="s">
        <v>205</v>
      </c>
    </row>
    <row r="27" spans="1:7" x14ac:dyDescent="0.25">
      <c r="A27" s="25">
        <v>45659</v>
      </c>
      <c r="B27" t="s">
        <v>290</v>
      </c>
      <c r="C27" t="s">
        <v>316</v>
      </c>
      <c r="E27">
        <v>30</v>
      </c>
      <c r="F27" s="26">
        <f t="shared" si="0"/>
        <v>6593.88</v>
      </c>
      <c r="G27" t="s">
        <v>205</v>
      </c>
    </row>
    <row r="28" spans="1:7" x14ac:dyDescent="0.25">
      <c r="A28" s="25">
        <v>45659</v>
      </c>
      <c r="B28" t="s">
        <v>290</v>
      </c>
      <c r="C28" t="s">
        <v>317</v>
      </c>
      <c r="E28">
        <v>30</v>
      </c>
      <c r="F28" s="26">
        <f t="shared" si="0"/>
        <v>6623.88</v>
      </c>
      <c r="G28" t="s">
        <v>205</v>
      </c>
    </row>
    <row r="29" spans="1:7" x14ac:dyDescent="0.25">
      <c r="A29" s="25">
        <v>45659</v>
      </c>
      <c r="B29" t="s">
        <v>290</v>
      </c>
      <c r="C29" t="s">
        <v>318</v>
      </c>
      <c r="E29">
        <v>30</v>
      </c>
      <c r="F29" s="26">
        <f t="shared" si="0"/>
        <v>6653.88</v>
      </c>
      <c r="G29" t="s">
        <v>205</v>
      </c>
    </row>
    <row r="30" spans="1:7" x14ac:dyDescent="0.25">
      <c r="A30" s="25">
        <v>45659</v>
      </c>
      <c r="B30" t="s">
        <v>290</v>
      </c>
      <c r="C30" t="s">
        <v>319</v>
      </c>
      <c r="E30">
        <v>30</v>
      </c>
      <c r="F30" s="26">
        <f t="shared" si="0"/>
        <v>6683.88</v>
      </c>
      <c r="G30" t="s">
        <v>205</v>
      </c>
    </row>
    <row r="31" spans="1:7" x14ac:dyDescent="0.25">
      <c r="A31" s="25">
        <v>45659</v>
      </c>
      <c r="B31" t="s">
        <v>290</v>
      </c>
      <c r="C31" t="s">
        <v>320</v>
      </c>
      <c r="E31">
        <v>30</v>
      </c>
      <c r="F31" s="26">
        <f t="shared" si="0"/>
        <v>6713.88</v>
      </c>
      <c r="G31" t="s">
        <v>205</v>
      </c>
    </row>
    <row r="32" spans="1:7" x14ac:dyDescent="0.25">
      <c r="A32" s="25">
        <v>45659</v>
      </c>
      <c r="B32" t="s">
        <v>290</v>
      </c>
      <c r="C32" t="s">
        <v>321</v>
      </c>
      <c r="E32">
        <v>30</v>
      </c>
      <c r="F32" s="26">
        <f t="shared" si="0"/>
        <v>6743.88</v>
      </c>
      <c r="G32" t="s">
        <v>205</v>
      </c>
    </row>
    <row r="33" spans="1:7" x14ac:dyDescent="0.25">
      <c r="A33" s="25">
        <v>45659</v>
      </c>
      <c r="B33" t="s">
        <v>290</v>
      </c>
      <c r="C33" t="s">
        <v>322</v>
      </c>
      <c r="E33">
        <v>30</v>
      </c>
      <c r="F33" s="26">
        <f t="shared" si="0"/>
        <v>6773.88</v>
      </c>
      <c r="G33" t="s">
        <v>205</v>
      </c>
    </row>
    <row r="34" spans="1:7" x14ac:dyDescent="0.25">
      <c r="A34" s="25">
        <v>45659</v>
      </c>
      <c r="B34" t="s">
        <v>290</v>
      </c>
      <c r="C34" t="s">
        <v>323</v>
      </c>
      <c r="E34">
        <v>30</v>
      </c>
      <c r="F34" s="26">
        <f t="shared" si="0"/>
        <v>6803.88</v>
      </c>
      <c r="G34" t="s">
        <v>205</v>
      </c>
    </row>
    <row r="35" spans="1:7" x14ac:dyDescent="0.25">
      <c r="A35" s="25">
        <v>45659</v>
      </c>
      <c r="B35" t="s">
        <v>290</v>
      </c>
      <c r="C35" t="s">
        <v>324</v>
      </c>
      <c r="E35">
        <v>25</v>
      </c>
      <c r="F35" s="26">
        <f t="shared" si="0"/>
        <v>6828.88</v>
      </c>
      <c r="G35" t="s">
        <v>205</v>
      </c>
    </row>
    <row r="36" spans="1:7" x14ac:dyDescent="0.25">
      <c r="A36" s="25">
        <v>45659</v>
      </c>
      <c r="B36" t="s">
        <v>290</v>
      </c>
      <c r="C36" t="s">
        <v>325</v>
      </c>
      <c r="E36">
        <v>30</v>
      </c>
      <c r="F36" s="26">
        <f t="shared" si="0"/>
        <v>6858.88</v>
      </c>
      <c r="G36" t="s">
        <v>205</v>
      </c>
    </row>
    <row r="37" spans="1:7" x14ac:dyDescent="0.25">
      <c r="A37" s="25">
        <v>45659</v>
      </c>
      <c r="B37" t="s">
        <v>290</v>
      </c>
      <c r="C37" t="s">
        <v>326</v>
      </c>
      <c r="E37">
        <v>30</v>
      </c>
      <c r="F37" s="26">
        <f t="shared" si="0"/>
        <v>6888.88</v>
      </c>
      <c r="G37" t="s">
        <v>205</v>
      </c>
    </row>
    <row r="38" spans="1:7" x14ac:dyDescent="0.25">
      <c r="A38" s="25">
        <v>45659</v>
      </c>
      <c r="B38" t="s">
        <v>290</v>
      </c>
      <c r="C38" t="s">
        <v>327</v>
      </c>
      <c r="E38">
        <v>30</v>
      </c>
      <c r="F38" s="26">
        <f t="shared" si="0"/>
        <v>6918.88</v>
      </c>
      <c r="G38" t="s">
        <v>205</v>
      </c>
    </row>
    <row r="39" spans="1:7" x14ac:dyDescent="0.25">
      <c r="A39" s="25">
        <v>45659</v>
      </c>
      <c r="B39" t="s">
        <v>290</v>
      </c>
      <c r="C39" t="s">
        <v>328</v>
      </c>
      <c r="E39">
        <v>30</v>
      </c>
      <c r="F39" s="26">
        <f t="shared" si="0"/>
        <v>6948.88</v>
      </c>
      <c r="G39" t="s">
        <v>205</v>
      </c>
    </row>
    <row r="40" spans="1:7" x14ac:dyDescent="0.25">
      <c r="A40" s="25">
        <v>45659</v>
      </c>
      <c r="B40" t="s">
        <v>290</v>
      </c>
      <c r="C40" t="s">
        <v>329</v>
      </c>
      <c r="E40">
        <v>30</v>
      </c>
      <c r="F40" s="26">
        <f t="shared" si="0"/>
        <v>6978.88</v>
      </c>
      <c r="G40" t="s">
        <v>205</v>
      </c>
    </row>
    <row r="41" spans="1:7" x14ac:dyDescent="0.25">
      <c r="A41" s="25">
        <v>45659</v>
      </c>
      <c r="B41" t="s">
        <v>290</v>
      </c>
      <c r="C41" t="s">
        <v>330</v>
      </c>
      <c r="E41">
        <v>30</v>
      </c>
      <c r="F41" s="26">
        <f t="shared" si="0"/>
        <v>7008.88</v>
      </c>
      <c r="G41" t="s">
        <v>205</v>
      </c>
    </row>
    <row r="42" spans="1:7" x14ac:dyDescent="0.25">
      <c r="A42" s="25">
        <v>45659</v>
      </c>
      <c r="B42" t="s">
        <v>290</v>
      </c>
      <c r="C42" t="s">
        <v>331</v>
      </c>
      <c r="E42">
        <v>30</v>
      </c>
      <c r="F42" s="26">
        <f t="shared" si="0"/>
        <v>7038.88</v>
      </c>
      <c r="G42" t="s">
        <v>205</v>
      </c>
    </row>
    <row r="43" spans="1:7" x14ac:dyDescent="0.25">
      <c r="A43" s="25">
        <v>45659</v>
      </c>
      <c r="B43" t="s">
        <v>290</v>
      </c>
      <c r="C43" t="s">
        <v>332</v>
      </c>
      <c r="E43">
        <v>30</v>
      </c>
      <c r="F43" s="26">
        <f t="shared" si="0"/>
        <v>7068.88</v>
      </c>
      <c r="G43" t="s">
        <v>205</v>
      </c>
    </row>
    <row r="44" spans="1:7" x14ac:dyDescent="0.25">
      <c r="A44" s="25">
        <v>45659</v>
      </c>
      <c r="B44" t="s">
        <v>290</v>
      </c>
      <c r="C44" t="s">
        <v>333</v>
      </c>
      <c r="E44">
        <v>30</v>
      </c>
      <c r="F44" s="26">
        <f t="shared" si="0"/>
        <v>7098.88</v>
      </c>
      <c r="G44" t="s">
        <v>205</v>
      </c>
    </row>
    <row r="45" spans="1:7" x14ac:dyDescent="0.25">
      <c r="A45" s="25">
        <v>45659</v>
      </c>
      <c r="B45" t="s">
        <v>290</v>
      </c>
      <c r="C45" t="s">
        <v>334</v>
      </c>
      <c r="E45">
        <v>30</v>
      </c>
      <c r="F45" s="26">
        <f t="shared" si="0"/>
        <v>7128.88</v>
      </c>
      <c r="G45" t="s">
        <v>205</v>
      </c>
    </row>
    <row r="46" spans="1:7" x14ac:dyDescent="0.25">
      <c r="A46" s="25">
        <v>45659</v>
      </c>
      <c r="B46" t="s">
        <v>290</v>
      </c>
      <c r="C46" t="s">
        <v>335</v>
      </c>
      <c r="E46">
        <v>30</v>
      </c>
      <c r="F46" s="26">
        <f t="shared" si="0"/>
        <v>7158.88</v>
      </c>
      <c r="G46" t="s">
        <v>205</v>
      </c>
    </row>
    <row r="47" spans="1:7" x14ac:dyDescent="0.25">
      <c r="A47" s="25">
        <v>45659</v>
      </c>
      <c r="B47" t="s">
        <v>290</v>
      </c>
      <c r="C47" t="s">
        <v>336</v>
      </c>
      <c r="E47">
        <v>30</v>
      </c>
      <c r="F47" s="26">
        <f t="shared" si="0"/>
        <v>7188.88</v>
      </c>
      <c r="G47" t="s">
        <v>205</v>
      </c>
    </row>
    <row r="48" spans="1:7" x14ac:dyDescent="0.25">
      <c r="A48" s="25">
        <v>45659</v>
      </c>
      <c r="B48" t="s">
        <v>290</v>
      </c>
      <c r="C48" t="s">
        <v>337</v>
      </c>
      <c r="E48">
        <v>30</v>
      </c>
      <c r="F48" s="26">
        <f t="shared" si="0"/>
        <v>7218.88</v>
      </c>
      <c r="G48" t="s">
        <v>205</v>
      </c>
    </row>
    <row r="49" spans="1:7" x14ac:dyDescent="0.25">
      <c r="A49" s="25">
        <v>45659</v>
      </c>
      <c r="B49" t="s">
        <v>290</v>
      </c>
      <c r="C49" t="s">
        <v>338</v>
      </c>
      <c r="E49">
        <v>30</v>
      </c>
      <c r="F49" s="26">
        <f t="shared" si="0"/>
        <v>7248.88</v>
      </c>
      <c r="G49" t="s">
        <v>205</v>
      </c>
    </row>
    <row r="50" spans="1:7" x14ac:dyDescent="0.25">
      <c r="A50" s="25">
        <v>45659</v>
      </c>
      <c r="B50" t="s">
        <v>290</v>
      </c>
      <c r="C50" t="s">
        <v>339</v>
      </c>
      <c r="E50">
        <v>30</v>
      </c>
      <c r="F50" s="26">
        <f t="shared" si="0"/>
        <v>7278.88</v>
      </c>
      <c r="G50" t="s">
        <v>205</v>
      </c>
    </row>
    <row r="51" spans="1:7" x14ac:dyDescent="0.25">
      <c r="A51" s="25">
        <v>45659</v>
      </c>
      <c r="B51" t="s">
        <v>290</v>
      </c>
      <c r="C51" t="s">
        <v>340</v>
      </c>
      <c r="E51">
        <v>30</v>
      </c>
      <c r="F51" s="26">
        <f t="shared" si="0"/>
        <v>7308.88</v>
      </c>
      <c r="G51" t="s">
        <v>205</v>
      </c>
    </row>
    <row r="52" spans="1:7" x14ac:dyDescent="0.25">
      <c r="A52" s="25">
        <v>45659</v>
      </c>
      <c r="B52" t="s">
        <v>290</v>
      </c>
      <c r="C52" t="s">
        <v>341</v>
      </c>
      <c r="E52">
        <v>30</v>
      </c>
      <c r="F52" s="26">
        <f t="shared" si="0"/>
        <v>7338.88</v>
      </c>
      <c r="G52" t="s">
        <v>205</v>
      </c>
    </row>
    <row r="53" spans="1:7" x14ac:dyDescent="0.25">
      <c r="A53" s="25">
        <v>45659</v>
      </c>
      <c r="B53" t="s">
        <v>290</v>
      </c>
      <c r="C53" t="s">
        <v>342</v>
      </c>
      <c r="E53">
        <v>30</v>
      </c>
      <c r="F53" s="26">
        <f t="shared" si="0"/>
        <v>7368.88</v>
      </c>
      <c r="G53" t="s">
        <v>205</v>
      </c>
    </row>
    <row r="54" spans="1:7" x14ac:dyDescent="0.25">
      <c r="A54" s="25">
        <v>45659</v>
      </c>
      <c r="B54" t="s">
        <v>290</v>
      </c>
      <c r="C54" t="s">
        <v>343</v>
      </c>
      <c r="E54">
        <v>30</v>
      </c>
      <c r="F54" s="26">
        <f t="shared" si="0"/>
        <v>7398.88</v>
      </c>
      <c r="G54" t="s">
        <v>205</v>
      </c>
    </row>
    <row r="55" spans="1:7" x14ac:dyDescent="0.25">
      <c r="A55" s="25">
        <v>45659</v>
      </c>
      <c r="B55" t="s">
        <v>290</v>
      </c>
      <c r="C55" t="s">
        <v>344</v>
      </c>
      <c r="E55">
        <v>30</v>
      </c>
      <c r="F55" s="26">
        <f t="shared" si="0"/>
        <v>7428.88</v>
      </c>
      <c r="G55" t="s">
        <v>205</v>
      </c>
    </row>
    <row r="56" spans="1:7" x14ac:dyDescent="0.25">
      <c r="A56" s="25">
        <v>45659</v>
      </c>
      <c r="B56" t="s">
        <v>290</v>
      </c>
      <c r="C56" t="s">
        <v>345</v>
      </c>
      <c r="E56">
        <v>30</v>
      </c>
      <c r="F56" s="26">
        <f t="shared" si="0"/>
        <v>7458.88</v>
      </c>
      <c r="G56" t="s">
        <v>205</v>
      </c>
    </row>
    <row r="57" spans="1:7" x14ac:dyDescent="0.25">
      <c r="A57" s="25">
        <v>45659</v>
      </c>
      <c r="B57" t="s">
        <v>290</v>
      </c>
      <c r="C57" t="s">
        <v>346</v>
      </c>
      <c r="E57">
        <v>30</v>
      </c>
      <c r="F57" s="26">
        <f t="shared" si="0"/>
        <v>7488.88</v>
      </c>
      <c r="G57" t="s">
        <v>205</v>
      </c>
    </row>
    <row r="58" spans="1:7" x14ac:dyDescent="0.25">
      <c r="A58" s="25">
        <v>45659</v>
      </c>
      <c r="B58" t="s">
        <v>290</v>
      </c>
      <c r="C58" t="s">
        <v>347</v>
      </c>
      <c r="E58">
        <v>30</v>
      </c>
      <c r="F58" s="26">
        <f t="shared" si="0"/>
        <v>7518.88</v>
      </c>
      <c r="G58" t="s">
        <v>205</v>
      </c>
    </row>
    <row r="59" spans="1:7" x14ac:dyDescent="0.25">
      <c r="A59" s="25">
        <v>45659</v>
      </c>
      <c r="B59" t="s">
        <v>290</v>
      </c>
      <c r="C59" t="s">
        <v>348</v>
      </c>
      <c r="E59">
        <v>30</v>
      </c>
      <c r="F59" s="26">
        <f t="shared" si="0"/>
        <v>7548.88</v>
      </c>
      <c r="G59" t="s">
        <v>205</v>
      </c>
    </row>
    <row r="60" spans="1:7" x14ac:dyDescent="0.25">
      <c r="A60" s="25">
        <v>45659</v>
      </c>
      <c r="B60" t="s">
        <v>290</v>
      </c>
      <c r="C60" t="s">
        <v>349</v>
      </c>
      <c r="E60">
        <v>30</v>
      </c>
      <c r="F60" s="26">
        <f t="shared" si="0"/>
        <v>7578.88</v>
      </c>
      <c r="G60" t="s">
        <v>205</v>
      </c>
    </row>
    <row r="61" spans="1:7" x14ac:dyDescent="0.25">
      <c r="A61" s="25">
        <v>45659</v>
      </c>
      <c r="B61" t="s">
        <v>290</v>
      </c>
      <c r="C61" t="s">
        <v>350</v>
      </c>
      <c r="E61">
        <v>30</v>
      </c>
      <c r="F61" s="26">
        <f t="shared" si="0"/>
        <v>7608.88</v>
      </c>
      <c r="G61" t="s">
        <v>205</v>
      </c>
    </row>
    <row r="62" spans="1:7" x14ac:dyDescent="0.25">
      <c r="A62" s="25">
        <v>45659</v>
      </c>
      <c r="B62" t="s">
        <v>290</v>
      </c>
      <c r="C62" t="s">
        <v>351</v>
      </c>
      <c r="E62">
        <v>30</v>
      </c>
      <c r="F62" s="26">
        <f t="shared" si="0"/>
        <v>7638.88</v>
      </c>
      <c r="G62" t="s">
        <v>205</v>
      </c>
    </row>
    <row r="63" spans="1:7" x14ac:dyDescent="0.25">
      <c r="A63" s="25">
        <v>45659</v>
      </c>
      <c r="B63" t="s">
        <v>290</v>
      </c>
      <c r="C63" t="s">
        <v>352</v>
      </c>
      <c r="E63">
        <v>30</v>
      </c>
      <c r="F63" s="26">
        <f t="shared" si="0"/>
        <v>7668.88</v>
      </c>
      <c r="G63" t="s">
        <v>205</v>
      </c>
    </row>
    <row r="64" spans="1:7" x14ac:dyDescent="0.25">
      <c r="A64" s="25">
        <v>45659</v>
      </c>
      <c r="B64" t="s">
        <v>290</v>
      </c>
      <c r="C64" t="s">
        <v>353</v>
      </c>
      <c r="E64">
        <v>30</v>
      </c>
      <c r="F64" s="26">
        <f t="shared" si="0"/>
        <v>7698.88</v>
      </c>
      <c r="G64" t="s">
        <v>205</v>
      </c>
    </row>
    <row r="65" spans="1:7" x14ac:dyDescent="0.25">
      <c r="A65" s="25">
        <v>45659</v>
      </c>
      <c r="B65" t="s">
        <v>290</v>
      </c>
      <c r="C65" t="s">
        <v>354</v>
      </c>
      <c r="E65">
        <v>30</v>
      </c>
      <c r="F65" s="26">
        <f t="shared" si="0"/>
        <v>7728.88</v>
      </c>
      <c r="G65" t="s">
        <v>205</v>
      </c>
    </row>
    <row r="66" spans="1:7" x14ac:dyDescent="0.25">
      <c r="A66" s="25">
        <v>45659</v>
      </c>
      <c r="B66" t="s">
        <v>290</v>
      </c>
      <c r="C66" t="s">
        <v>355</v>
      </c>
      <c r="E66">
        <v>30</v>
      </c>
      <c r="F66" s="26">
        <f t="shared" si="0"/>
        <v>7758.88</v>
      </c>
      <c r="G66" t="s">
        <v>205</v>
      </c>
    </row>
    <row r="67" spans="1:7" x14ac:dyDescent="0.25">
      <c r="A67" s="25">
        <v>45659</v>
      </c>
      <c r="B67" t="s">
        <v>290</v>
      </c>
      <c r="C67" t="s">
        <v>356</v>
      </c>
      <c r="E67">
        <v>30</v>
      </c>
      <c r="F67" s="26">
        <f t="shared" si="0"/>
        <v>7788.88</v>
      </c>
      <c r="G67" t="s">
        <v>205</v>
      </c>
    </row>
    <row r="68" spans="1:7" x14ac:dyDescent="0.25">
      <c r="A68" s="25">
        <v>45659</v>
      </c>
      <c r="B68" t="s">
        <v>290</v>
      </c>
      <c r="C68" t="s">
        <v>357</v>
      </c>
      <c r="E68">
        <v>30</v>
      </c>
      <c r="F68" s="26">
        <f t="shared" ref="F68:F127" si="1">F67+E68-D68</f>
        <v>7818.88</v>
      </c>
      <c r="G68" t="s">
        <v>205</v>
      </c>
    </row>
    <row r="69" spans="1:7" x14ac:dyDescent="0.25">
      <c r="A69" s="25">
        <v>45659</v>
      </c>
      <c r="B69" t="s">
        <v>290</v>
      </c>
      <c r="C69" t="s">
        <v>358</v>
      </c>
      <c r="E69">
        <v>30</v>
      </c>
      <c r="F69" s="26">
        <f t="shared" si="1"/>
        <v>7848.88</v>
      </c>
      <c r="G69" t="s">
        <v>205</v>
      </c>
    </row>
    <row r="70" spans="1:7" x14ac:dyDescent="0.25">
      <c r="A70" s="25">
        <v>45659</v>
      </c>
      <c r="B70" t="s">
        <v>290</v>
      </c>
      <c r="C70" t="s">
        <v>359</v>
      </c>
      <c r="E70">
        <v>30</v>
      </c>
      <c r="F70" s="26">
        <f t="shared" si="1"/>
        <v>7878.88</v>
      </c>
      <c r="G70" t="s">
        <v>205</v>
      </c>
    </row>
    <row r="71" spans="1:7" x14ac:dyDescent="0.25">
      <c r="A71" s="25">
        <v>45659</v>
      </c>
      <c r="B71" t="s">
        <v>290</v>
      </c>
      <c r="C71" t="s">
        <v>360</v>
      </c>
      <c r="E71">
        <v>30</v>
      </c>
      <c r="F71" s="26">
        <f t="shared" si="1"/>
        <v>7908.88</v>
      </c>
      <c r="G71" t="s">
        <v>205</v>
      </c>
    </row>
    <row r="72" spans="1:7" x14ac:dyDescent="0.25">
      <c r="A72" s="25">
        <v>45659</v>
      </c>
      <c r="B72" t="s">
        <v>290</v>
      </c>
      <c r="C72" t="s">
        <v>361</v>
      </c>
      <c r="E72">
        <v>30</v>
      </c>
      <c r="F72" s="26">
        <f t="shared" si="1"/>
        <v>7938.88</v>
      </c>
      <c r="G72" t="s">
        <v>205</v>
      </c>
    </row>
    <row r="73" spans="1:7" x14ac:dyDescent="0.25">
      <c r="A73" s="25">
        <v>45659</v>
      </c>
      <c r="B73" t="s">
        <v>290</v>
      </c>
      <c r="C73" t="s">
        <v>362</v>
      </c>
      <c r="E73">
        <v>30</v>
      </c>
      <c r="F73" s="26">
        <f t="shared" si="1"/>
        <v>7968.88</v>
      </c>
      <c r="G73" t="s">
        <v>205</v>
      </c>
    </row>
    <row r="74" spans="1:7" x14ac:dyDescent="0.25">
      <c r="A74" s="25">
        <v>45659</v>
      </c>
      <c r="B74" t="s">
        <v>290</v>
      </c>
      <c r="C74" t="s">
        <v>363</v>
      </c>
      <c r="E74">
        <v>30</v>
      </c>
      <c r="F74" s="26">
        <f t="shared" si="1"/>
        <v>7998.88</v>
      </c>
      <c r="G74" t="s">
        <v>205</v>
      </c>
    </row>
    <row r="75" spans="1:7" x14ac:dyDescent="0.25">
      <c r="A75" s="25">
        <v>45659</v>
      </c>
      <c r="B75" t="s">
        <v>290</v>
      </c>
      <c r="C75" t="s">
        <v>364</v>
      </c>
      <c r="E75">
        <v>30</v>
      </c>
      <c r="F75" s="26">
        <f t="shared" si="1"/>
        <v>8028.88</v>
      </c>
      <c r="G75" t="s">
        <v>205</v>
      </c>
    </row>
    <row r="76" spans="1:7" x14ac:dyDescent="0.25">
      <c r="A76" s="25">
        <v>45659</v>
      </c>
      <c r="B76" t="s">
        <v>290</v>
      </c>
      <c r="C76" t="s">
        <v>365</v>
      </c>
      <c r="E76">
        <v>30</v>
      </c>
      <c r="F76" s="26">
        <f t="shared" si="1"/>
        <v>8058.88</v>
      </c>
      <c r="G76" t="s">
        <v>205</v>
      </c>
    </row>
    <row r="77" spans="1:7" x14ac:dyDescent="0.25">
      <c r="A77" s="25">
        <v>45659</v>
      </c>
      <c r="B77" t="s">
        <v>290</v>
      </c>
      <c r="C77" t="s">
        <v>366</v>
      </c>
      <c r="E77">
        <v>30</v>
      </c>
      <c r="F77" s="26">
        <f t="shared" si="1"/>
        <v>8088.88</v>
      </c>
      <c r="G77" t="s">
        <v>205</v>
      </c>
    </row>
    <row r="78" spans="1:7" x14ac:dyDescent="0.25">
      <c r="A78" s="25">
        <v>45659</v>
      </c>
      <c r="B78" t="s">
        <v>290</v>
      </c>
      <c r="C78" t="s">
        <v>367</v>
      </c>
      <c r="E78">
        <v>30</v>
      </c>
      <c r="F78" s="26">
        <f t="shared" si="1"/>
        <v>8118.88</v>
      </c>
      <c r="G78" t="s">
        <v>205</v>
      </c>
    </row>
    <row r="79" spans="1:7" x14ac:dyDescent="0.25">
      <c r="A79" s="25">
        <v>45659</v>
      </c>
      <c r="B79" t="s">
        <v>290</v>
      </c>
      <c r="C79" t="s">
        <v>368</v>
      </c>
      <c r="E79">
        <v>30</v>
      </c>
      <c r="F79" s="26">
        <f t="shared" si="1"/>
        <v>8148.88</v>
      </c>
      <c r="G79" t="s">
        <v>205</v>
      </c>
    </row>
    <row r="80" spans="1:7" x14ac:dyDescent="0.25">
      <c r="A80" s="25">
        <v>45659</v>
      </c>
      <c r="B80" t="s">
        <v>290</v>
      </c>
      <c r="C80" t="s">
        <v>369</v>
      </c>
      <c r="E80">
        <v>25</v>
      </c>
      <c r="F80" s="26">
        <f t="shared" si="1"/>
        <v>8173.88</v>
      </c>
      <c r="G80" t="s">
        <v>205</v>
      </c>
    </row>
    <row r="81" spans="1:7" x14ac:dyDescent="0.25">
      <c r="A81" s="25">
        <v>45659</v>
      </c>
      <c r="B81" t="s">
        <v>290</v>
      </c>
      <c r="C81" t="s">
        <v>370</v>
      </c>
      <c r="E81">
        <v>30</v>
      </c>
      <c r="F81" s="26">
        <f t="shared" si="1"/>
        <v>8203.880000000001</v>
      </c>
      <c r="G81" t="s">
        <v>205</v>
      </c>
    </row>
    <row r="82" spans="1:7" x14ac:dyDescent="0.25">
      <c r="A82" s="25">
        <v>45659</v>
      </c>
      <c r="B82" t="s">
        <v>290</v>
      </c>
      <c r="C82" t="s">
        <v>371</v>
      </c>
      <c r="E82">
        <v>30</v>
      </c>
      <c r="F82" s="26">
        <f t="shared" si="1"/>
        <v>8233.880000000001</v>
      </c>
      <c r="G82" t="s">
        <v>205</v>
      </c>
    </row>
    <row r="83" spans="1:7" x14ac:dyDescent="0.25">
      <c r="A83" s="25">
        <v>45659</v>
      </c>
      <c r="B83" t="s">
        <v>290</v>
      </c>
      <c r="C83" t="s">
        <v>372</v>
      </c>
      <c r="E83">
        <v>30</v>
      </c>
      <c r="F83" s="26">
        <f t="shared" si="1"/>
        <v>8263.880000000001</v>
      </c>
      <c r="G83" t="s">
        <v>205</v>
      </c>
    </row>
    <row r="84" spans="1:7" x14ac:dyDescent="0.25">
      <c r="A84" s="25">
        <v>45659</v>
      </c>
      <c r="B84" t="s">
        <v>290</v>
      </c>
      <c r="C84" t="s">
        <v>373</v>
      </c>
      <c r="E84">
        <v>30</v>
      </c>
      <c r="F84" s="26">
        <f t="shared" si="1"/>
        <v>8293.880000000001</v>
      </c>
      <c r="G84" t="s">
        <v>205</v>
      </c>
    </row>
    <row r="85" spans="1:7" x14ac:dyDescent="0.25">
      <c r="A85" s="25">
        <v>45659</v>
      </c>
      <c r="B85" t="s">
        <v>290</v>
      </c>
      <c r="C85" t="s">
        <v>374</v>
      </c>
      <c r="E85">
        <v>30</v>
      </c>
      <c r="F85" s="26">
        <f t="shared" si="1"/>
        <v>8323.880000000001</v>
      </c>
      <c r="G85" t="s">
        <v>205</v>
      </c>
    </row>
    <row r="86" spans="1:7" x14ac:dyDescent="0.25">
      <c r="A86" s="25">
        <v>45659</v>
      </c>
      <c r="B86" t="s">
        <v>290</v>
      </c>
      <c r="C86" t="s">
        <v>375</v>
      </c>
      <c r="E86">
        <v>30</v>
      </c>
      <c r="F86" s="26">
        <f t="shared" si="1"/>
        <v>8353.880000000001</v>
      </c>
      <c r="G86" t="s">
        <v>205</v>
      </c>
    </row>
    <row r="87" spans="1:7" x14ac:dyDescent="0.25">
      <c r="A87" s="25">
        <v>45659</v>
      </c>
      <c r="B87" t="s">
        <v>290</v>
      </c>
      <c r="C87" t="s">
        <v>376</v>
      </c>
      <c r="E87">
        <v>30</v>
      </c>
      <c r="F87" s="26">
        <f t="shared" si="1"/>
        <v>8383.880000000001</v>
      </c>
      <c r="G87" t="s">
        <v>205</v>
      </c>
    </row>
    <row r="88" spans="1:7" x14ac:dyDescent="0.25">
      <c r="A88" s="25">
        <v>45659</v>
      </c>
      <c r="B88" t="s">
        <v>290</v>
      </c>
      <c r="C88" t="s">
        <v>377</v>
      </c>
      <c r="E88">
        <v>30</v>
      </c>
      <c r="F88" s="26">
        <f t="shared" si="1"/>
        <v>8413.880000000001</v>
      </c>
      <c r="G88" t="s">
        <v>205</v>
      </c>
    </row>
    <row r="89" spans="1:7" x14ac:dyDescent="0.25">
      <c r="A89" s="25">
        <v>45659</v>
      </c>
      <c r="B89" t="s">
        <v>290</v>
      </c>
      <c r="C89" t="s">
        <v>378</v>
      </c>
      <c r="E89">
        <v>30</v>
      </c>
      <c r="F89" s="26">
        <f t="shared" si="1"/>
        <v>8443.880000000001</v>
      </c>
      <c r="G89" t="s">
        <v>205</v>
      </c>
    </row>
    <row r="90" spans="1:7" x14ac:dyDescent="0.25">
      <c r="A90" s="25">
        <v>45659</v>
      </c>
      <c r="B90" t="s">
        <v>290</v>
      </c>
      <c r="C90" t="s">
        <v>379</v>
      </c>
      <c r="E90">
        <v>30</v>
      </c>
      <c r="F90" s="26">
        <f t="shared" si="1"/>
        <v>8473.880000000001</v>
      </c>
      <c r="G90" t="s">
        <v>205</v>
      </c>
    </row>
    <row r="91" spans="1:7" x14ac:dyDescent="0.25">
      <c r="A91" s="25">
        <v>45659</v>
      </c>
      <c r="B91" t="s">
        <v>290</v>
      </c>
      <c r="C91" t="s">
        <v>380</v>
      </c>
      <c r="E91">
        <v>30</v>
      </c>
      <c r="F91" s="26">
        <f t="shared" si="1"/>
        <v>8503.880000000001</v>
      </c>
      <c r="G91" t="s">
        <v>205</v>
      </c>
    </row>
    <row r="92" spans="1:7" x14ac:dyDescent="0.25">
      <c r="A92" s="25">
        <v>45659</v>
      </c>
      <c r="B92" t="s">
        <v>290</v>
      </c>
      <c r="C92" t="s">
        <v>381</v>
      </c>
      <c r="E92">
        <v>25</v>
      </c>
      <c r="F92" s="26">
        <f t="shared" si="1"/>
        <v>8528.880000000001</v>
      </c>
      <c r="G92" t="s">
        <v>205</v>
      </c>
    </row>
    <row r="93" spans="1:7" x14ac:dyDescent="0.25">
      <c r="A93" s="25">
        <v>45659</v>
      </c>
      <c r="B93" t="s">
        <v>290</v>
      </c>
      <c r="C93" t="s">
        <v>382</v>
      </c>
      <c r="E93">
        <v>25</v>
      </c>
      <c r="F93" s="26">
        <f t="shared" si="1"/>
        <v>8553.880000000001</v>
      </c>
      <c r="G93" t="s">
        <v>205</v>
      </c>
    </row>
    <row r="94" spans="1:7" x14ac:dyDescent="0.25">
      <c r="A94" s="25">
        <v>45659</v>
      </c>
      <c r="B94" t="s">
        <v>290</v>
      </c>
      <c r="C94" t="s">
        <v>383</v>
      </c>
      <c r="E94">
        <v>30</v>
      </c>
      <c r="F94" s="26">
        <f t="shared" si="1"/>
        <v>8583.880000000001</v>
      </c>
      <c r="G94" t="s">
        <v>205</v>
      </c>
    </row>
    <row r="95" spans="1:7" x14ac:dyDescent="0.25">
      <c r="A95" s="25">
        <v>45659</v>
      </c>
      <c r="B95" t="s">
        <v>290</v>
      </c>
      <c r="C95" t="s">
        <v>384</v>
      </c>
      <c r="E95">
        <v>30</v>
      </c>
      <c r="F95" s="26">
        <f t="shared" si="1"/>
        <v>8613.880000000001</v>
      </c>
      <c r="G95" t="s">
        <v>205</v>
      </c>
    </row>
    <row r="96" spans="1:7" x14ac:dyDescent="0.25">
      <c r="A96" s="25">
        <v>45659</v>
      </c>
      <c r="B96" t="s">
        <v>290</v>
      </c>
      <c r="C96" t="s">
        <v>385</v>
      </c>
      <c r="E96">
        <v>25</v>
      </c>
      <c r="F96" s="26">
        <f t="shared" si="1"/>
        <v>8638.880000000001</v>
      </c>
      <c r="G96" t="s">
        <v>205</v>
      </c>
    </row>
    <row r="97" spans="1:7" x14ac:dyDescent="0.25">
      <c r="A97" s="25">
        <v>45659</v>
      </c>
      <c r="B97" t="s">
        <v>290</v>
      </c>
      <c r="C97" t="s">
        <v>386</v>
      </c>
      <c r="E97">
        <v>30</v>
      </c>
      <c r="F97" s="26">
        <f t="shared" si="1"/>
        <v>8668.880000000001</v>
      </c>
      <c r="G97" t="s">
        <v>205</v>
      </c>
    </row>
    <row r="98" spans="1:7" x14ac:dyDescent="0.25">
      <c r="A98" s="25">
        <v>45659</v>
      </c>
      <c r="B98" t="s">
        <v>290</v>
      </c>
      <c r="C98" t="s">
        <v>387</v>
      </c>
      <c r="E98">
        <v>30</v>
      </c>
      <c r="F98" s="26">
        <f t="shared" si="1"/>
        <v>8698.880000000001</v>
      </c>
      <c r="G98" t="s">
        <v>205</v>
      </c>
    </row>
    <row r="99" spans="1:7" x14ac:dyDescent="0.25">
      <c r="A99" s="25">
        <v>45659</v>
      </c>
      <c r="B99" t="s">
        <v>290</v>
      </c>
      <c r="C99" t="s">
        <v>388</v>
      </c>
      <c r="E99">
        <v>35</v>
      </c>
      <c r="F99" s="26">
        <f t="shared" si="1"/>
        <v>8733.880000000001</v>
      </c>
      <c r="G99" t="s">
        <v>205</v>
      </c>
    </row>
    <row r="100" spans="1:7" x14ac:dyDescent="0.25">
      <c r="A100" s="25">
        <v>45659</v>
      </c>
      <c r="B100" t="s">
        <v>290</v>
      </c>
      <c r="C100" t="s">
        <v>389</v>
      </c>
      <c r="E100">
        <v>30</v>
      </c>
      <c r="F100" s="26">
        <f t="shared" si="1"/>
        <v>8763.880000000001</v>
      </c>
      <c r="G100" t="s">
        <v>205</v>
      </c>
    </row>
    <row r="101" spans="1:7" x14ac:dyDescent="0.25">
      <c r="A101" s="25">
        <v>45659</v>
      </c>
      <c r="B101" t="s">
        <v>290</v>
      </c>
      <c r="C101" t="s">
        <v>390</v>
      </c>
      <c r="E101">
        <v>30</v>
      </c>
      <c r="F101" s="26">
        <f t="shared" si="1"/>
        <v>8793.880000000001</v>
      </c>
      <c r="G101" t="s">
        <v>205</v>
      </c>
    </row>
    <row r="102" spans="1:7" x14ac:dyDescent="0.25">
      <c r="A102" s="25">
        <v>45659</v>
      </c>
      <c r="B102" t="s">
        <v>290</v>
      </c>
      <c r="C102" t="s">
        <v>391</v>
      </c>
      <c r="E102">
        <v>30</v>
      </c>
      <c r="F102" s="26">
        <f t="shared" si="1"/>
        <v>8823.880000000001</v>
      </c>
      <c r="G102" t="s">
        <v>205</v>
      </c>
    </row>
    <row r="103" spans="1:7" x14ac:dyDescent="0.25">
      <c r="A103" s="25">
        <v>45659</v>
      </c>
      <c r="B103" t="s">
        <v>290</v>
      </c>
      <c r="C103" t="s">
        <v>392</v>
      </c>
      <c r="E103">
        <v>30</v>
      </c>
      <c r="F103" s="26">
        <f t="shared" si="1"/>
        <v>8853.880000000001</v>
      </c>
      <c r="G103" t="s">
        <v>205</v>
      </c>
    </row>
    <row r="104" spans="1:7" x14ac:dyDescent="0.25">
      <c r="A104" s="25">
        <v>45659</v>
      </c>
      <c r="B104" t="s">
        <v>290</v>
      </c>
      <c r="C104" t="s">
        <v>393</v>
      </c>
      <c r="E104">
        <v>30</v>
      </c>
      <c r="F104" s="26">
        <f t="shared" si="1"/>
        <v>8883.880000000001</v>
      </c>
      <c r="G104" t="s">
        <v>205</v>
      </c>
    </row>
    <row r="105" spans="1:7" x14ac:dyDescent="0.25">
      <c r="A105" s="25">
        <v>45659</v>
      </c>
      <c r="B105" t="s">
        <v>290</v>
      </c>
      <c r="C105" t="s">
        <v>394</v>
      </c>
      <c r="E105">
        <v>30</v>
      </c>
      <c r="F105" s="26">
        <f t="shared" si="1"/>
        <v>8913.880000000001</v>
      </c>
      <c r="G105" t="s">
        <v>205</v>
      </c>
    </row>
    <row r="106" spans="1:7" x14ac:dyDescent="0.25">
      <c r="A106" s="25">
        <v>45659</v>
      </c>
      <c r="B106" t="s">
        <v>290</v>
      </c>
      <c r="C106" t="s">
        <v>395</v>
      </c>
      <c r="E106">
        <v>30</v>
      </c>
      <c r="F106" s="26">
        <f t="shared" si="1"/>
        <v>8943.880000000001</v>
      </c>
      <c r="G106" t="s">
        <v>205</v>
      </c>
    </row>
    <row r="107" spans="1:7" x14ac:dyDescent="0.25">
      <c r="A107" s="25">
        <v>45659</v>
      </c>
      <c r="B107" t="s">
        <v>290</v>
      </c>
      <c r="C107" t="s">
        <v>396</v>
      </c>
      <c r="E107">
        <v>30</v>
      </c>
      <c r="F107" s="26">
        <f t="shared" si="1"/>
        <v>8973.880000000001</v>
      </c>
      <c r="G107" t="s">
        <v>205</v>
      </c>
    </row>
    <row r="108" spans="1:7" x14ac:dyDescent="0.25">
      <c r="A108" s="25">
        <v>45659</v>
      </c>
      <c r="B108" t="s">
        <v>290</v>
      </c>
      <c r="C108" t="s">
        <v>397</v>
      </c>
      <c r="E108">
        <v>30</v>
      </c>
      <c r="F108" s="26">
        <f t="shared" si="1"/>
        <v>9003.880000000001</v>
      </c>
      <c r="G108" t="s">
        <v>205</v>
      </c>
    </row>
    <row r="109" spans="1:7" x14ac:dyDescent="0.25">
      <c r="A109" s="25">
        <v>45659</v>
      </c>
      <c r="B109" t="s">
        <v>290</v>
      </c>
      <c r="C109" t="s">
        <v>398</v>
      </c>
      <c r="E109">
        <v>30</v>
      </c>
      <c r="F109" s="26">
        <f t="shared" si="1"/>
        <v>9033.880000000001</v>
      </c>
      <c r="G109" t="s">
        <v>205</v>
      </c>
    </row>
    <row r="110" spans="1:7" x14ac:dyDescent="0.25">
      <c r="A110" s="25">
        <v>45659</v>
      </c>
      <c r="B110" t="s">
        <v>290</v>
      </c>
      <c r="C110" t="s">
        <v>399</v>
      </c>
      <c r="E110">
        <v>30</v>
      </c>
      <c r="F110" s="26">
        <f t="shared" si="1"/>
        <v>9063.880000000001</v>
      </c>
      <c r="G110" t="s">
        <v>205</v>
      </c>
    </row>
    <row r="111" spans="1:7" x14ac:dyDescent="0.25">
      <c r="A111" s="25">
        <v>45659</v>
      </c>
      <c r="B111" t="s">
        <v>290</v>
      </c>
      <c r="C111" t="s">
        <v>400</v>
      </c>
      <c r="E111">
        <v>30</v>
      </c>
      <c r="F111" s="26">
        <f t="shared" si="1"/>
        <v>9093.880000000001</v>
      </c>
      <c r="G111" t="s">
        <v>205</v>
      </c>
    </row>
    <row r="112" spans="1:7" x14ac:dyDescent="0.25">
      <c r="A112" s="25">
        <v>45659</v>
      </c>
      <c r="B112" t="s">
        <v>290</v>
      </c>
      <c r="C112" t="s">
        <v>401</v>
      </c>
      <c r="E112">
        <v>30</v>
      </c>
      <c r="F112" s="26">
        <f t="shared" si="1"/>
        <v>9123.880000000001</v>
      </c>
      <c r="G112" t="s">
        <v>205</v>
      </c>
    </row>
    <row r="113" spans="1:7" x14ac:dyDescent="0.25">
      <c r="A113" s="25">
        <v>45659</v>
      </c>
      <c r="B113" t="s">
        <v>290</v>
      </c>
      <c r="C113" t="s">
        <v>402</v>
      </c>
      <c r="E113">
        <v>30</v>
      </c>
      <c r="F113" s="26">
        <f t="shared" si="1"/>
        <v>9153.880000000001</v>
      </c>
      <c r="G113" t="s">
        <v>205</v>
      </c>
    </row>
    <row r="114" spans="1:7" x14ac:dyDescent="0.25">
      <c r="A114" s="25">
        <v>45659</v>
      </c>
      <c r="B114" t="s">
        <v>290</v>
      </c>
      <c r="C114" t="s">
        <v>403</v>
      </c>
      <c r="E114">
        <v>30</v>
      </c>
      <c r="F114" s="26">
        <f t="shared" si="1"/>
        <v>9183.880000000001</v>
      </c>
      <c r="G114" t="s">
        <v>205</v>
      </c>
    </row>
    <row r="115" spans="1:7" x14ac:dyDescent="0.25">
      <c r="A115" s="25">
        <v>45659</v>
      </c>
      <c r="B115" t="s">
        <v>290</v>
      </c>
      <c r="C115" t="s">
        <v>404</v>
      </c>
      <c r="E115">
        <v>30</v>
      </c>
      <c r="F115" s="26">
        <f t="shared" si="1"/>
        <v>9213.880000000001</v>
      </c>
      <c r="G115" t="s">
        <v>205</v>
      </c>
    </row>
    <row r="116" spans="1:7" x14ac:dyDescent="0.25">
      <c r="A116" s="25">
        <v>45659</v>
      </c>
      <c r="B116" t="s">
        <v>290</v>
      </c>
      <c r="C116" t="s">
        <v>405</v>
      </c>
      <c r="E116">
        <v>30</v>
      </c>
      <c r="F116" s="26">
        <f t="shared" si="1"/>
        <v>9243.880000000001</v>
      </c>
      <c r="G116" t="s">
        <v>205</v>
      </c>
    </row>
    <row r="117" spans="1:7" x14ac:dyDescent="0.25">
      <c r="A117" s="25">
        <v>45659</v>
      </c>
      <c r="B117" t="s">
        <v>290</v>
      </c>
      <c r="C117" t="s">
        <v>406</v>
      </c>
      <c r="E117">
        <v>30</v>
      </c>
      <c r="F117" s="26">
        <f t="shared" si="1"/>
        <v>9273.880000000001</v>
      </c>
      <c r="G117" t="s">
        <v>205</v>
      </c>
    </row>
    <row r="118" spans="1:7" x14ac:dyDescent="0.25">
      <c r="A118" s="25">
        <v>45659</v>
      </c>
      <c r="B118" t="s">
        <v>290</v>
      </c>
      <c r="C118" t="s">
        <v>407</v>
      </c>
      <c r="E118">
        <v>30</v>
      </c>
      <c r="F118" s="26">
        <f t="shared" si="1"/>
        <v>9303.880000000001</v>
      </c>
      <c r="G118" t="s">
        <v>205</v>
      </c>
    </row>
    <row r="119" spans="1:7" x14ac:dyDescent="0.25">
      <c r="A119" s="25">
        <v>45659</v>
      </c>
      <c r="B119" t="s">
        <v>290</v>
      </c>
      <c r="C119" t="s">
        <v>408</v>
      </c>
      <c r="E119">
        <v>30</v>
      </c>
      <c r="F119" s="26">
        <f t="shared" si="1"/>
        <v>9333.880000000001</v>
      </c>
      <c r="G119" t="s">
        <v>205</v>
      </c>
    </row>
    <row r="120" spans="1:7" x14ac:dyDescent="0.25">
      <c r="A120" s="25">
        <v>45659</v>
      </c>
      <c r="B120" t="s">
        <v>290</v>
      </c>
      <c r="C120" t="s">
        <v>409</v>
      </c>
      <c r="E120">
        <v>30</v>
      </c>
      <c r="F120" s="26">
        <f t="shared" si="1"/>
        <v>9363.880000000001</v>
      </c>
      <c r="G120" t="s">
        <v>205</v>
      </c>
    </row>
    <row r="121" spans="1:7" x14ac:dyDescent="0.25">
      <c r="A121" s="25">
        <v>45659</v>
      </c>
      <c r="B121" t="s">
        <v>290</v>
      </c>
      <c r="C121" t="s">
        <v>410</v>
      </c>
      <c r="E121">
        <v>30</v>
      </c>
      <c r="F121" s="26">
        <f t="shared" si="1"/>
        <v>9393.880000000001</v>
      </c>
      <c r="G121" t="s">
        <v>205</v>
      </c>
    </row>
    <row r="122" spans="1:7" x14ac:dyDescent="0.25">
      <c r="A122" s="25">
        <v>45659</v>
      </c>
      <c r="B122" t="s">
        <v>290</v>
      </c>
      <c r="C122" t="s">
        <v>411</v>
      </c>
      <c r="E122">
        <v>30</v>
      </c>
      <c r="F122" s="26">
        <f t="shared" si="1"/>
        <v>9423.880000000001</v>
      </c>
      <c r="G122" t="s">
        <v>205</v>
      </c>
    </row>
    <row r="123" spans="1:7" x14ac:dyDescent="0.25">
      <c r="A123" s="25">
        <v>45659</v>
      </c>
      <c r="B123" t="s">
        <v>290</v>
      </c>
      <c r="C123" t="s">
        <v>412</v>
      </c>
      <c r="E123">
        <v>30</v>
      </c>
      <c r="F123" s="26">
        <f t="shared" si="1"/>
        <v>9453.880000000001</v>
      </c>
      <c r="G123" t="s">
        <v>205</v>
      </c>
    </row>
    <row r="124" spans="1:7" x14ac:dyDescent="0.25">
      <c r="A124" s="25">
        <v>45659</v>
      </c>
      <c r="B124" t="s">
        <v>290</v>
      </c>
      <c r="C124" t="s">
        <v>413</v>
      </c>
      <c r="E124">
        <v>30</v>
      </c>
      <c r="F124" s="26">
        <f t="shared" si="1"/>
        <v>9483.880000000001</v>
      </c>
      <c r="G124" t="s">
        <v>205</v>
      </c>
    </row>
    <row r="125" spans="1:7" x14ac:dyDescent="0.25">
      <c r="A125" s="25">
        <v>45659</v>
      </c>
      <c r="B125" t="s">
        <v>290</v>
      </c>
      <c r="C125" t="s">
        <v>414</v>
      </c>
      <c r="E125">
        <v>30</v>
      </c>
      <c r="F125" s="26">
        <f t="shared" si="1"/>
        <v>9513.880000000001</v>
      </c>
      <c r="G125" t="s">
        <v>205</v>
      </c>
    </row>
    <row r="126" spans="1:7" x14ac:dyDescent="0.25">
      <c r="A126" s="25">
        <v>45660</v>
      </c>
      <c r="B126" t="s">
        <v>290</v>
      </c>
      <c r="C126" t="s">
        <v>545</v>
      </c>
      <c r="E126">
        <v>143.94</v>
      </c>
      <c r="F126" s="26">
        <f t="shared" si="1"/>
        <v>9657.8200000000015</v>
      </c>
      <c r="G126" t="s">
        <v>205</v>
      </c>
    </row>
    <row r="127" spans="1:7" x14ac:dyDescent="0.25">
      <c r="A127" s="25">
        <v>45660</v>
      </c>
      <c r="B127" t="s">
        <v>290</v>
      </c>
      <c r="C127" t="s">
        <v>546</v>
      </c>
      <c r="E127">
        <v>30</v>
      </c>
      <c r="F127" s="26">
        <f t="shared" si="1"/>
        <v>9687.8200000000015</v>
      </c>
      <c r="G127" t="s">
        <v>205</v>
      </c>
    </row>
    <row r="128" spans="1:7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3" x14ac:dyDescent="0.25">
      <c r="A209" s="25"/>
    </row>
    <row r="210" spans="1:3" x14ac:dyDescent="0.25">
      <c r="A210" s="25"/>
    </row>
    <row r="211" spans="1:3" x14ac:dyDescent="0.25">
      <c r="A211" s="25"/>
    </row>
    <row r="212" spans="1:3" x14ac:dyDescent="0.25">
      <c r="A212" s="25"/>
    </row>
    <row r="213" spans="1:3" x14ac:dyDescent="0.25">
      <c r="A213" s="25"/>
    </row>
    <row r="214" spans="1:3" x14ac:dyDescent="0.25">
      <c r="A214" s="25"/>
    </row>
    <row r="215" spans="1:3" x14ac:dyDescent="0.25">
      <c r="A215" s="25"/>
    </row>
    <row r="216" spans="1:3" x14ac:dyDescent="0.25">
      <c r="A216" s="25"/>
      <c r="C216" s="28"/>
    </row>
    <row r="217" spans="1:3" x14ac:dyDescent="0.25">
      <c r="A217" s="25"/>
    </row>
    <row r="218" spans="1:3" x14ac:dyDescent="0.25">
      <c r="A218" s="25"/>
    </row>
    <row r="219" spans="1:3" x14ac:dyDescent="0.25">
      <c r="A219" s="25"/>
    </row>
    <row r="220" spans="1:3" x14ac:dyDescent="0.25">
      <c r="A220" s="25"/>
    </row>
    <row r="221" spans="1:3" x14ac:dyDescent="0.25">
      <c r="A221" s="25"/>
    </row>
    <row r="222" spans="1:3" x14ac:dyDescent="0.25">
      <c r="A222" s="25"/>
    </row>
    <row r="223" spans="1:3" x14ac:dyDescent="0.25">
      <c r="A223" s="25"/>
      <c r="C223" s="28"/>
    </row>
    <row r="224" spans="1:3" x14ac:dyDescent="0.25">
      <c r="A224" s="25"/>
    </row>
    <row r="225" spans="1:3" x14ac:dyDescent="0.25">
      <c r="A225" s="25"/>
      <c r="C225" s="28"/>
    </row>
    <row r="226" spans="1:3" x14ac:dyDescent="0.25">
      <c r="A226" s="25"/>
      <c r="C226" s="28"/>
    </row>
    <row r="227" spans="1:3" x14ac:dyDescent="0.25">
      <c r="A227" s="25"/>
    </row>
    <row r="228" spans="1:3" x14ac:dyDescent="0.25">
      <c r="A228" s="25"/>
    </row>
    <row r="229" spans="1:3" x14ac:dyDescent="0.25">
      <c r="A229" s="25"/>
    </row>
    <row r="230" spans="1:3" x14ac:dyDescent="0.25">
      <c r="A230" s="25"/>
    </row>
    <row r="231" spans="1:3" x14ac:dyDescent="0.25">
      <c r="A231" s="25"/>
    </row>
    <row r="232" spans="1:3" x14ac:dyDescent="0.25">
      <c r="A232" s="25"/>
    </row>
    <row r="233" spans="1:3" x14ac:dyDescent="0.25">
      <c r="A233" s="25"/>
    </row>
    <row r="234" spans="1:3" x14ac:dyDescent="0.25">
      <c r="A234" s="25"/>
    </row>
    <row r="235" spans="1:3" x14ac:dyDescent="0.25">
      <c r="A235" s="25"/>
    </row>
    <row r="236" spans="1:3" x14ac:dyDescent="0.25">
      <c r="A236" s="25"/>
    </row>
    <row r="237" spans="1:3" x14ac:dyDescent="0.25">
      <c r="A237" s="25"/>
    </row>
    <row r="238" spans="1:3" x14ac:dyDescent="0.25">
      <c r="A238" s="25"/>
    </row>
    <row r="239" spans="1:3" x14ac:dyDescent="0.25">
      <c r="A239" s="25"/>
    </row>
    <row r="240" spans="1:3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3" x14ac:dyDescent="0.25">
      <c r="A257" s="25"/>
      <c r="C257" s="28"/>
    </row>
    <row r="258" spans="1:3" x14ac:dyDescent="0.25">
      <c r="A258" s="25"/>
    </row>
    <row r="259" spans="1:3" x14ac:dyDescent="0.25">
      <c r="A259" s="25"/>
    </row>
    <row r="260" spans="1:3" x14ac:dyDescent="0.25">
      <c r="A260" s="25"/>
    </row>
    <row r="261" spans="1:3" x14ac:dyDescent="0.25">
      <c r="A261" s="25"/>
    </row>
    <row r="262" spans="1:3" x14ac:dyDescent="0.25">
      <c r="A262" s="25"/>
    </row>
    <row r="263" spans="1:3" x14ac:dyDescent="0.25">
      <c r="A263" s="25"/>
    </row>
    <row r="264" spans="1:3" x14ac:dyDescent="0.25">
      <c r="A264" s="25"/>
    </row>
    <row r="265" spans="1:3" x14ac:dyDescent="0.25">
      <c r="A265" s="25"/>
    </row>
    <row r="266" spans="1:3" x14ac:dyDescent="0.25">
      <c r="A266" s="25"/>
    </row>
    <row r="267" spans="1:3" x14ac:dyDescent="0.25">
      <c r="A267" s="25"/>
    </row>
    <row r="268" spans="1:3" x14ac:dyDescent="0.25">
      <c r="A268" s="25"/>
    </row>
    <row r="269" spans="1:3" x14ac:dyDescent="0.25">
      <c r="A269" s="25"/>
    </row>
    <row r="270" spans="1:3" x14ac:dyDescent="0.25">
      <c r="A270" s="25"/>
    </row>
    <row r="271" spans="1:3" x14ac:dyDescent="0.25">
      <c r="A271" s="25"/>
    </row>
    <row r="272" spans="1:3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</sheetData>
  <autoFilter ref="A1:I352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40</v>
      </c>
      <c r="B1" t="s">
        <v>209</v>
      </c>
      <c r="C1" t="s">
        <v>289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81</v>
      </c>
      <c r="J1" s="2" t="s">
        <v>5</v>
      </c>
      <c r="K1" s="2" t="s">
        <v>15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5">
        <v>45658</v>
      </c>
      <c r="D3">
        <v>30</v>
      </c>
      <c r="T3" s="26">
        <v>5853.88</v>
      </c>
    </row>
    <row r="4" spans="1:20" x14ac:dyDescent="0.25">
      <c r="A4" s="25">
        <v>45658</v>
      </c>
      <c r="D4">
        <v>30</v>
      </c>
      <c r="T4" s="26">
        <v>5883.88</v>
      </c>
    </row>
    <row r="5" spans="1:20" x14ac:dyDescent="0.25">
      <c r="A5" s="25">
        <v>45659</v>
      </c>
      <c r="D5">
        <v>30</v>
      </c>
      <c r="T5" s="26">
        <v>5913.88</v>
      </c>
    </row>
    <row r="6" spans="1:20" x14ac:dyDescent="0.25">
      <c r="A6" s="25">
        <v>45659</v>
      </c>
      <c r="D6">
        <v>30</v>
      </c>
      <c r="T6" s="26">
        <v>5943.88</v>
      </c>
    </row>
    <row r="7" spans="1:20" x14ac:dyDescent="0.25">
      <c r="A7" s="25">
        <v>45659</v>
      </c>
      <c r="D7">
        <v>30</v>
      </c>
      <c r="T7" s="26">
        <v>5973.88</v>
      </c>
    </row>
    <row r="8" spans="1:20" x14ac:dyDescent="0.25">
      <c r="A8" s="25">
        <v>45659</v>
      </c>
      <c r="D8">
        <v>30</v>
      </c>
      <c r="T8" s="26">
        <v>6003.88</v>
      </c>
    </row>
    <row r="9" spans="1:20" x14ac:dyDescent="0.25">
      <c r="A9" s="25">
        <v>45659</v>
      </c>
      <c r="D9">
        <v>30</v>
      </c>
      <c r="T9" s="26">
        <v>6033.88</v>
      </c>
    </row>
    <row r="10" spans="1:20" x14ac:dyDescent="0.25">
      <c r="A10" s="25">
        <v>45659</v>
      </c>
      <c r="D10">
        <v>30</v>
      </c>
      <c r="T10" s="26">
        <v>6063.88</v>
      </c>
    </row>
    <row r="11" spans="1:20" x14ac:dyDescent="0.25">
      <c r="A11" s="25">
        <v>45659</v>
      </c>
      <c r="D11">
        <v>30</v>
      </c>
      <c r="T11" s="26">
        <v>6093.88</v>
      </c>
    </row>
    <row r="12" spans="1:20" x14ac:dyDescent="0.25">
      <c r="A12" s="25">
        <v>45659</v>
      </c>
      <c r="D12">
        <v>30</v>
      </c>
      <c r="T12" s="26">
        <v>6123.88</v>
      </c>
    </row>
    <row r="13" spans="1:20" x14ac:dyDescent="0.25">
      <c r="A13" s="25">
        <v>45659</v>
      </c>
      <c r="D13">
        <v>30</v>
      </c>
      <c r="T13" s="26">
        <v>6153.88</v>
      </c>
    </row>
    <row r="14" spans="1:20" x14ac:dyDescent="0.25">
      <c r="A14" s="25">
        <v>45659</v>
      </c>
      <c r="D14">
        <v>30</v>
      </c>
      <c r="T14" s="26">
        <v>6183.88</v>
      </c>
    </row>
    <row r="15" spans="1:20" x14ac:dyDescent="0.25">
      <c r="A15" s="25">
        <v>45659</v>
      </c>
      <c r="D15">
        <v>30</v>
      </c>
      <c r="T15" s="26">
        <v>6213.88</v>
      </c>
    </row>
    <row r="16" spans="1:20" x14ac:dyDescent="0.25">
      <c r="A16" s="25">
        <v>45659</v>
      </c>
      <c r="D16">
        <v>30</v>
      </c>
      <c r="T16" s="26">
        <v>6243.88</v>
      </c>
    </row>
    <row r="17" spans="1:20" x14ac:dyDescent="0.25">
      <c r="A17" s="25">
        <v>45659</v>
      </c>
      <c r="D17">
        <v>30</v>
      </c>
      <c r="T17" s="26">
        <v>6273.88</v>
      </c>
    </row>
    <row r="18" spans="1:20" x14ac:dyDescent="0.25">
      <c r="A18" s="25">
        <v>45659</v>
      </c>
      <c r="D18">
        <v>50</v>
      </c>
      <c r="T18" s="26">
        <v>6323.88</v>
      </c>
    </row>
    <row r="19" spans="1:20" x14ac:dyDescent="0.25">
      <c r="A19" s="25">
        <v>45659</v>
      </c>
      <c r="D19">
        <v>30</v>
      </c>
      <c r="T19" s="26">
        <v>6353.88</v>
      </c>
    </row>
    <row r="20" spans="1:20" x14ac:dyDescent="0.25">
      <c r="A20" s="25">
        <v>45659</v>
      </c>
      <c r="D20">
        <v>30</v>
      </c>
      <c r="T20" s="26">
        <v>6383.88</v>
      </c>
    </row>
    <row r="21" spans="1:20" x14ac:dyDescent="0.25">
      <c r="A21" s="25">
        <v>45659</v>
      </c>
      <c r="D21">
        <v>30</v>
      </c>
      <c r="T21" s="26">
        <v>6413.88</v>
      </c>
    </row>
    <row r="22" spans="1:20" x14ac:dyDescent="0.25">
      <c r="A22" s="25">
        <v>45659</v>
      </c>
      <c r="D22">
        <v>30</v>
      </c>
      <c r="T22" s="26">
        <v>6443.88</v>
      </c>
    </row>
    <row r="23" spans="1:20" x14ac:dyDescent="0.25">
      <c r="A23" s="25">
        <v>45659</v>
      </c>
      <c r="D23">
        <v>30</v>
      </c>
      <c r="T23" s="26">
        <v>6473.88</v>
      </c>
    </row>
    <row r="24" spans="1:20" x14ac:dyDescent="0.25">
      <c r="A24" s="25">
        <v>45659</v>
      </c>
      <c r="D24">
        <v>30</v>
      </c>
      <c r="T24" s="26">
        <v>6503.88</v>
      </c>
    </row>
    <row r="25" spans="1:20" x14ac:dyDescent="0.25">
      <c r="A25" s="25">
        <v>45659</v>
      </c>
      <c r="D25">
        <v>30</v>
      </c>
      <c r="T25" s="26">
        <v>6533.88</v>
      </c>
    </row>
    <row r="26" spans="1:20" x14ac:dyDescent="0.25">
      <c r="A26" s="25">
        <v>45659</v>
      </c>
      <c r="D26">
        <v>30</v>
      </c>
      <c r="T26" s="26">
        <v>6563.88</v>
      </c>
    </row>
    <row r="27" spans="1:20" x14ac:dyDescent="0.25">
      <c r="A27" s="25">
        <v>45659</v>
      </c>
      <c r="D27">
        <v>30</v>
      </c>
      <c r="T27" s="26">
        <v>6593.88</v>
      </c>
    </row>
    <row r="28" spans="1:20" x14ac:dyDescent="0.25">
      <c r="A28" s="25">
        <v>45659</v>
      </c>
      <c r="D28">
        <v>30</v>
      </c>
      <c r="T28" s="26">
        <v>6623.88</v>
      </c>
    </row>
    <row r="29" spans="1:20" x14ac:dyDescent="0.25">
      <c r="A29" s="25">
        <v>45659</v>
      </c>
      <c r="D29">
        <v>30</v>
      </c>
      <c r="T29" s="26">
        <v>6653.88</v>
      </c>
    </row>
    <row r="30" spans="1:20" x14ac:dyDescent="0.25">
      <c r="A30" s="25">
        <v>45659</v>
      </c>
      <c r="D30">
        <v>30</v>
      </c>
      <c r="T30" s="26">
        <v>6683.88</v>
      </c>
    </row>
    <row r="31" spans="1:20" x14ac:dyDescent="0.25">
      <c r="A31" s="25">
        <v>45659</v>
      </c>
      <c r="D31">
        <v>30</v>
      </c>
      <c r="T31" s="26">
        <v>6713.88</v>
      </c>
    </row>
    <row r="32" spans="1:20" x14ac:dyDescent="0.25">
      <c r="A32" s="25">
        <v>45659</v>
      </c>
      <c r="D32">
        <v>30</v>
      </c>
      <c r="T32" s="26">
        <v>6743.88</v>
      </c>
    </row>
    <row r="33" spans="1:20" x14ac:dyDescent="0.25">
      <c r="A33" s="25">
        <v>45659</v>
      </c>
      <c r="D33">
        <v>30</v>
      </c>
      <c r="T33" s="26">
        <v>6773.88</v>
      </c>
    </row>
    <row r="34" spans="1:20" x14ac:dyDescent="0.25">
      <c r="A34" s="25">
        <v>45659</v>
      </c>
      <c r="D34">
        <v>30</v>
      </c>
      <c r="T34" s="26">
        <v>6803.88</v>
      </c>
    </row>
    <row r="35" spans="1:20" x14ac:dyDescent="0.25">
      <c r="A35" s="25">
        <v>45659</v>
      </c>
      <c r="D35">
        <v>25</v>
      </c>
      <c r="T35" s="26">
        <v>6828.88</v>
      </c>
    </row>
    <row r="36" spans="1:20" x14ac:dyDescent="0.25">
      <c r="A36" s="25">
        <v>45659</v>
      </c>
      <c r="D36">
        <v>30</v>
      </c>
      <c r="T36" s="26">
        <v>6858.88</v>
      </c>
    </row>
    <row r="37" spans="1:20" x14ac:dyDescent="0.25">
      <c r="A37" s="25">
        <v>45659</v>
      </c>
      <c r="D37">
        <v>30</v>
      </c>
      <c r="T37" s="26">
        <v>6888.88</v>
      </c>
    </row>
    <row r="38" spans="1:20" x14ac:dyDescent="0.25">
      <c r="A38" s="25">
        <v>45659</v>
      </c>
      <c r="D38">
        <v>30</v>
      </c>
      <c r="T38" s="26">
        <v>6918.88</v>
      </c>
    </row>
    <row r="39" spans="1:20" x14ac:dyDescent="0.25">
      <c r="A39" s="25">
        <v>45659</v>
      </c>
      <c r="D39">
        <v>30</v>
      </c>
      <c r="T39" s="26">
        <v>6948.88</v>
      </c>
    </row>
    <row r="40" spans="1:20" x14ac:dyDescent="0.25">
      <c r="A40" s="25">
        <v>45659</v>
      </c>
      <c r="D40">
        <v>30</v>
      </c>
      <c r="T40" s="26">
        <v>6978.88</v>
      </c>
    </row>
    <row r="41" spans="1:20" x14ac:dyDescent="0.25">
      <c r="A41" s="25">
        <v>45659</v>
      </c>
      <c r="D41">
        <v>30</v>
      </c>
      <c r="T41" s="26">
        <v>7008.88</v>
      </c>
    </row>
    <row r="42" spans="1:20" x14ac:dyDescent="0.25">
      <c r="A42" s="25">
        <v>45659</v>
      </c>
      <c r="D42">
        <v>30</v>
      </c>
      <c r="T42" s="26">
        <v>7038.88</v>
      </c>
    </row>
    <row r="43" spans="1:20" x14ac:dyDescent="0.25">
      <c r="A43" s="25">
        <v>45659</v>
      </c>
      <c r="D43">
        <v>30</v>
      </c>
      <c r="T43" s="26">
        <v>7068.88</v>
      </c>
    </row>
    <row r="44" spans="1:20" x14ac:dyDescent="0.25">
      <c r="A44" s="25">
        <v>45659</v>
      </c>
      <c r="D44">
        <v>30</v>
      </c>
      <c r="T44" s="26">
        <v>7098.88</v>
      </c>
    </row>
    <row r="45" spans="1:20" x14ac:dyDescent="0.25">
      <c r="A45" s="25">
        <v>45659</v>
      </c>
      <c r="D45">
        <v>30</v>
      </c>
      <c r="T45" s="26">
        <v>7128.88</v>
      </c>
    </row>
    <row r="46" spans="1:20" x14ac:dyDescent="0.25">
      <c r="A46" s="25">
        <v>45659</v>
      </c>
      <c r="D46">
        <v>30</v>
      </c>
      <c r="T46" s="26">
        <v>7158.88</v>
      </c>
    </row>
    <row r="47" spans="1:20" x14ac:dyDescent="0.25">
      <c r="A47" s="25">
        <v>45659</v>
      </c>
      <c r="D47">
        <v>30</v>
      </c>
      <c r="T47" s="26">
        <v>7188.88</v>
      </c>
    </row>
    <row r="48" spans="1:20" x14ac:dyDescent="0.25">
      <c r="A48" s="25">
        <v>45659</v>
      </c>
      <c r="D48">
        <v>30</v>
      </c>
      <c r="T48" s="26">
        <v>7218.88</v>
      </c>
    </row>
    <row r="49" spans="1:20" x14ac:dyDescent="0.25">
      <c r="A49" s="25">
        <v>45659</v>
      </c>
      <c r="D49">
        <v>30</v>
      </c>
      <c r="T49" s="26">
        <v>7248.88</v>
      </c>
    </row>
    <row r="50" spans="1:20" x14ac:dyDescent="0.25">
      <c r="A50" s="25">
        <v>45659</v>
      </c>
      <c r="D50">
        <v>30</v>
      </c>
      <c r="T50" s="26">
        <v>7278.88</v>
      </c>
    </row>
    <row r="51" spans="1:20" x14ac:dyDescent="0.25">
      <c r="A51" s="25">
        <v>45659</v>
      </c>
      <c r="D51">
        <v>30</v>
      </c>
      <c r="T51" s="26">
        <v>7308.88</v>
      </c>
    </row>
    <row r="52" spans="1:20" x14ac:dyDescent="0.25">
      <c r="A52" s="25">
        <v>45659</v>
      </c>
      <c r="D52">
        <v>30</v>
      </c>
      <c r="T52" s="26">
        <v>7338.88</v>
      </c>
    </row>
    <row r="53" spans="1:20" x14ac:dyDescent="0.25">
      <c r="A53" s="25">
        <v>45659</v>
      </c>
      <c r="D53">
        <v>30</v>
      </c>
      <c r="T53" s="26">
        <v>7368.88</v>
      </c>
    </row>
    <row r="54" spans="1:20" x14ac:dyDescent="0.25">
      <c r="A54" s="25">
        <v>45659</v>
      </c>
      <c r="D54">
        <v>30</v>
      </c>
      <c r="T54" s="26">
        <v>7398.88</v>
      </c>
    </row>
    <row r="55" spans="1:20" x14ac:dyDescent="0.25">
      <c r="A55" s="25">
        <v>45659</v>
      </c>
      <c r="D55">
        <v>30</v>
      </c>
      <c r="T55" s="26">
        <v>7428.88</v>
      </c>
    </row>
    <row r="56" spans="1:20" x14ac:dyDescent="0.25">
      <c r="A56" s="25">
        <v>45659</v>
      </c>
      <c r="D56">
        <v>30</v>
      </c>
      <c r="T56" s="26">
        <v>7458.88</v>
      </c>
    </row>
    <row r="57" spans="1:20" x14ac:dyDescent="0.25">
      <c r="A57" s="25">
        <v>45659</v>
      </c>
      <c r="D57">
        <v>30</v>
      </c>
      <c r="T57" s="26">
        <v>7488.88</v>
      </c>
    </row>
    <row r="58" spans="1:20" x14ac:dyDescent="0.25">
      <c r="A58" s="25">
        <v>45659</v>
      </c>
      <c r="D58">
        <v>30</v>
      </c>
      <c r="T58" s="26">
        <v>7518.88</v>
      </c>
    </row>
    <row r="59" spans="1:20" x14ac:dyDescent="0.25">
      <c r="A59" s="25">
        <v>45659</v>
      </c>
      <c r="D59">
        <v>30</v>
      </c>
      <c r="T59" s="26">
        <v>7548.88</v>
      </c>
    </row>
    <row r="60" spans="1:20" x14ac:dyDescent="0.25">
      <c r="A60" s="25">
        <v>45659</v>
      </c>
      <c r="D60">
        <v>30</v>
      </c>
      <c r="T60" s="26">
        <v>7578.88</v>
      </c>
    </row>
    <row r="61" spans="1:20" x14ac:dyDescent="0.25">
      <c r="A61" s="25">
        <v>45659</v>
      </c>
      <c r="D61">
        <v>30</v>
      </c>
      <c r="T61" s="26">
        <v>7608.88</v>
      </c>
    </row>
    <row r="62" spans="1:20" x14ac:dyDescent="0.25">
      <c r="A62" s="25">
        <v>45659</v>
      </c>
      <c r="D62">
        <v>30</v>
      </c>
      <c r="T62" s="26">
        <v>7638.88</v>
      </c>
    </row>
    <row r="63" spans="1:20" x14ac:dyDescent="0.25">
      <c r="A63" s="25">
        <v>45659</v>
      </c>
      <c r="D63">
        <v>30</v>
      </c>
      <c r="T63" s="26">
        <v>7668.88</v>
      </c>
    </row>
    <row r="64" spans="1:20" x14ac:dyDescent="0.25">
      <c r="A64" s="25">
        <v>45659</v>
      </c>
      <c r="D64">
        <v>30</v>
      </c>
      <c r="T64" s="26">
        <v>7698.88</v>
      </c>
    </row>
    <row r="65" spans="1:20" x14ac:dyDescent="0.25">
      <c r="A65" s="25">
        <v>45659</v>
      </c>
      <c r="D65">
        <v>30</v>
      </c>
      <c r="T65" s="26">
        <v>7728.88</v>
      </c>
    </row>
    <row r="66" spans="1:20" x14ac:dyDescent="0.25">
      <c r="A66" s="25">
        <v>45659</v>
      </c>
      <c r="D66">
        <v>30</v>
      </c>
      <c r="T66" s="26">
        <v>7758.88</v>
      </c>
    </row>
    <row r="67" spans="1:20" x14ac:dyDescent="0.25">
      <c r="A67" s="25">
        <v>45659</v>
      </c>
      <c r="D67">
        <v>30</v>
      </c>
      <c r="T67" s="26">
        <v>7788.88</v>
      </c>
    </row>
    <row r="68" spans="1:20" x14ac:dyDescent="0.25">
      <c r="A68" s="25">
        <v>45659</v>
      </c>
      <c r="D68">
        <v>30</v>
      </c>
      <c r="T68" s="26">
        <v>7818.88</v>
      </c>
    </row>
    <row r="69" spans="1:20" x14ac:dyDescent="0.25">
      <c r="A69" s="25">
        <v>45659</v>
      </c>
      <c r="D69">
        <v>30</v>
      </c>
      <c r="T69" s="26">
        <v>7848.88</v>
      </c>
    </row>
    <row r="70" spans="1:20" x14ac:dyDescent="0.25">
      <c r="A70" s="25">
        <v>45659</v>
      </c>
      <c r="D70">
        <v>30</v>
      </c>
      <c r="T70" s="26">
        <v>7878.88</v>
      </c>
    </row>
    <row r="71" spans="1:20" x14ac:dyDescent="0.25">
      <c r="A71" s="25">
        <v>45659</v>
      </c>
      <c r="D71">
        <v>30</v>
      </c>
      <c r="T71" s="26">
        <v>7908.88</v>
      </c>
    </row>
    <row r="72" spans="1:20" x14ac:dyDescent="0.25">
      <c r="A72" s="25">
        <v>45659</v>
      </c>
      <c r="D72">
        <v>30</v>
      </c>
      <c r="T72" s="26">
        <v>7938.88</v>
      </c>
    </row>
    <row r="73" spans="1:20" x14ac:dyDescent="0.25">
      <c r="A73" s="25">
        <v>45659</v>
      </c>
      <c r="D73">
        <v>30</v>
      </c>
      <c r="T73" s="26">
        <v>7968.88</v>
      </c>
    </row>
    <row r="74" spans="1:20" x14ac:dyDescent="0.25">
      <c r="A74" s="25">
        <v>45659</v>
      </c>
      <c r="D74">
        <v>30</v>
      </c>
      <c r="T74" s="26">
        <v>7998.88</v>
      </c>
    </row>
    <row r="75" spans="1:20" x14ac:dyDescent="0.25">
      <c r="A75" s="25">
        <v>45659</v>
      </c>
      <c r="D75">
        <v>30</v>
      </c>
      <c r="T75" s="26">
        <v>8028.88</v>
      </c>
    </row>
    <row r="76" spans="1:20" x14ac:dyDescent="0.25">
      <c r="A76" s="25">
        <v>45659</v>
      </c>
      <c r="D76">
        <v>30</v>
      </c>
      <c r="T76" s="26">
        <v>8058.88</v>
      </c>
    </row>
    <row r="77" spans="1:20" x14ac:dyDescent="0.25">
      <c r="A77" s="25">
        <v>45659</v>
      </c>
      <c r="D77">
        <v>30</v>
      </c>
      <c r="T77" s="26">
        <v>8088.88</v>
      </c>
    </row>
    <row r="78" spans="1:20" x14ac:dyDescent="0.25">
      <c r="A78" s="25">
        <v>45659</v>
      </c>
      <c r="D78">
        <v>30</v>
      </c>
      <c r="T78" s="26">
        <v>8118.88</v>
      </c>
    </row>
    <row r="79" spans="1:20" x14ac:dyDescent="0.25">
      <c r="A79" s="25">
        <v>45659</v>
      </c>
      <c r="D79">
        <v>30</v>
      </c>
      <c r="T79" s="26">
        <v>8148.88</v>
      </c>
    </row>
    <row r="80" spans="1:20" x14ac:dyDescent="0.25">
      <c r="A80" s="25">
        <v>45659</v>
      </c>
      <c r="D80">
        <v>25</v>
      </c>
      <c r="T80" s="26">
        <v>8173.88</v>
      </c>
    </row>
    <row r="81" spans="1:20" x14ac:dyDescent="0.25">
      <c r="A81" s="25">
        <v>45659</v>
      </c>
      <c r="D81">
        <v>30</v>
      </c>
      <c r="T81" s="26">
        <v>8203.880000000001</v>
      </c>
    </row>
    <row r="82" spans="1:20" x14ac:dyDescent="0.25">
      <c r="A82" s="25">
        <v>45659</v>
      </c>
      <c r="D82">
        <v>30</v>
      </c>
      <c r="T82" s="26">
        <v>8233.880000000001</v>
      </c>
    </row>
    <row r="83" spans="1:20" x14ac:dyDescent="0.25">
      <c r="A83" s="25">
        <v>45659</v>
      </c>
      <c r="D83">
        <v>30</v>
      </c>
      <c r="T83" s="26">
        <v>8263.880000000001</v>
      </c>
    </row>
    <row r="84" spans="1:20" x14ac:dyDescent="0.25">
      <c r="A84" s="25">
        <v>45659</v>
      </c>
      <c r="D84">
        <v>30</v>
      </c>
      <c r="T84" s="26">
        <v>8293.880000000001</v>
      </c>
    </row>
    <row r="85" spans="1:20" x14ac:dyDescent="0.25">
      <c r="A85" s="25">
        <v>45659</v>
      </c>
      <c r="D85">
        <v>30</v>
      </c>
      <c r="T85" s="26">
        <v>8323.880000000001</v>
      </c>
    </row>
    <row r="86" spans="1:20" x14ac:dyDescent="0.25">
      <c r="A86" s="25">
        <v>45659</v>
      </c>
      <c r="D86">
        <v>30</v>
      </c>
      <c r="T86" s="26">
        <v>8353.880000000001</v>
      </c>
    </row>
    <row r="87" spans="1:20" x14ac:dyDescent="0.25">
      <c r="A87" s="25">
        <v>45659</v>
      </c>
      <c r="D87">
        <v>30</v>
      </c>
      <c r="T87" s="26">
        <v>8383.880000000001</v>
      </c>
    </row>
    <row r="88" spans="1:20" x14ac:dyDescent="0.25">
      <c r="A88" s="25">
        <v>45659</v>
      </c>
      <c r="D88">
        <v>30</v>
      </c>
      <c r="T88" s="26">
        <v>8413.880000000001</v>
      </c>
    </row>
    <row r="89" spans="1:20" x14ac:dyDescent="0.25">
      <c r="A89" s="25">
        <v>45659</v>
      </c>
      <c r="D89">
        <v>30</v>
      </c>
      <c r="T89" s="26">
        <v>8443.880000000001</v>
      </c>
    </row>
    <row r="90" spans="1:20" x14ac:dyDescent="0.25">
      <c r="A90" s="25">
        <v>45659</v>
      </c>
      <c r="D90">
        <v>30</v>
      </c>
      <c r="T90" s="26">
        <v>8473.880000000001</v>
      </c>
    </row>
    <row r="91" spans="1:20" x14ac:dyDescent="0.25">
      <c r="A91" s="25">
        <v>45659</v>
      </c>
      <c r="D91">
        <v>30</v>
      </c>
      <c r="T91" s="26">
        <v>8503.880000000001</v>
      </c>
    </row>
    <row r="92" spans="1:20" x14ac:dyDescent="0.25">
      <c r="A92" s="25">
        <v>45659</v>
      </c>
      <c r="D92">
        <v>25</v>
      </c>
      <c r="T92" s="26">
        <v>8528.880000000001</v>
      </c>
    </row>
    <row r="93" spans="1:20" x14ac:dyDescent="0.25">
      <c r="A93" s="25">
        <v>45659</v>
      </c>
      <c r="D93">
        <v>25</v>
      </c>
      <c r="T93" s="26">
        <v>8553.880000000001</v>
      </c>
    </row>
    <row r="94" spans="1:20" x14ac:dyDescent="0.25">
      <c r="A94" s="25">
        <v>45659</v>
      </c>
      <c r="D94">
        <v>30</v>
      </c>
      <c r="T94" s="26">
        <v>8583.880000000001</v>
      </c>
    </row>
    <row r="95" spans="1:20" x14ac:dyDescent="0.25">
      <c r="A95" s="25">
        <v>45659</v>
      </c>
      <c r="D95">
        <v>30</v>
      </c>
      <c r="T95" s="26">
        <v>8613.880000000001</v>
      </c>
    </row>
    <row r="96" spans="1:20" x14ac:dyDescent="0.25">
      <c r="A96" s="25">
        <v>45659</v>
      </c>
      <c r="D96">
        <v>25</v>
      </c>
      <c r="T96" s="26">
        <v>8638.880000000001</v>
      </c>
    </row>
    <row r="97" spans="1:20" x14ac:dyDescent="0.25">
      <c r="A97" s="25">
        <v>45659</v>
      </c>
      <c r="D97">
        <v>30</v>
      </c>
      <c r="T97" s="26">
        <v>8668.880000000001</v>
      </c>
    </row>
    <row r="98" spans="1:20" x14ac:dyDescent="0.25">
      <c r="A98" s="25">
        <v>45659</v>
      </c>
      <c r="D98">
        <v>30</v>
      </c>
      <c r="T98" s="26">
        <v>8698.880000000001</v>
      </c>
    </row>
    <row r="99" spans="1:20" x14ac:dyDescent="0.25">
      <c r="A99" s="25">
        <v>45659</v>
      </c>
      <c r="D99">
        <v>35</v>
      </c>
      <c r="T99" s="26">
        <v>8733.880000000001</v>
      </c>
    </row>
    <row r="100" spans="1:20" x14ac:dyDescent="0.25">
      <c r="A100" s="25">
        <v>45659</v>
      </c>
      <c r="D100">
        <v>30</v>
      </c>
      <c r="T100" s="26">
        <v>8763.880000000001</v>
      </c>
    </row>
    <row r="101" spans="1:20" x14ac:dyDescent="0.25">
      <c r="A101" s="25">
        <v>45659</v>
      </c>
      <c r="D101">
        <v>30</v>
      </c>
      <c r="T101" s="26">
        <v>8793.880000000001</v>
      </c>
    </row>
    <row r="102" spans="1:20" x14ac:dyDescent="0.25">
      <c r="A102" s="25">
        <v>45659</v>
      </c>
      <c r="D102">
        <v>30</v>
      </c>
      <c r="T102" s="26">
        <v>8823.880000000001</v>
      </c>
    </row>
    <row r="103" spans="1:20" x14ac:dyDescent="0.25">
      <c r="A103" s="25">
        <v>45659</v>
      </c>
      <c r="D103">
        <v>30</v>
      </c>
      <c r="T103" s="26">
        <v>8853.880000000001</v>
      </c>
    </row>
    <row r="104" spans="1:20" x14ac:dyDescent="0.25">
      <c r="A104" s="25">
        <v>45659</v>
      </c>
      <c r="D104">
        <v>30</v>
      </c>
      <c r="T104" s="26">
        <v>8883.880000000001</v>
      </c>
    </row>
    <row r="105" spans="1:20" x14ac:dyDescent="0.25">
      <c r="A105" s="25">
        <v>45659</v>
      </c>
      <c r="D105">
        <v>30</v>
      </c>
      <c r="T105" s="26">
        <v>8913.880000000001</v>
      </c>
    </row>
    <row r="106" spans="1:20" x14ac:dyDescent="0.25">
      <c r="A106" s="25">
        <v>45659</v>
      </c>
      <c r="D106">
        <v>30</v>
      </c>
      <c r="T106" s="26">
        <v>8943.880000000001</v>
      </c>
    </row>
    <row r="107" spans="1:20" x14ac:dyDescent="0.25">
      <c r="A107" s="25">
        <v>45659</v>
      </c>
      <c r="D107">
        <v>30</v>
      </c>
      <c r="T107" s="26">
        <v>8973.880000000001</v>
      </c>
    </row>
    <row r="108" spans="1:20" x14ac:dyDescent="0.25">
      <c r="A108" s="25">
        <v>45659</v>
      </c>
      <c r="D108">
        <v>30</v>
      </c>
      <c r="T108" s="26">
        <v>9003.880000000001</v>
      </c>
    </row>
    <row r="109" spans="1:20" x14ac:dyDescent="0.25">
      <c r="A109" s="25">
        <v>45659</v>
      </c>
      <c r="D109">
        <v>30</v>
      </c>
      <c r="T109" s="26">
        <v>9033.880000000001</v>
      </c>
    </row>
    <row r="110" spans="1:20" x14ac:dyDescent="0.25">
      <c r="A110" s="25">
        <v>45659</v>
      </c>
      <c r="D110">
        <v>30</v>
      </c>
      <c r="T110" s="26">
        <v>9063.880000000001</v>
      </c>
    </row>
    <row r="111" spans="1:20" x14ac:dyDescent="0.25">
      <c r="A111" s="25">
        <v>45659</v>
      </c>
      <c r="D111">
        <v>30</v>
      </c>
      <c r="T111" s="26">
        <v>9093.880000000001</v>
      </c>
    </row>
    <row r="112" spans="1:20" x14ac:dyDescent="0.25">
      <c r="A112" s="25">
        <v>45659</v>
      </c>
      <c r="D112">
        <v>30</v>
      </c>
      <c r="T112" s="26">
        <v>9123.880000000001</v>
      </c>
    </row>
    <row r="113" spans="1:20" x14ac:dyDescent="0.25">
      <c r="A113" s="25">
        <v>45659</v>
      </c>
      <c r="D113">
        <v>30</v>
      </c>
      <c r="T113" s="26">
        <v>9153.880000000001</v>
      </c>
    </row>
    <row r="114" spans="1:20" x14ac:dyDescent="0.25">
      <c r="A114" s="25">
        <v>45659</v>
      </c>
      <c r="D114">
        <v>30</v>
      </c>
      <c r="T114" s="26">
        <v>9183.880000000001</v>
      </c>
    </row>
    <row r="115" spans="1:20" x14ac:dyDescent="0.25">
      <c r="A115" s="25">
        <v>45659</v>
      </c>
      <c r="D115">
        <v>30</v>
      </c>
      <c r="T115" s="26">
        <v>9213.880000000001</v>
      </c>
    </row>
    <row r="116" spans="1:20" x14ac:dyDescent="0.25">
      <c r="A116" s="25">
        <v>45659</v>
      </c>
      <c r="D116">
        <v>30</v>
      </c>
      <c r="T116" s="26">
        <v>9243.880000000001</v>
      </c>
    </row>
    <row r="117" spans="1:20" x14ac:dyDescent="0.25">
      <c r="A117" s="25">
        <v>45659</v>
      </c>
      <c r="D117">
        <v>30</v>
      </c>
      <c r="T117" s="26">
        <v>9273.880000000001</v>
      </c>
    </row>
    <row r="118" spans="1:20" x14ac:dyDescent="0.25">
      <c r="A118" s="25">
        <v>45659</v>
      </c>
      <c r="D118">
        <v>30</v>
      </c>
      <c r="T118" s="26">
        <v>9303.880000000001</v>
      </c>
    </row>
    <row r="119" spans="1:20" x14ac:dyDescent="0.25">
      <c r="A119" s="25">
        <v>45659</v>
      </c>
      <c r="D119">
        <v>30</v>
      </c>
      <c r="T119" s="26">
        <v>9333.880000000001</v>
      </c>
    </row>
    <row r="120" spans="1:20" x14ac:dyDescent="0.25">
      <c r="A120" s="25">
        <v>45659</v>
      </c>
      <c r="D120">
        <v>30</v>
      </c>
      <c r="T120" s="26">
        <v>9363.880000000001</v>
      </c>
    </row>
    <row r="121" spans="1:20" x14ac:dyDescent="0.25">
      <c r="A121" s="25">
        <v>45659</v>
      </c>
      <c r="D121">
        <v>30</v>
      </c>
      <c r="T121" s="26">
        <v>9393.880000000001</v>
      </c>
    </row>
    <row r="122" spans="1:20" x14ac:dyDescent="0.25">
      <c r="A122" s="25">
        <v>45659</v>
      </c>
      <c r="D122">
        <v>30</v>
      </c>
      <c r="T122" s="26">
        <v>9423.880000000001</v>
      </c>
    </row>
    <row r="123" spans="1:20" x14ac:dyDescent="0.25">
      <c r="A123" s="25">
        <v>45659</v>
      </c>
      <c r="D123">
        <v>30</v>
      </c>
      <c r="T123" s="26">
        <v>9453.880000000001</v>
      </c>
    </row>
    <row r="124" spans="1:20" x14ac:dyDescent="0.25">
      <c r="A124" s="25">
        <v>45659</v>
      </c>
      <c r="D124">
        <v>30</v>
      </c>
      <c r="T124" s="26">
        <v>9483.880000000001</v>
      </c>
    </row>
    <row r="125" spans="1:20" x14ac:dyDescent="0.25">
      <c r="A125" s="25">
        <v>45659</v>
      </c>
      <c r="D125">
        <v>30</v>
      </c>
      <c r="T125" s="26">
        <v>9513.880000000001</v>
      </c>
    </row>
    <row r="126" spans="1:20" x14ac:dyDescent="0.25">
      <c r="A126" s="25">
        <v>45660</v>
      </c>
      <c r="D126" s="2">
        <v>30</v>
      </c>
    </row>
    <row r="127" spans="1:20" x14ac:dyDescent="0.25">
      <c r="A127" s="25">
        <v>45660</v>
      </c>
      <c r="D127" s="2">
        <v>143.94</v>
      </c>
    </row>
    <row r="349" spans="25:25" x14ac:dyDescent="0.25">
      <c r="Y349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73</v>
      </c>
      <c r="F1" s="5" t="s">
        <v>74</v>
      </c>
      <c r="G1" s="5" t="s">
        <v>75</v>
      </c>
      <c r="H1" s="5" t="s">
        <v>11</v>
      </c>
      <c r="I1" s="5" t="s">
        <v>83</v>
      </c>
    </row>
    <row r="2" spans="1:9" ht="13.5" x14ac:dyDescent="0.3">
      <c r="A2" s="3">
        <v>44927</v>
      </c>
      <c r="B2" s="4" t="s">
        <v>12</v>
      </c>
      <c r="C2" s="8" t="s">
        <v>82</v>
      </c>
      <c r="H2" s="30">
        <v>16329.339999999989</v>
      </c>
      <c r="I2" s="13">
        <f>H2+Main!T2</f>
        <v>22153.21999999999</v>
      </c>
    </row>
    <row r="3" spans="1:9" x14ac:dyDescent="0.3">
      <c r="C3" s="25"/>
      <c r="D3"/>
      <c r="E3"/>
      <c r="F3"/>
      <c r="G3"/>
      <c r="H3" s="7"/>
      <c r="I3" s="13"/>
    </row>
    <row r="4" spans="1:9" x14ac:dyDescent="0.3">
      <c r="C4" s="25"/>
      <c r="E4"/>
      <c r="H4" s="7"/>
    </row>
    <row r="5" spans="1:9" x14ac:dyDescent="0.3">
      <c r="C5" s="25"/>
      <c r="E5"/>
      <c r="H5" s="7"/>
    </row>
    <row r="6" spans="1:9" x14ac:dyDescent="0.3">
      <c r="C6" s="25"/>
      <c r="E6"/>
      <c r="H6" s="7"/>
    </row>
    <row r="7" spans="1:9" x14ac:dyDescent="0.3">
      <c r="C7" s="25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24"/>
  <sheetViews>
    <sheetView tabSelected="1" topLeftCell="A149" zoomScale="110" workbookViewId="0">
      <selection activeCell="A169" sqref="A169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3" width="16.632812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B1" s="5" t="s">
        <v>209</v>
      </c>
      <c r="C1" s="5" t="s">
        <v>210</v>
      </c>
      <c r="D1" s="5" t="s">
        <v>212</v>
      </c>
    </row>
    <row r="2" spans="1:4" x14ac:dyDescent="0.3">
      <c r="A2" t="s">
        <v>199</v>
      </c>
      <c r="B2" s="5" t="s">
        <v>186</v>
      </c>
      <c r="C2" s="5" t="s">
        <v>187</v>
      </c>
    </row>
    <row r="3" spans="1:4" x14ac:dyDescent="0.3">
      <c r="A3" t="s">
        <v>200</v>
      </c>
      <c r="B3" s="5" t="s">
        <v>190</v>
      </c>
      <c r="C3" s="5" t="s">
        <v>13</v>
      </c>
    </row>
    <row r="4" spans="1:4" x14ac:dyDescent="0.3">
      <c r="A4" t="s">
        <v>201</v>
      </c>
      <c r="B4" s="5" t="s">
        <v>17</v>
      </c>
      <c r="C4" s="5" t="s">
        <v>207</v>
      </c>
    </row>
    <row r="5" spans="1:4" x14ac:dyDescent="0.3">
      <c r="A5" t="s">
        <v>202</v>
      </c>
      <c r="B5" s="5" t="s">
        <v>188</v>
      </c>
      <c r="C5" s="5" t="s">
        <v>189</v>
      </c>
    </row>
    <row r="6" spans="1:4" x14ac:dyDescent="0.3">
      <c r="A6" t="s">
        <v>203</v>
      </c>
      <c r="B6" s="5" t="s">
        <v>192</v>
      </c>
      <c r="C6" s="5" t="s">
        <v>193</v>
      </c>
    </row>
    <row r="7" spans="1:4" x14ac:dyDescent="0.3">
      <c r="A7" t="s">
        <v>93</v>
      </c>
      <c r="B7" s="5" t="s">
        <v>191</v>
      </c>
      <c r="C7" s="5" t="s">
        <v>208</v>
      </c>
    </row>
    <row r="8" spans="1:4" x14ac:dyDescent="0.3">
      <c r="A8" t="s">
        <v>94</v>
      </c>
      <c r="B8" s="5" t="s">
        <v>28</v>
      </c>
      <c r="C8" s="5" t="s">
        <v>206</v>
      </c>
    </row>
    <row r="9" spans="1:4" x14ac:dyDescent="0.3">
      <c r="A9" t="s">
        <v>204</v>
      </c>
      <c r="B9" s="5" t="s">
        <v>184</v>
      </c>
      <c r="C9" s="5" t="s">
        <v>185</v>
      </c>
    </row>
    <row r="10" spans="1:4" x14ac:dyDescent="0.3">
      <c r="A10"/>
      <c r="B10" s="5" t="s">
        <v>211</v>
      </c>
      <c r="C10" s="5" t="s">
        <v>183</v>
      </c>
      <c r="D10" s="5" t="s">
        <v>213</v>
      </c>
    </row>
    <row r="11" spans="1:4" x14ac:dyDescent="0.3">
      <c r="A11" t="s">
        <v>214</v>
      </c>
      <c r="B11" s="5" t="s">
        <v>223</v>
      </c>
      <c r="C11" s="5" t="s">
        <v>226</v>
      </c>
    </row>
    <row r="12" spans="1:4" x14ac:dyDescent="0.3">
      <c r="A12" t="s">
        <v>215</v>
      </c>
      <c r="B12" s="5" t="s">
        <v>236</v>
      </c>
      <c r="C12" s="5" t="s">
        <v>237</v>
      </c>
    </row>
    <row r="13" spans="1:4" x14ac:dyDescent="0.3">
      <c r="A13" t="s">
        <v>216</v>
      </c>
      <c r="B13" s="5" t="s">
        <v>20</v>
      </c>
      <c r="C13" s="5" t="s">
        <v>224</v>
      </c>
    </row>
    <row r="14" spans="1:4" x14ac:dyDescent="0.3">
      <c r="A14" t="s">
        <v>217</v>
      </c>
      <c r="B14" s="5" t="s">
        <v>227</v>
      </c>
      <c r="C14" s="5" t="s">
        <v>225</v>
      </c>
    </row>
    <row r="15" spans="1:4" x14ac:dyDescent="0.3">
      <c r="A15" t="s">
        <v>218</v>
      </c>
      <c r="B15" s="5" t="s">
        <v>238</v>
      </c>
      <c r="C15" s="5" t="s">
        <v>231</v>
      </c>
    </row>
    <row r="16" spans="1:4" x14ac:dyDescent="0.3">
      <c r="A16" t="s">
        <v>219</v>
      </c>
      <c r="B16" s="5" t="s">
        <v>228</v>
      </c>
      <c r="C16" s="5" t="s">
        <v>232</v>
      </c>
    </row>
    <row r="17" spans="1:3" x14ac:dyDescent="0.3">
      <c r="A17" t="s">
        <v>220</v>
      </c>
      <c r="B17" s="5" t="s">
        <v>229</v>
      </c>
      <c r="C17" s="5" t="s">
        <v>233</v>
      </c>
    </row>
    <row r="18" spans="1:3" x14ac:dyDescent="0.3">
      <c r="A18" t="s">
        <v>221</v>
      </c>
      <c r="B18" s="5" t="s">
        <v>230</v>
      </c>
      <c r="C18" s="5" t="s">
        <v>234</v>
      </c>
    </row>
    <row r="19" spans="1:3" x14ac:dyDescent="0.3">
      <c r="A19" t="s">
        <v>222</v>
      </c>
      <c r="B19" s="5" t="s">
        <v>239</v>
      </c>
      <c r="C19" s="5" t="s">
        <v>235</v>
      </c>
    </row>
    <row r="20" spans="1:3" x14ac:dyDescent="0.3">
      <c r="A20" t="s">
        <v>240</v>
      </c>
      <c r="B20" s="5" t="s">
        <v>113</v>
      </c>
      <c r="C20" s="5" t="s">
        <v>16</v>
      </c>
    </row>
    <row r="21" spans="1:3" x14ac:dyDescent="0.3">
      <c r="A21" t="s">
        <v>241</v>
      </c>
      <c r="B21" s="5" t="s">
        <v>242</v>
      </c>
      <c r="C21" s="5" t="s">
        <v>243</v>
      </c>
    </row>
    <row r="22" spans="1:3" x14ac:dyDescent="0.3">
      <c r="A22" t="s">
        <v>167</v>
      </c>
      <c r="B22" s="5" t="s">
        <v>245</v>
      </c>
      <c r="C22" s="5" t="s">
        <v>244</v>
      </c>
    </row>
    <row r="23" spans="1:3" x14ac:dyDescent="0.3">
      <c r="A23" t="s">
        <v>167</v>
      </c>
      <c r="B23" s="5" t="s">
        <v>246</v>
      </c>
      <c r="C23" s="5" t="s">
        <v>247</v>
      </c>
    </row>
    <row r="24" spans="1:3" x14ac:dyDescent="0.3">
      <c r="A24" t="s">
        <v>250</v>
      </c>
      <c r="B24" s="5" t="s">
        <v>248</v>
      </c>
      <c r="C24" s="5" t="s">
        <v>249</v>
      </c>
    </row>
    <row r="25" spans="1:3" x14ac:dyDescent="0.3">
      <c r="A25" t="s">
        <v>251</v>
      </c>
      <c r="B25" s="5" t="s">
        <v>254</v>
      </c>
      <c r="C25" s="5" t="s">
        <v>255</v>
      </c>
    </row>
    <row r="26" spans="1:3" x14ac:dyDescent="0.3">
      <c r="A26" t="s">
        <v>252</v>
      </c>
      <c r="B26" s="5" t="s">
        <v>256</v>
      </c>
      <c r="C26" s="5" t="s">
        <v>13</v>
      </c>
    </row>
    <row r="27" spans="1:3" x14ac:dyDescent="0.3">
      <c r="A27" t="s">
        <v>253</v>
      </c>
      <c r="B27" s="5" t="s">
        <v>257</v>
      </c>
      <c r="C27" s="5" t="s">
        <v>258</v>
      </c>
    </row>
    <row r="28" spans="1:3" x14ac:dyDescent="0.3">
      <c r="A28" t="s">
        <v>259</v>
      </c>
      <c r="B28" s="5" t="s">
        <v>262</v>
      </c>
      <c r="C28" s="5" t="s">
        <v>263</v>
      </c>
    </row>
    <row r="29" spans="1:3" x14ac:dyDescent="0.3">
      <c r="A29" t="s">
        <v>260</v>
      </c>
      <c r="B29" s="5" t="s">
        <v>264</v>
      </c>
      <c r="C29" s="5" t="s">
        <v>265</v>
      </c>
    </row>
    <row r="30" spans="1:3" x14ac:dyDescent="0.3">
      <c r="A30" t="s">
        <v>261</v>
      </c>
      <c r="B30" s="5" t="s">
        <v>266</v>
      </c>
      <c r="C30" s="5" t="s">
        <v>267</v>
      </c>
    </row>
    <row r="31" spans="1:3" x14ac:dyDescent="0.3">
      <c r="A31" t="s">
        <v>268</v>
      </c>
      <c r="B31" s="5" t="s">
        <v>262</v>
      </c>
      <c r="C31" s="5" t="s">
        <v>275</v>
      </c>
    </row>
    <row r="32" spans="1:3" x14ac:dyDescent="0.3">
      <c r="A32" t="s">
        <v>269</v>
      </c>
      <c r="B32" s="5" t="s">
        <v>277</v>
      </c>
      <c r="C32" s="5" t="s">
        <v>274</v>
      </c>
    </row>
    <row r="33" spans="1:3" x14ac:dyDescent="0.3">
      <c r="A33" t="s">
        <v>270</v>
      </c>
      <c r="B33" s="5" t="s">
        <v>279</v>
      </c>
      <c r="C33" s="5" t="s">
        <v>276</v>
      </c>
    </row>
    <row r="34" spans="1:3" x14ac:dyDescent="0.3">
      <c r="A34" t="s">
        <v>271</v>
      </c>
      <c r="B34" s="5" t="s">
        <v>280</v>
      </c>
      <c r="C34" s="5" t="s">
        <v>278</v>
      </c>
    </row>
    <row r="35" spans="1:3" x14ac:dyDescent="0.3">
      <c r="A35" t="s">
        <v>272</v>
      </c>
      <c r="B35" s="5" t="s">
        <v>46</v>
      </c>
      <c r="C35" s="5" t="s">
        <v>47</v>
      </c>
    </row>
    <row r="36" spans="1:3" x14ac:dyDescent="0.3">
      <c r="A36" t="s">
        <v>273</v>
      </c>
      <c r="B36" s="5" t="s">
        <v>281</v>
      </c>
      <c r="C36" s="5" t="s">
        <v>282</v>
      </c>
    </row>
    <row r="37" spans="1:3" x14ac:dyDescent="0.3">
      <c r="A37" t="s">
        <v>291</v>
      </c>
      <c r="B37" s="5" t="s">
        <v>415</v>
      </c>
      <c r="C37" s="5" t="s">
        <v>416</v>
      </c>
    </row>
    <row r="38" spans="1:3" x14ac:dyDescent="0.3">
      <c r="A38" t="s">
        <v>292</v>
      </c>
      <c r="B38" s="5" t="s">
        <v>476</v>
      </c>
      <c r="C38" s="5" t="s">
        <v>418</v>
      </c>
    </row>
    <row r="39" spans="1:3" x14ac:dyDescent="0.3">
      <c r="A39" t="s">
        <v>293</v>
      </c>
      <c r="B39" s="5" t="s">
        <v>228</v>
      </c>
      <c r="C39" s="5" t="s">
        <v>417</v>
      </c>
    </row>
    <row r="40" spans="1:3" x14ac:dyDescent="0.3">
      <c r="A40" t="s">
        <v>294</v>
      </c>
      <c r="B40" s="5" t="s">
        <v>551</v>
      </c>
      <c r="C40" s="5" t="s">
        <v>553</v>
      </c>
    </row>
    <row r="41" spans="1:3" x14ac:dyDescent="0.3">
      <c r="A41" t="s">
        <v>296</v>
      </c>
      <c r="B41" s="5" t="s">
        <v>420</v>
      </c>
      <c r="C41" s="5" t="s">
        <v>419</v>
      </c>
    </row>
    <row r="42" spans="1:3" x14ac:dyDescent="0.3">
      <c r="A42" t="s">
        <v>297</v>
      </c>
      <c r="B42" s="5" t="s">
        <v>421</v>
      </c>
      <c r="C42" s="5" t="s">
        <v>422</v>
      </c>
    </row>
    <row r="43" spans="1:3" x14ac:dyDescent="0.3">
      <c r="A43" t="s">
        <v>298</v>
      </c>
      <c r="B43" s="5" t="s">
        <v>281</v>
      </c>
      <c r="C43" s="5" t="s">
        <v>282</v>
      </c>
    </row>
    <row r="44" spans="1:3" x14ac:dyDescent="0.3">
      <c r="A44" t="s">
        <v>299</v>
      </c>
      <c r="B44" s="5" t="s">
        <v>554</v>
      </c>
      <c r="C44" s="5" t="s">
        <v>552</v>
      </c>
    </row>
    <row r="45" spans="1:3" x14ac:dyDescent="0.3">
      <c r="A45" t="s">
        <v>300</v>
      </c>
      <c r="B45" s="5" t="s">
        <v>424</v>
      </c>
      <c r="C45" s="5" t="s">
        <v>425</v>
      </c>
    </row>
    <row r="46" spans="1:3" x14ac:dyDescent="0.3">
      <c r="A46" t="s">
        <v>301</v>
      </c>
      <c r="B46" s="5" t="s">
        <v>18</v>
      </c>
      <c r="C46" s="5" t="s">
        <v>19</v>
      </c>
    </row>
    <row r="47" spans="1:3" x14ac:dyDescent="0.3">
      <c r="A47" t="s">
        <v>302</v>
      </c>
      <c r="B47" s="5" t="s">
        <v>246</v>
      </c>
      <c r="C47" s="5" t="s">
        <v>247</v>
      </c>
    </row>
    <row r="48" spans="1:3" x14ac:dyDescent="0.3">
      <c r="A48" t="s">
        <v>303</v>
      </c>
      <c r="B48" s="5" t="s">
        <v>17</v>
      </c>
      <c r="C48" s="5" t="s">
        <v>423</v>
      </c>
    </row>
    <row r="49" spans="1:4" x14ac:dyDescent="0.3">
      <c r="A49" t="s">
        <v>304</v>
      </c>
      <c r="B49" s="5" t="s">
        <v>555</v>
      </c>
      <c r="C49" s="5" t="s">
        <v>478</v>
      </c>
    </row>
    <row r="50" spans="1:4" x14ac:dyDescent="0.3">
      <c r="A50" t="s">
        <v>305</v>
      </c>
      <c r="B50" s="5" t="s">
        <v>556</v>
      </c>
      <c r="C50" s="5" t="s">
        <v>426</v>
      </c>
    </row>
    <row r="51" spans="1:4" x14ac:dyDescent="0.3">
      <c r="A51" t="s">
        <v>306</v>
      </c>
      <c r="B51" s="5" t="s">
        <v>28</v>
      </c>
      <c r="C51" s="5" t="s">
        <v>479</v>
      </c>
    </row>
    <row r="52" spans="1:4" x14ac:dyDescent="0.3">
      <c r="A52" t="s">
        <v>307</v>
      </c>
      <c r="B52" s="5" t="s">
        <v>480</v>
      </c>
      <c r="C52" s="5" t="s">
        <v>427</v>
      </c>
      <c r="D52" s="5" t="s">
        <v>481</v>
      </c>
    </row>
    <row r="53" spans="1:4" x14ac:dyDescent="0.3">
      <c r="A53" t="s">
        <v>308</v>
      </c>
      <c r="B53" s="5" t="s">
        <v>476</v>
      </c>
      <c r="C53" s="5" t="s">
        <v>482</v>
      </c>
    </row>
    <row r="54" spans="1:4" x14ac:dyDescent="0.3">
      <c r="A54" t="s">
        <v>309</v>
      </c>
      <c r="B54" s="5" t="s">
        <v>483</v>
      </c>
      <c r="C54" s="5" t="s">
        <v>428</v>
      </c>
    </row>
    <row r="55" spans="1:4" x14ac:dyDescent="0.3">
      <c r="A55" t="s">
        <v>310</v>
      </c>
      <c r="B55" s="5" t="s">
        <v>484</v>
      </c>
      <c r="C55" s="5" t="s">
        <v>429</v>
      </c>
    </row>
    <row r="56" spans="1:4" x14ac:dyDescent="0.3">
      <c r="A56" t="s">
        <v>311</v>
      </c>
      <c r="B56" s="5" t="s">
        <v>486</v>
      </c>
      <c r="C56" s="5" t="s">
        <v>430</v>
      </c>
    </row>
    <row r="57" spans="1:4" x14ac:dyDescent="0.3">
      <c r="A57" t="s">
        <v>312</v>
      </c>
      <c r="B57" s="5" t="s">
        <v>485</v>
      </c>
      <c r="C57" s="5" t="s">
        <v>487</v>
      </c>
    </row>
    <row r="58" spans="1:4" x14ac:dyDescent="0.3">
      <c r="A58" t="s">
        <v>313</v>
      </c>
      <c r="B58" s="5" t="s">
        <v>557</v>
      </c>
      <c r="C58" s="5" t="s">
        <v>488</v>
      </c>
    </row>
    <row r="59" spans="1:4" x14ac:dyDescent="0.3">
      <c r="A59" t="s">
        <v>314</v>
      </c>
      <c r="B59" s="5" t="s">
        <v>558</v>
      </c>
      <c r="C59" s="5" t="s">
        <v>489</v>
      </c>
    </row>
    <row r="60" spans="1:4" x14ac:dyDescent="0.3">
      <c r="A60" t="s">
        <v>315</v>
      </c>
      <c r="B60" s="5" t="s">
        <v>559</v>
      </c>
      <c r="C60" s="5" t="s">
        <v>490</v>
      </c>
    </row>
    <row r="61" spans="1:4" x14ac:dyDescent="0.3">
      <c r="A61" t="s">
        <v>316</v>
      </c>
      <c r="B61" s="5" t="s">
        <v>190</v>
      </c>
      <c r="C61" s="5" t="s">
        <v>431</v>
      </c>
    </row>
    <row r="62" spans="1:4" x14ac:dyDescent="0.3">
      <c r="A62" t="s">
        <v>317</v>
      </c>
      <c r="B62" s="5" t="s">
        <v>499</v>
      </c>
      <c r="C62" s="5" t="s">
        <v>432</v>
      </c>
    </row>
    <row r="63" spans="1:4" x14ac:dyDescent="0.3">
      <c r="A63" t="s">
        <v>318</v>
      </c>
      <c r="B63" s="5" t="s">
        <v>491</v>
      </c>
      <c r="C63" s="5" t="s">
        <v>433</v>
      </c>
    </row>
    <row r="64" spans="1:4" x14ac:dyDescent="0.3">
      <c r="A64" t="s">
        <v>319</v>
      </c>
      <c r="B64" s="5" t="s">
        <v>560</v>
      </c>
      <c r="C64" s="5" t="s">
        <v>492</v>
      </c>
    </row>
    <row r="65" spans="1:4" x14ac:dyDescent="0.3">
      <c r="A65" t="s">
        <v>320</v>
      </c>
      <c r="B65" s="5" t="s">
        <v>535</v>
      </c>
      <c r="C65" s="5" t="s">
        <v>493</v>
      </c>
    </row>
    <row r="66" spans="1:4" x14ac:dyDescent="0.3">
      <c r="A66" t="s">
        <v>321</v>
      </c>
      <c r="B66" s="5" t="s">
        <v>254</v>
      </c>
      <c r="C66" s="5" t="s">
        <v>434</v>
      </c>
    </row>
    <row r="67" spans="1:4" x14ac:dyDescent="0.3">
      <c r="A67" t="s">
        <v>322</v>
      </c>
      <c r="B67" s="5" t="s">
        <v>494</v>
      </c>
      <c r="C67" s="5" t="s">
        <v>435</v>
      </c>
    </row>
    <row r="68" spans="1:4" x14ac:dyDescent="0.3">
      <c r="A68" t="s">
        <v>323</v>
      </c>
      <c r="B68" s="5" t="s">
        <v>561</v>
      </c>
      <c r="C68" s="5" t="s">
        <v>562</v>
      </c>
    </row>
    <row r="69" spans="1:4" x14ac:dyDescent="0.3">
      <c r="A69" t="s">
        <v>324</v>
      </c>
      <c r="C69" s="5" t="s">
        <v>495</v>
      </c>
      <c r="D69" s="40">
        <v>25</v>
      </c>
    </row>
    <row r="70" spans="1:4" x14ac:dyDescent="0.3">
      <c r="A70" t="s">
        <v>325</v>
      </c>
      <c r="B70" s="5" t="s">
        <v>28</v>
      </c>
      <c r="C70" s="5" t="s">
        <v>32</v>
      </c>
    </row>
    <row r="71" spans="1:4" x14ac:dyDescent="0.3">
      <c r="A71" t="s">
        <v>326</v>
      </c>
      <c r="B71" s="5" t="s">
        <v>563</v>
      </c>
      <c r="C71" s="5" t="s">
        <v>496</v>
      </c>
    </row>
    <row r="72" spans="1:4" x14ac:dyDescent="0.3">
      <c r="A72" t="s">
        <v>327</v>
      </c>
      <c r="B72" s="5" t="s">
        <v>564</v>
      </c>
      <c r="C72" s="5" t="s">
        <v>497</v>
      </c>
    </row>
    <row r="73" spans="1:4" x14ac:dyDescent="0.3">
      <c r="A73" t="s">
        <v>328</v>
      </c>
      <c r="B73" s="5" t="s">
        <v>565</v>
      </c>
      <c r="C73" s="5" t="s">
        <v>436</v>
      </c>
    </row>
    <row r="74" spans="1:4" x14ac:dyDescent="0.3">
      <c r="A74" t="s">
        <v>329</v>
      </c>
      <c r="B74" s="5" t="s">
        <v>498</v>
      </c>
      <c r="C74" s="5" t="s">
        <v>437</v>
      </c>
    </row>
    <row r="75" spans="1:4" x14ac:dyDescent="0.3">
      <c r="A75" t="s">
        <v>330</v>
      </c>
      <c r="B75" s="5" t="s">
        <v>499</v>
      </c>
      <c r="C75" s="5" t="s">
        <v>438</v>
      </c>
    </row>
    <row r="76" spans="1:4" x14ac:dyDescent="0.3">
      <c r="A76" t="s">
        <v>331</v>
      </c>
      <c r="B76" s="5" t="s">
        <v>521</v>
      </c>
      <c r="C76" s="5" t="s">
        <v>500</v>
      </c>
    </row>
    <row r="77" spans="1:4" x14ac:dyDescent="0.3">
      <c r="A77" t="s">
        <v>332</v>
      </c>
      <c r="B77" s="5" t="s">
        <v>424</v>
      </c>
      <c r="C77" s="5" t="s">
        <v>425</v>
      </c>
    </row>
    <row r="78" spans="1:4" x14ac:dyDescent="0.3">
      <c r="A78" t="s">
        <v>333</v>
      </c>
      <c r="B78" s="5" t="s">
        <v>565</v>
      </c>
      <c r="C78" s="5" t="s">
        <v>439</v>
      </c>
    </row>
    <row r="79" spans="1:4" x14ac:dyDescent="0.3">
      <c r="A79" t="s">
        <v>334</v>
      </c>
      <c r="B79" s="5" t="s">
        <v>556</v>
      </c>
      <c r="C79" s="5" t="s">
        <v>440</v>
      </c>
    </row>
    <row r="80" spans="1:4" x14ac:dyDescent="0.3">
      <c r="A80" t="s">
        <v>335</v>
      </c>
      <c r="B80" s="5" t="s">
        <v>107</v>
      </c>
      <c r="C80" s="5" t="s">
        <v>108</v>
      </c>
    </row>
    <row r="81" spans="1:4" x14ac:dyDescent="0.3">
      <c r="A81" t="s">
        <v>336</v>
      </c>
      <c r="B81" s="5" t="s">
        <v>20</v>
      </c>
      <c r="C81" s="5" t="s">
        <v>31</v>
      </c>
    </row>
    <row r="82" spans="1:4" x14ac:dyDescent="0.3">
      <c r="A82" t="s">
        <v>337</v>
      </c>
      <c r="B82" s="5" t="s">
        <v>566</v>
      </c>
      <c r="C82" s="5" t="s">
        <v>441</v>
      </c>
    </row>
    <row r="83" spans="1:4" x14ac:dyDescent="0.3">
      <c r="A83" t="s">
        <v>338</v>
      </c>
      <c r="B83" s="5" t="s">
        <v>501</v>
      </c>
      <c r="C83" s="5" t="s">
        <v>442</v>
      </c>
    </row>
    <row r="84" spans="1:4" x14ac:dyDescent="0.3">
      <c r="A84" t="s">
        <v>339</v>
      </c>
      <c r="B84" s="5" t="s">
        <v>567</v>
      </c>
      <c r="C84" s="5" t="s">
        <v>443</v>
      </c>
      <c r="D84" s="5" t="s">
        <v>568</v>
      </c>
    </row>
    <row r="85" spans="1:4" x14ac:dyDescent="0.3">
      <c r="A85" t="s">
        <v>340</v>
      </c>
      <c r="B85" s="5" t="s">
        <v>569</v>
      </c>
      <c r="C85" s="5" t="s">
        <v>444</v>
      </c>
    </row>
    <row r="86" spans="1:4" x14ac:dyDescent="0.3">
      <c r="A86" t="s">
        <v>341</v>
      </c>
      <c r="B86" s="5" t="s">
        <v>17</v>
      </c>
      <c r="C86" s="5" t="s">
        <v>445</v>
      </c>
    </row>
    <row r="87" spans="1:4" x14ac:dyDescent="0.3">
      <c r="A87" t="s">
        <v>342</v>
      </c>
      <c r="B87" s="5" t="s">
        <v>570</v>
      </c>
      <c r="C87" s="5" t="s">
        <v>446</v>
      </c>
    </row>
    <row r="88" spans="1:4" x14ac:dyDescent="0.3">
      <c r="A88" t="s">
        <v>343</v>
      </c>
      <c r="B88" s="5" t="s">
        <v>571</v>
      </c>
      <c r="C88" s="5" t="s">
        <v>447</v>
      </c>
    </row>
    <row r="89" spans="1:4" x14ac:dyDescent="0.3">
      <c r="A89" t="s">
        <v>344</v>
      </c>
      <c r="B89" s="5" t="s">
        <v>572</v>
      </c>
      <c r="C89" s="5" t="s">
        <v>448</v>
      </c>
    </row>
    <row r="90" spans="1:4" x14ac:dyDescent="0.3">
      <c r="A90" t="s">
        <v>345</v>
      </c>
      <c r="B90" s="5" t="s">
        <v>573</v>
      </c>
      <c r="C90" s="5" t="s">
        <v>439</v>
      </c>
    </row>
    <row r="91" spans="1:4" x14ac:dyDescent="0.3">
      <c r="A91" t="s">
        <v>346</v>
      </c>
      <c r="B91" s="5" t="s">
        <v>227</v>
      </c>
      <c r="C91" s="5" t="s">
        <v>449</v>
      </c>
    </row>
    <row r="92" spans="1:4" x14ac:dyDescent="0.3">
      <c r="A92" t="s">
        <v>347</v>
      </c>
      <c r="B92" s="5" t="s">
        <v>574</v>
      </c>
      <c r="C92" s="5" t="s">
        <v>450</v>
      </c>
    </row>
    <row r="93" spans="1:4" x14ac:dyDescent="0.3">
      <c r="A93" t="s">
        <v>348</v>
      </c>
      <c r="B93" s="5" t="s">
        <v>575</v>
      </c>
      <c r="C93" s="5" t="s">
        <v>31</v>
      </c>
    </row>
    <row r="94" spans="1:4" x14ac:dyDescent="0.3">
      <c r="A94" t="s">
        <v>349</v>
      </c>
      <c r="B94" s="5" t="s">
        <v>576</v>
      </c>
      <c r="C94" s="5" t="s">
        <v>451</v>
      </c>
    </row>
    <row r="95" spans="1:4" x14ac:dyDescent="0.3">
      <c r="A95" t="s">
        <v>350</v>
      </c>
      <c r="B95" s="5" t="s">
        <v>577</v>
      </c>
      <c r="C95" s="5" t="s">
        <v>513</v>
      </c>
    </row>
    <row r="96" spans="1:4" x14ac:dyDescent="0.3">
      <c r="A96" t="s">
        <v>351</v>
      </c>
      <c r="B96" s="5" t="s">
        <v>578</v>
      </c>
      <c r="C96" s="5" t="s">
        <v>579</v>
      </c>
    </row>
    <row r="97" spans="1:3" x14ac:dyDescent="0.3">
      <c r="A97" t="s">
        <v>352</v>
      </c>
      <c r="B97" s="5" t="s">
        <v>580</v>
      </c>
      <c r="C97" s="5" t="s">
        <v>452</v>
      </c>
    </row>
    <row r="98" spans="1:3" x14ac:dyDescent="0.3">
      <c r="A98" t="s">
        <v>353</v>
      </c>
      <c r="B98" s="5" t="s">
        <v>581</v>
      </c>
      <c r="C98" s="5" t="s">
        <v>453</v>
      </c>
    </row>
    <row r="99" spans="1:3" x14ac:dyDescent="0.3">
      <c r="A99" t="s">
        <v>354</v>
      </c>
      <c r="B99" s="5" t="s">
        <v>20</v>
      </c>
      <c r="C99" s="5" t="s">
        <v>224</v>
      </c>
    </row>
    <row r="100" spans="1:3" x14ac:dyDescent="0.3">
      <c r="A100" t="s">
        <v>355</v>
      </c>
      <c r="B100" s="5" t="s">
        <v>582</v>
      </c>
      <c r="C100" s="5" t="s">
        <v>514</v>
      </c>
    </row>
    <row r="101" spans="1:3" x14ac:dyDescent="0.3">
      <c r="A101" t="s">
        <v>356</v>
      </c>
      <c r="B101" s="5" t="s">
        <v>256</v>
      </c>
      <c r="C101" s="5" t="s">
        <v>13</v>
      </c>
    </row>
    <row r="102" spans="1:3" x14ac:dyDescent="0.3">
      <c r="A102" t="s">
        <v>357</v>
      </c>
      <c r="B102" s="5" t="s">
        <v>583</v>
      </c>
      <c r="C102" s="5" t="s">
        <v>454</v>
      </c>
    </row>
    <row r="103" spans="1:3" x14ac:dyDescent="0.3">
      <c r="A103" t="s">
        <v>358</v>
      </c>
      <c r="B103" s="5" t="s">
        <v>584</v>
      </c>
      <c r="C103" s="5" t="s">
        <v>455</v>
      </c>
    </row>
    <row r="104" spans="1:3" x14ac:dyDescent="0.3">
      <c r="A104" t="s">
        <v>359</v>
      </c>
      <c r="B104" s="5" t="s">
        <v>585</v>
      </c>
      <c r="C104" s="5" t="s">
        <v>456</v>
      </c>
    </row>
    <row r="105" spans="1:3" x14ac:dyDescent="0.3">
      <c r="A105" t="s">
        <v>360</v>
      </c>
      <c r="B105" s="5" t="s">
        <v>483</v>
      </c>
      <c r="C105" s="5" t="s">
        <v>457</v>
      </c>
    </row>
    <row r="106" spans="1:3" x14ac:dyDescent="0.3">
      <c r="A106" t="s">
        <v>361</v>
      </c>
      <c r="B106" s="5" t="s">
        <v>184</v>
      </c>
      <c r="C106" s="5" t="s">
        <v>458</v>
      </c>
    </row>
    <row r="107" spans="1:3" x14ac:dyDescent="0.3">
      <c r="A107" t="s">
        <v>362</v>
      </c>
      <c r="B107" s="5" t="s">
        <v>223</v>
      </c>
      <c r="C107" s="5" t="s">
        <v>459</v>
      </c>
    </row>
    <row r="108" spans="1:3" x14ac:dyDescent="0.3">
      <c r="A108" t="s">
        <v>363</v>
      </c>
      <c r="B108" s="5" t="s">
        <v>521</v>
      </c>
      <c r="C108" s="5" t="s">
        <v>460</v>
      </c>
    </row>
    <row r="109" spans="1:3" x14ac:dyDescent="0.3">
      <c r="A109" t="s">
        <v>364</v>
      </c>
      <c r="B109" s="5" t="s">
        <v>523</v>
      </c>
      <c r="C109" s="5" t="s">
        <v>461</v>
      </c>
    </row>
    <row r="110" spans="1:3" x14ac:dyDescent="0.3">
      <c r="A110" t="s">
        <v>365</v>
      </c>
      <c r="B110" s="5" t="s">
        <v>586</v>
      </c>
      <c r="C110" s="5" t="s">
        <v>462</v>
      </c>
    </row>
    <row r="111" spans="1:3" x14ac:dyDescent="0.3">
      <c r="A111" t="s">
        <v>366</v>
      </c>
      <c r="B111" s="5" t="s">
        <v>499</v>
      </c>
      <c r="C111" s="5" t="s">
        <v>502</v>
      </c>
    </row>
    <row r="112" spans="1:3" x14ac:dyDescent="0.3">
      <c r="A112" t="s">
        <v>367</v>
      </c>
      <c r="B112" s="5" t="s">
        <v>540</v>
      </c>
      <c r="C112" s="5" t="s">
        <v>463</v>
      </c>
    </row>
    <row r="113" spans="1:5" x14ac:dyDescent="0.3">
      <c r="A113" t="s">
        <v>368</v>
      </c>
      <c r="B113" s="5" t="s">
        <v>515</v>
      </c>
      <c r="C113" s="5" t="s">
        <v>111</v>
      </c>
    </row>
    <row r="114" spans="1:5" x14ac:dyDescent="0.3">
      <c r="A114" t="s">
        <v>369</v>
      </c>
      <c r="B114" s="5" t="s">
        <v>277</v>
      </c>
      <c r="C114" s="5" t="s">
        <v>503</v>
      </c>
      <c r="D114" s="40">
        <v>25</v>
      </c>
      <c r="E114" s="5" t="s">
        <v>587</v>
      </c>
    </row>
    <row r="115" spans="1:5" x14ac:dyDescent="0.3">
      <c r="A115" t="s">
        <v>370</v>
      </c>
      <c r="B115" s="5" t="s">
        <v>588</v>
      </c>
      <c r="C115" s="5" t="s">
        <v>516</v>
      </c>
    </row>
    <row r="116" spans="1:5" x14ac:dyDescent="0.3">
      <c r="A116" t="s">
        <v>371</v>
      </c>
      <c r="B116" s="5" t="s">
        <v>540</v>
      </c>
      <c r="C116" s="5" t="s">
        <v>439</v>
      </c>
    </row>
    <row r="117" spans="1:5" x14ac:dyDescent="0.3">
      <c r="A117" t="s">
        <v>372</v>
      </c>
      <c r="C117" s="5" t="s">
        <v>13</v>
      </c>
      <c r="D117" s="5" t="s">
        <v>589</v>
      </c>
    </row>
    <row r="118" spans="1:5" x14ac:dyDescent="0.3">
      <c r="A118" t="s">
        <v>373</v>
      </c>
      <c r="B118" s="5" t="s">
        <v>228</v>
      </c>
      <c r="C118" s="5" t="s">
        <v>417</v>
      </c>
    </row>
    <row r="119" spans="1:5" x14ac:dyDescent="0.3">
      <c r="A119" t="s">
        <v>374</v>
      </c>
      <c r="B119" s="5" t="s">
        <v>590</v>
      </c>
      <c r="C119" s="5" t="s">
        <v>504</v>
      </c>
    </row>
    <row r="120" spans="1:5" x14ac:dyDescent="0.3">
      <c r="A120" t="s">
        <v>375</v>
      </c>
      <c r="B120" s="5" t="s">
        <v>591</v>
      </c>
      <c r="C120" s="5" t="s">
        <v>505</v>
      </c>
    </row>
    <row r="121" spans="1:5" x14ac:dyDescent="0.3">
      <c r="A121" t="s">
        <v>376</v>
      </c>
      <c r="B121" s="5" t="s">
        <v>228</v>
      </c>
      <c r="C121" s="5" t="s">
        <v>464</v>
      </c>
    </row>
    <row r="122" spans="1:5" x14ac:dyDescent="0.3">
      <c r="A122" t="s">
        <v>377</v>
      </c>
      <c r="B122" s="5" t="s">
        <v>506</v>
      </c>
      <c r="C122" s="5" t="s">
        <v>517</v>
      </c>
    </row>
    <row r="123" spans="1:5" x14ac:dyDescent="0.3">
      <c r="A123" t="s">
        <v>378</v>
      </c>
      <c r="B123" s="5" t="s">
        <v>29</v>
      </c>
      <c r="C123" s="5" t="s">
        <v>30</v>
      </c>
    </row>
    <row r="124" spans="1:5" x14ac:dyDescent="0.3">
      <c r="A124" t="s">
        <v>379</v>
      </c>
      <c r="D124" s="5" t="s">
        <v>568</v>
      </c>
    </row>
    <row r="125" spans="1:5" x14ac:dyDescent="0.3">
      <c r="A125" t="s">
        <v>380</v>
      </c>
      <c r="B125" s="5" t="s">
        <v>583</v>
      </c>
      <c r="C125" s="5" t="s">
        <v>507</v>
      </c>
    </row>
    <row r="126" spans="1:5" x14ac:dyDescent="0.3">
      <c r="A126" t="s">
        <v>381</v>
      </c>
      <c r="C126" s="5" t="s">
        <v>592</v>
      </c>
      <c r="D126" s="40">
        <v>25</v>
      </c>
    </row>
    <row r="127" spans="1:5" x14ac:dyDescent="0.3">
      <c r="A127" t="s">
        <v>382</v>
      </c>
      <c r="B127" s="5" t="s">
        <v>568</v>
      </c>
      <c r="C127" s="5" t="s">
        <v>518</v>
      </c>
      <c r="D127" s="40">
        <v>25</v>
      </c>
      <c r="E127" s="5" t="s">
        <v>593</v>
      </c>
    </row>
    <row r="128" spans="1:5" x14ac:dyDescent="0.3">
      <c r="A128" t="s">
        <v>383</v>
      </c>
      <c r="B128" s="5" t="s">
        <v>594</v>
      </c>
      <c r="C128" s="5" t="s">
        <v>519</v>
      </c>
    </row>
    <row r="129" spans="1:5" x14ac:dyDescent="0.3">
      <c r="A129" t="s">
        <v>384</v>
      </c>
      <c r="B129" s="5" t="s">
        <v>521</v>
      </c>
      <c r="C129" s="5" t="s">
        <v>520</v>
      </c>
    </row>
    <row r="130" spans="1:5" x14ac:dyDescent="0.3">
      <c r="A130" t="s">
        <v>385</v>
      </c>
      <c r="B130" s="5" t="s">
        <v>595</v>
      </c>
      <c r="C130" s="5" t="s">
        <v>508</v>
      </c>
      <c r="D130" s="40">
        <v>25</v>
      </c>
      <c r="E130" s="5" t="s">
        <v>596</v>
      </c>
    </row>
    <row r="131" spans="1:5" x14ac:dyDescent="0.3">
      <c r="A131" t="s">
        <v>386</v>
      </c>
      <c r="B131" s="5" t="s">
        <v>229</v>
      </c>
      <c r="C131" s="5" t="s">
        <v>233</v>
      </c>
    </row>
    <row r="132" spans="1:5" x14ac:dyDescent="0.3">
      <c r="A132" t="s">
        <v>387</v>
      </c>
      <c r="B132" s="5" t="s">
        <v>570</v>
      </c>
      <c r="C132" s="5" t="s">
        <v>597</v>
      </c>
    </row>
    <row r="133" spans="1:5" x14ac:dyDescent="0.3">
      <c r="A133" t="s">
        <v>388</v>
      </c>
      <c r="B133" s="5" t="s">
        <v>583</v>
      </c>
      <c r="C133" s="5" t="s">
        <v>522</v>
      </c>
    </row>
    <row r="134" spans="1:5" x14ac:dyDescent="0.3">
      <c r="A134" t="s">
        <v>389</v>
      </c>
      <c r="C134" s="5" t="s">
        <v>465</v>
      </c>
      <c r="D134" s="5" t="s">
        <v>568</v>
      </c>
    </row>
    <row r="135" spans="1:5" x14ac:dyDescent="0.3">
      <c r="A135" t="s">
        <v>390</v>
      </c>
      <c r="B135" s="5" t="s">
        <v>523</v>
      </c>
      <c r="C135" s="5" t="s">
        <v>466</v>
      </c>
    </row>
    <row r="136" spans="1:5" x14ac:dyDescent="0.3">
      <c r="A136" t="s">
        <v>391</v>
      </c>
      <c r="B136" s="5" t="s">
        <v>524</v>
      </c>
      <c r="C136" s="5" t="s">
        <v>467</v>
      </c>
    </row>
    <row r="137" spans="1:5" x14ac:dyDescent="0.3">
      <c r="A137" t="s">
        <v>392</v>
      </c>
      <c r="B137" s="5" t="s">
        <v>598</v>
      </c>
      <c r="C137" s="5" t="s">
        <v>509</v>
      </c>
    </row>
    <row r="138" spans="1:5" x14ac:dyDescent="0.3">
      <c r="A138" t="s">
        <v>393</v>
      </c>
      <c r="B138" s="5" t="s">
        <v>525</v>
      </c>
      <c r="C138" s="5" t="s">
        <v>429</v>
      </c>
    </row>
    <row r="139" spans="1:5" x14ac:dyDescent="0.3">
      <c r="A139" t="s">
        <v>394</v>
      </c>
      <c r="B139" s="5" t="s">
        <v>526</v>
      </c>
      <c r="C139" s="5" t="s">
        <v>468</v>
      </c>
    </row>
    <row r="140" spans="1:5" x14ac:dyDescent="0.3">
      <c r="A140" t="s">
        <v>395</v>
      </c>
      <c r="B140" s="5" t="s">
        <v>526</v>
      </c>
      <c r="C140" s="5" t="s">
        <v>468</v>
      </c>
    </row>
    <row r="141" spans="1:5" x14ac:dyDescent="0.3">
      <c r="A141" t="s">
        <v>396</v>
      </c>
      <c r="B141" s="5" t="s">
        <v>424</v>
      </c>
      <c r="C141" s="5" t="s">
        <v>527</v>
      </c>
    </row>
    <row r="142" spans="1:5" x14ac:dyDescent="0.3">
      <c r="A142" t="s">
        <v>397</v>
      </c>
      <c r="B142" s="5" t="s">
        <v>254</v>
      </c>
      <c r="C142" s="5" t="s">
        <v>528</v>
      </c>
    </row>
    <row r="143" spans="1:5" x14ac:dyDescent="0.3">
      <c r="A143" t="s">
        <v>398</v>
      </c>
      <c r="B143" s="5" t="s">
        <v>17</v>
      </c>
      <c r="C143" s="5" t="s">
        <v>469</v>
      </c>
    </row>
    <row r="144" spans="1:5" x14ac:dyDescent="0.3">
      <c r="A144" t="s">
        <v>399</v>
      </c>
      <c r="B144" s="5" t="s">
        <v>529</v>
      </c>
      <c r="C144" s="5" t="s">
        <v>470</v>
      </c>
    </row>
    <row r="145" spans="1:3" x14ac:dyDescent="0.3">
      <c r="A145" t="s">
        <v>400</v>
      </c>
      <c r="B145" s="5" t="s">
        <v>531</v>
      </c>
      <c r="C145" s="5" t="s">
        <v>530</v>
      </c>
    </row>
    <row r="146" spans="1:3" x14ac:dyDescent="0.3">
      <c r="A146" t="s">
        <v>401</v>
      </c>
      <c r="B146" s="5" t="s">
        <v>17</v>
      </c>
      <c r="C146" s="5" t="s">
        <v>532</v>
      </c>
    </row>
    <row r="147" spans="1:3" x14ac:dyDescent="0.3">
      <c r="A147" t="s">
        <v>402</v>
      </c>
      <c r="B147" s="5" t="s">
        <v>510</v>
      </c>
      <c r="C147" s="5" t="s">
        <v>471</v>
      </c>
    </row>
    <row r="148" spans="1:3" x14ac:dyDescent="0.3">
      <c r="A148" t="s">
        <v>403</v>
      </c>
      <c r="B148" s="5" t="s">
        <v>186</v>
      </c>
      <c r="C148" s="5" t="s">
        <v>13</v>
      </c>
    </row>
    <row r="149" spans="1:3" x14ac:dyDescent="0.3">
      <c r="A149" t="s">
        <v>404</v>
      </c>
      <c r="B149" s="5" t="s">
        <v>599</v>
      </c>
      <c r="C149" s="5" t="s">
        <v>472</v>
      </c>
    </row>
    <row r="150" spans="1:3" x14ac:dyDescent="0.3">
      <c r="A150" t="s">
        <v>405</v>
      </c>
      <c r="B150" s="5" t="s">
        <v>533</v>
      </c>
      <c r="C150" s="5" t="s">
        <v>473</v>
      </c>
    </row>
    <row r="151" spans="1:3" x14ac:dyDescent="0.3">
      <c r="A151" t="s">
        <v>406</v>
      </c>
      <c r="B151" s="5" t="s">
        <v>535</v>
      </c>
      <c r="C151" s="5" t="s">
        <v>474</v>
      </c>
    </row>
    <row r="152" spans="1:3" x14ac:dyDescent="0.3">
      <c r="A152" t="s">
        <v>407</v>
      </c>
      <c r="B152" s="5" t="s">
        <v>511</v>
      </c>
      <c r="C152" s="5" t="s">
        <v>534</v>
      </c>
    </row>
    <row r="153" spans="1:3" x14ac:dyDescent="0.3">
      <c r="A153" t="s">
        <v>408</v>
      </c>
      <c r="B153" s="5" t="s">
        <v>227</v>
      </c>
      <c r="C153" s="5" t="s">
        <v>225</v>
      </c>
    </row>
    <row r="154" spans="1:3" x14ac:dyDescent="0.3">
      <c r="A154" t="s">
        <v>409</v>
      </c>
      <c r="B154" s="5" t="s">
        <v>600</v>
      </c>
      <c r="C154" s="5" t="s">
        <v>26</v>
      </c>
    </row>
    <row r="155" spans="1:3" x14ac:dyDescent="0.3">
      <c r="A155" t="s">
        <v>410</v>
      </c>
      <c r="B155" s="5" t="s">
        <v>536</v>
      </c>
      <c r="C155" s="5" t="s">
        <v>475</v>
      </c>
    </row>
    <row r="156" spans="1:3" x14ac:dyDescent="0.3">
      <c r="A156" t="s">
        <v>411</v>
      </c>
      <c r="B156" s="5" t="s">
        <v>476</v>
      </c>
      <c r="C156" s="5" t="s">
        <v>512</v>
      </c>
    </row>
    <row r="157" spans="1:3" x14ac:dyDescent="0.3">
      <c r="A157" t="s">
        <v>412</v>
      </c>
      <c r="B157" s="5" t="s">
        <v>537</v>
      </c>
      <c r="C157" s="5" t="s">
        <v>463</v>
      </c>
    </row>
    <row r="158" spans="1:3" x14ac:dyDescent="0.3">
      <c r="A158" t="s">
        <v>413</v>
      </c>
      <c r="B158" s="5" t="s">
        <v>257</v>
      </c>
      <c r="C158" s="5" t="s">
        <v>477</v>
      </c>
    </row>
    <row r="159" spans="1:3" x14ac:dyDescent="0.3">
      <c r="A159" t="s">
        <v>414</v>
      </c>
      <c r="B159" s="5" t="s">
        <v>538</v>
      </c>
      <c r="C159" s="5" t="s">
        <v>438</v>
      </c>
    </row>
    <row r="160" spans="1:3" x14ac:dyDescent="0.3">
      <c r="A160" s="5" t="s">
        <v>167</v>
      </c>
      <c r="B160" s="5" t="s">
        <v>228</v>
      </c>
      <c r="C160" s="5" t="s">
        <v>464</v>
      </c>
    </row>
    <row r="161" spans="1:4" x14ac:dyDescent="0.3">
      <c r="A161" s="5" t="s">
        <v>167</v>
      </c>
      <c r="B161" s="5" t="s">
        <v>184</v>
      </c>
      <c r="C161" s="5" t="s">
        <v>539</v>
      </c>
    </row>
    <row r="162" spans="1:4" x14ac:dyDescent="0.3">
      <c r="A162" s="5" t="s">
        <v>167</v>
      </c>
      <c r="B162" s="5" t="s">
        <v>540</v>
      </c>
      <c r="C162" s="5" t="s">
        <v>541</v>
      </c>
    </row>
    <row r="163" spans="1:4" x14ac:dyDescent="0.3">
      <c r="A163" s="5" t="s">
        <v>167</v>
      </c>
      <c r="B163" s="5" t="s">
        <v>542</v>
      </c>
      <c r="C163" s="5" t="s">
        <v>543</v>
      </c>
    </row>
    <row r="164" spans="1:4" x14ac:dyDescent="0.3">
      <c r="A164" s="5" t="s">
        <v>167</v>
      </c>
      <c r="B164" s="5" t="s">
        <v>264</v>
      </c>
      <c r="C164" s="5" t="s">
        <v>544</v>
      </c>
    </row>
    <row r="165" spans="1:4" x14ac:dyDescent="0.3">
      <c r="A165" t="s">
        <v>546</v>
      </c>
      <c r="B165" s="5" t="s">
        <v>28</v>
      </c>
      <c r="C165" s="5" t="s">
        <v>547</v>
      </c>
    </row>
    <row r="166" spans="1:4" x14ac:dyDescent="0.3">
      <c r="A166" s="5" t="s">
        <v>167</v>
      </c>
      <c r="C166" s="5" t="s">
        <v>550</v>
      </c>
      <c r="D166" s="5" t="s">
        <v>568</v>
      </c>
    </row>
    <row r="167" spans="1:4" x14ac:dyDescent="0.3">
      <c r="A167" s="5" t="s">
        <v>167</v>
      </c>
      <c r="B167" s="5" t="s">
        <v>548</v>
      </c>
      <c r="C167" s="5" t="s">
        <v>549</v>
      </c>
    </row>
    <row r="168" spans="1:4" x14ac:dyDescent="0.3">
      <c r="A168" s="5" t="s">
        <v>167</v>
      </c>
      <c r="B168" s="5" t="s">
        <v>277</v>
      </c>
      <c r="C168" s="5" t="s">
        <v>613</v>
      </c>
    </row>
    <row r="169" spans="1:4" x14ac:dyDescent="0.3">
      <c r="A169" s="5" t="s">
        <v>167</v>
      </c>
      <c r="B169" s="5" t="s">
        <v>585</v>
      </c>
      <c r="C169" s="5" t="s">
        <v>614</v>
      </c>
    </row>
    <row r="210" spans="2:22" x14ac:dyDescent="0.3">
      <c r="B210"/>
      <c r="S210"/>
      <c r="T210"/>
      <c r="U210" s="3"/>
      <c r="V210" s="2"/>
    </row>
    <row r="211" spans="2:22" x14ac:dyDescent="0.3">
      <c r="B211"/>
      <c r="S211"/>
      <c r="T211"/>
      <c r="U211" s="3"/>
      <c r="V211" s="2"/>
    </row>
    <row r="212" spans="2:22" x14ac:dyDescent="0.3">
      <c r="B212"/>
      <c r="Q212" s="5" t="s">
        <v>39</v>
      </c>
      <c r="R212" s="5">
        <f>COUNTIF(P:P,"Not Paid")</f>
        <v>0</v>
      </c>
    </row>
    <row r="213" spans="2:22" x14ac:dyDescent="0.3">
      <c r="B213"/>
      <c r="Q213" s="5" t="s">
        <v>21</v>
      </c>
      <c r="R213" s="5">
        <f>COUNTIF(P:P,#REF!)</f>
        <v>0</v>
      </c>
      <c r="S213" t="s">
        <v>13</v>
      </c>
      <c r="T213" t="s">
        <v>13</v>
      </c>
      <c r="U213" s="3">
        <v>44929</v>
      </c>
      <c r="V213" s="2">
        <v>30</v>
      </c>
    </row>
    <row r="214" spans="2:22" x14ac:dyDescent="0.3">
      <c r="B214"/>
    </row>
    <row r="215" spans="2:22" x14ac:dyDescent="0.3">
      <c r="B215"/>
      <c r="S215" t="s">
        <v>14</v>
      </c>
      <c r="T215" t="s">
        <v>26</v>
      </c>
      <c r="U215" s="3">
        <v>44929</v>
      </c>
      <c r="V215" s="2">
        <v>30</v>
      </c>
    </row>
    <row r="216" spans="2:22" x14ac:dyDescent="0.3">
      <c r="B216"/>
    </row>
    <row r="217" spans="2:22" x14ac:dyDescent="0.3">
      <c r="B217"/>
    </row>
    <row r="218" spans="2:22" x14ac:dyDescent="0.3">
      <c r="B218"/>
    </row>
    <row r="219" spans="2:22" x14ac:dyDescent="0.3">
      <c r="B219"/>
    </row>
    <row r="220" spans="2:22" x14ac:dyDescent="0.3">
      <c r="B220"/>
    </row>
    <row r="221" spans="2:22" x14ac:dyDescent="0.3">
      <c r="B221"/>
    </row>
    <row r="222" spans="2:22" x14ac:dyDescent="0.3">
      <c r="B222"/>
    </row>
    <row r="223" spans="2:22" x14ac:dyDescent="0.3">
      <c r="B223"/>
    </row>
    <row r="224" spans="2:22" x14ac:dyDescent="0.3">
      <c r="B224"/>
    </row>
  </sheetData>
  <sortState xmlns:xlrd2="http://schemas.microsoft.com/office/spreadsheetml/2017/richdata2" ref="A3:AA211">
    <sortCondition ref="O3:O21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P55"/>
  <sheetViews>
    <sheetView workbookViewId="0">
      <selection activeCell="G21" sqref="G21"/>
    </sheetView>
  </sheetViews>
  <sheetFormatPr defaultColWidth="8.1796875" defaultRowHeight="13" x14ac:dyDescent="0.3"/>
  <cols>
    <col min="1" max="14" width="8.1796875" style="5"/>
    <col min="15" max="15" width="24.08984375" style="5" bestFit="1" customWidth="1"/>
    <col min="16" max="16384" width="8.1796875" style="5"/>
  </cols>
  <sheetData>
    <row r="1" spans="1:16" customForma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customForma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customForma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customForma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customForma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customForma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customForma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customForma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customForma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customForma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customForma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customForma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customForma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customForma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customForma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customForma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customForma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customForma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customForma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customForma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customForma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customForma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customForma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customForma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customForma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customForma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customForma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customForma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customForma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customForma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customForma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customForma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customForma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customForma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customForma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customForma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customForma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customForma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customForma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customForma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customForma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customForma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customForma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customForma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customForma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customForma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customForma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customForma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customForma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customForma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customForma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customForma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customForma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customForma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4"/>
  <sheetViews>
    <sheetView workbookViewId="0">
      <selection activeCell="F2" sqref="F2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29" bestFit="1" customWidth="1"/>
  </cols>
  <sheetData>
    <row r="1" spans="1:7" x14ac:dyDescent="0.25">
      <c r="A1" t="s">
        <v>40</v>
      </c>
      <c r="B1" t="s">
        <v>90</v>
      </c>
      <c r="C1" t="s">
        <v>36</v>
      </c>
      <c r="D1" t="s">
        <v>125</v>
      </c>
      <c r="E1" t="s">
        <v>126</v>
      </c>
      <c r="F1" t="s">
        <v>11</v>
      </c>
      <c r="G1" t="s">
        <v>115</v>
      </c>
    </row>
    <row r="2" spans="1:7" x14ac:dyDescent="0.25">
      <c r="C2" t="s">
        <v>283</v>
      </c>
      <c r="F2" s="29">
        <v>22676.85</v>
      </c>
    </row>
    <row r="3" spans="1:7" x14ac:dyDescent="0.25">
      <c r="A3" s="25"/>
    </row>
    <row r="4" spans="1:7" x14ac:dyDescent="0.25">
      <c r="A4" s="25"/>
    </row>
    <row r="5" spans="1:7" x14ac:dyDescent="0.25">
      <c r="A5" s="25"/>
    </row>
    <row r="6" spans="1:7" x14ac:dyDescent="0.25">
      <c r="A6" s="25"/>
    </row>
    <row r="7" spans="1:7" x14ac:dyDescent="0.25">
      <c r="A7" s="25"/>
    </row>
    <row r="8" spans="1:7" x14ac:dyDescent="0.25">
      <c r="A8" s="25"/>
    </row>
    <row r="9" spans="1:7" x14ac:dyDescent="0.25">
      <c r="A9" s="25"/>
    </row>
    <row r="10" spans="1:7" x14ac:dyDescent="0.25">
      <c r="A10" s="25"/>
    </row>
    <row r="11" spans="1:7" x14ac:dyDescent="0.25">
      <c r="A11" s="25"/>
    </row>
    <row r="12" spans="1:7" x14ac:dyDescent="0.25">
      <c r="A12" s="25"/>
    </row>
    <row r="13" spans="1:7" x14ac:dyDescent="0.25">
      <c r="A13" s="25"/>
    </row>
    <row r="14" spans="1:7" x14ac:dyDescent="0.25">
      <c r="A14" s="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6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7" t="s">
        <v>95</v>
      </c>
      <c r="B3" t="s">
        <v>127</v>
      </c>
      <c r="C3" t="s">
        <v>128</v>
      </c>
    </row>
    <row r="4" spans="1:3" x14ac:dyDescent="0.25">
      <c r="A4" s="28" t="s">
        <v>205</v>
      </c>
      <c r="B4">
        <v>3690</v>
      </c>
    </row>
    <row r="5" spans="1:3" x14ac:dyDescent="0.25">
      <c r="A5" s="28" t="s">
        <v>97</v>
      </c>
    </row>
    <row r="6" spans="1:3" x14ac:dyDescent="0.25">
      <c r="A6" s="28" t="s">
        <v>96</v>
      </c>
      <c r="B6">
        <v>3690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2"/>
  <sheetViews>
    <sheetView topLeftCell="A5" workbookViewId="0">
      <selection activeCell="C29" sqref="C29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27" t="s">
        <v>123</v>
      </c>
      <c r="B1" t="s">
        <v>97</v>
      </c>
    </row>
    <row r="3" spans="1:9" x14ac:dyDescent="0.25">
      <c r="A3" s="27" t="s">
        <v>95</v>
      </c>
      <c r="B3" t="s">
        <v>127</v>
      </c>
      <c r="C3" t="s">
        <v>128</v>
      </c>
    </row>
    <row r="4" spans="1:9" x14ac:dyDescent="0.25">
      <c r="A4" s="28" t="s">
        <v>97</v>
      </c>
    </row>
    <row r="5" spans="1:9" x14ac:dyDescent="0.25">
      <c r="A5" s="28" t="s">
        <v>205</v>
      </c>
      <c r="B5">
        <v>3690</v>
      </c>
    </row>
    <row r="6" spans="1:9" x14ac:dyDescent="0.25">
      <c r="A6" s="28" t="s">
        <v>96</v>
      </c>
      <c r="B6">
        <v>3690</v>
      </c>
    </row>
    <row r="12" spans="1:9" x14ac:dyDescent="0.25">
      <c r="I12">
        <f>7695.3-7590.3</f>
        <v>105</v>
      </c>
    </row>
    <row r="17" spans="1:9" x14ac:dyDescent="0.25">
      <c r="A17" s="27" t="s">
        <v>123</v>
      </c>
      <c r="B17" t="s">
        <v>97</v>
      </c>
    </row>
    <row r="18" spans="1:9" x14ac:dyDescent="0.25">
      <c r="E18" t="s">
        <v>131</v>
      </c>
    </row>
    <row r="19" spans="1:9" x14ac:dyDescent="0.25">
      <c r="A19" s="27" t="s">
        <v>95</v>
      </c>
      <c r="B19" t="s">
        <v>127</v>
      </c>
      <c r="C19" t="s">
        <v>128</v>
      </c>
      <c r="E19" t="s">
        <v>132</v>
      </c>
      <c r="F19">
        <v>120</v>
      </c>
      <c r="H19">
        <v>7872</v>
      </c>
      <c r="I19" t="s">
        <v>160</v>
      </c>
    </row>
    <row r="20" spans="1:9" x14ac:dyDescent="0.25">
      <c r="A20" s="28" t="s">
        <v>97</v>
      </c>
      <c r="E20" t="s">
        <v>133</v>
      </c>
      <c r="F20">
        <v>43.2</v>
      </c>
      <c r="H20">
        <v>-176.35</v>
      </c>
      <c r="I20" t="s">
        <v>161</v>
      </c>
    </row>
    <row r="21" spans="1:9" x14ac:dyDescent="0.25">
      <c r="A21" s="28" t="s">
        <v>205</v>
      </c>
      <c r="B21">
        <v>3690</v>
      </c>
      <c r="E21" t="s">
        <v>134</v>
      </c>
      <c r="F21">
        <v>118.5</v>
      </c>
      <c r="H21">
        <v>312</v>
      </c>
    </row>
    <row r="22" spans="1:9" x14ac:dyDescent="0.25">
      <c r="A22" s="28" t="s">
        <v>96</v>
      </c>
      <c r="B22">
        <v>3690</v>
      </c>
      <c r="E22" t="s">
        <v>114</v>
      </c>
      <c r="F22">
        <f>SUM(F19:F21)</f>
        <v>281.7</v>
      </c>
      <c r="H22">
        <f>SUM(H19:H21)</f>
        <v>8007.65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Current account</vt:lpstr>
      <vt:lpstr>Main</vt:lpstr>
      <vt:lpstr>Savings</vt:lpstr>
      <vt:lpstr>Membership List</vt:lpstr>
      <vt:lpstr>Lapsed members</vt:lpstr>
      <vt:lpstr>Savings account</vt:lpstr>
      <vt:lpstr>Pivot Table</vt:lpstr>
      <vt:lpstr>Exhibitions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2025-01-03T15:13:40Z</dcterms:modified>
</cp:coreProperties>
</file>