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ShareData\DShare-dnloads\woolhouse\December2017\"/>
    </mc:Choice>
  </mc:AlternateContent>
  <bookViews>
    <workbookView xWindow="0" yWindow="0" windowWidth="28800" windowHeight="12330" tabRatio="670"/>
  </bookViews>
  <sheets>
    <sheet name="Virus data " sheetId="5" r:id="rId1"/>
  </sheets>
  <definedNames>
    <definedName name="_xlnm._FilterDatabase" localSheetId="0" hidden="1">'Virus data '!$A$1:$AN$215</definedName>
  </definedNames>
  <calcPr calcId="171027" concurrentCalc="0"/>
</workbook>
</file>

<file path=xl/calcChain.xml><?xml version="1.0" encoding="utf-8"?>
<calcChain xmlns="http://schemas.openxmlformats.org/spreadsheetml/2006/main">
  <c r="H61" i="5" l="1"/>
  <c r="H40" i="5"/>
  <c r="H149" i="5"/>
  <c r="H33" i="5"/>
  <c r="H123" i="5"/>
  <c r="H120" i="5"/>
  <c r="H152" i="5"/>
  <c r="H151" i="5"/>
  <c r="H150" i="5"/>
  <c r="H104" i="5"/>
  <c r="H100" i="5"/>
  <c r="H78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2" i="5"/>
  <c r="H121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3" i="5"/>
  <c r="H102" i="5"/>
  <c r="H101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39" i="5"/>
  <c r="H38" i="5"/>
  <c r="H37" i="5"/>
  <c r="H36" i="5"/>
  <c r="H35" i="5"/>
  <c r="H34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F62" i="5"/>
  <c r="F34" i="5"/>
  <c r="F61" i="5"/>
  <c r="F119" i="5"/>
  <c r="F12" i="5"/>
  <c r="F213" i="5"/>
  <c r="F212" i="5"/>
  <c r="F60" i="5"/>
  <c r="F59" i="5"/>
  <c r="F21" i="5"/>
  <c r="F211" i="5"/>
  <c r="F125" i="5"/>
  <c r="F58" i="5"/>
  <c r="F210" i="5"/>
  <c r="F57" i="5"/>
  <c r="F79" i="5"/>
  <c r="F209" i="5"/>
  <c r="F102" i="5"/>
  <c r="F56" i="5"/>
  <c r="F78" i="5"/>
  <c r="F88" i="5"/>
  <c r="F83" i="5"/>
  <c r="F77" i="5"/>
  <c r="F55" i="5"/>
  <c r="F33" i="5"/>
  <c r="F118" i="5"/>
  <c r="F32" i="5"/>
  <c r="F54" i="5"/>
  <c r="F101" i="5"/>
  <c r="F208" i="5"/>
  <c r="F76" i="5"/>
  <c r="F100" i="5"/>
  <c r="F171" i="5"/>
  <c r="F174" i="5"/>
  <c r="F117" i="5"/>
  <c r="F124" i="5"/>
  <c r="F28" i="5"/>
  <c r="F75" i="5"/>
  <c r="F207" i="5"/>
  <c r="F20" i="5"/>
  <c r="F74" i="5"/>
  <c r="F123" i="5"/>
  <c r="F149" i="5"/>
  <c r="F11" i="5"/>
  <c r="F214" i="5"/>
  <c r="F164" i="5"/>
  <c r="F163" i="5"/>
  <c r="F162" i="5"/>
  <c r="F161" i="5"/>
  <c r="F206" i="5"/>
  <c r="F205" i="5"/>
  <c r="F53" i="5"/>
  <c r="F122" i="5"/>
  <c r="F143" i="5"/>
  <c r="F142" i="5"/>
  <c r="F141" i="5"/>
  <c r="F31" i="5"/>
  <c r="F181" i="5"/>
  <c r="F73" i="5"/>
  <c r="F121" i="5"/>
  <c r="F168" i="5"/>
  <c r="F167" i="5"/>
  <c r="F166" i="5"/>
  <c r="F52" i="5"/>
  <c r="F204" i="5"/>
  <c r="F192" i="5"/>
  <c r="F10" i="5"/>
  <c r="F64" i="5"/>
  <c r="F116" i="5"/>
  <c r="F148" i="5"/>
  <c r="F147" i="5"/>
  <c r="F158" i="5"/>
  <c r="F80" i="5"/>
  <c r="F115" i="5"/>
  <c r="F114" i="5"/>
  <c r="F203" i="5"/>
  <c r="F51" i="5"/>
  <c r="F113" i="5"/>
  <c r="F50" i="5"/>
  <c r="F19" i="5"/>
  <c r="F91" i="5"/>
  <c r="F191" i="5"/>
  <c r="F160" i="5"/>
  <c r="F202" i="5"/>
  <c r="F49" i="5"/>
  <c r="F99" i="5"/>
  <c r="F201" i="5"/>
  <c r="F200" i="5"/>
  <c r="F180" i="5"/>
  <c r="F9" i="5"/>
  <c r="F27" i="5"/>
  <c r="F93" i="5"/>
  <c r="F199" i="5"/>
  <c r="F112" i="5"/>
  <c r="F35" i="5"/>
  <c r="F190" i="5"/>
  <c r="F98" i="5"/>
  <c r="F159" i="5"/>
  <c r="F18" i="5"/>
  <c r="F17" i="5"/>
  <c r="F16" i="5"/>
  <c r="F15" i="5"/>
  <c r="F14" i="5"/>
  <c r="F13" i="5"/>
  <c r="F111" i="5"/>
  <c r="F8" i="5"/>
  <c r="F173" i="5"/>
  <c r="F7" i="5"/>
  <c r="F6" i="5"/>
  <c r="F48" i="5"/>
  <c r="F157" i="5"/>
  <c r="F5" i="5"/>
  <c r="F47" i="5"/>
  <c r="F72" i="5"/>
  <c r="F46" i="5"/>
  <c r="F45" i="5"/>
  <c r="F110" i="5"/>
  <c r="F4" i="5"/>
  <c r="F44" i="5"/>
  <c r="F189" i="5"/>
  <c r="F179" i="5"/>
  <c r="F86" i="5"/>
  <c r="F85" i="5"/>
  <c r="F84" i="5"/>
  <c r="F188" i="5"/>
  <c r="F43" i="5"/>
  <c r="F29" i="5"/>
  <c r="F97" i="5"/>
  <c r="F96" i="5"/>
  <c r="F95" i="5"/>
  <c r="F94" i="5"/>
  <c r="F126" i="5"/>
  <c r="F152" i="5"/>
  <c r="F151" i="5"/>
  <c r="F170" i="5"/>
  <c r="F169" i="5"/>
  <c r="F24" i="5"/>
  <c r="F26" i="5"/>
  <c r="F23" i="5"/>
  <c r="F198" i="5"/>
  <c r="F145" i="5"/>
  <c r="F215" i="5"/>
  <c r="F63" i="5"/>
  <c r="F90" i="5"/>
  <c r="F71" i="5"/>
  <c r="F109" i="5"/>
  <c r="F3" i="5"/>
  <c r="F108" i="5"/>
  <c r="F156" i="5"/>
  <c r="F197" i="5"/>
  <c r="F42" i="5"/>
  <c r="F128" i="5"/>
  <c r="F154" i="5"/>
  <c r="F196" i="5"/>
  <c r="F178" i="5"/>
  <c r="F177" i="5"/>
  <c r="F144" i="5"/>
  <c r="F127" i="5"/>
  <c r="F140" i="5"/>
  <c r="F139" i="5"/>
  <c r="F138" i="5"/>
  <c r="F137" i="5"/>
  <c r="F136" i="5"/>
  <c r="F184" i="5"/>
  <c r="F183" i="5"/>
  <c r="F41" i="5"/>
  <c r="F195" i="5"/>
  <c r="F176" i="5"/>
  <c r="F82" i="5"/>
  <c r="F70" i="5"/>
  <c r="F87" i="5"/>
  <c r="F40" i="5"/>
  <c r="F81" i="5"/>
  <c r="F135" i="5"/>
  <c r="F134" i="5"/>
  <c r="F133" i="5"/>
  <c r="F132" i="5"/>
  <c r="F131" i="5"/>
  <c r="F155" i="5"/>
  <c r="F153" i="5"/>
  <c r="F187" i="5"/>
  <c r="F69" i="5"/>
  <c r="F194" i="5"/>
  <c r="F2" i="5"/>
  <c r="F186" i="5"/>
  <c r="F107" i="5"/>
  <c r="F130" i="5"/>
  <c r="F129" i="5"/>
  <c r="F106" i="5"/>
  <c r="F92" i="5"/>
  <c r="F120" i="5"/>
  <c r="F105" i="5"/>
  <c r="F39" i="5"/>
  <c r="F104" i="5"/>
  <c r="F103" i="5"/>
  <c r="F30" i="5"/>
  <c r="F65" i="5"/>
  <c r="F68" i="5"/>
  <c r="F25" i="5"/>
  <c r="F67" i="5"/>
  <c r="F182" i="5"/>
  <c r="F193" i="5"/>
  <c r="F38" i="5"/>
  <c r="F165" i="5"/>
  <c r="F37" i="5"/>
  <c r="F150" i="5"/>
  <c r="F89" i="5"/>
  <c r="F175" i="5"/>
  <c r="F36" i="5"/>
  <c r="F66" i="5"/>
  <c r="F22" i="5"/>
  <c r="F185" i="5"/>
  <c r="F146" i="5"/>
  <c r="F172" i="5"/>
</calcChain>
</file>

<file path=xl/sharedStrings.xml><?xml version="1.0" encoding="utf-8"?>
<sst xmlns="http://schemas.openxmlformats.org/spreadsheetml/2006/main" count="1823" uniqueCount="541">
  <si>
    <t>Species</t>
  </si>
  <si>
    <t>Family</t>
  </si>
  <si>
    <t>Genus</t>
  </si>
  <si>
    <t>Maternal</t>
  </si>
  <si>
    <t>Direct Contact</t>
  </si>
  <si>
    <t>Genome</t>
  </si>
  <si>
    <t>?</t>
  </si>
  <si>
    <t>broad</t>
  </si>
  <si>
    <t>4b</t>
  </si>
  <si>
    <t>(+)ssRNA</t>
  </si>
  <si>
    <t>(-)ssRNA</t>
  </si>
  <si>
    <t>Aroa virus</t>
  </si>
  <si>
    <t>Vector</t>
  </si>
  <si>
    <t>Ingestion</t>
  </si>
  <si>
    <t>Australian bat lyssavirus</t>
  </si>
  <si>
    <t xml:space="preserve">Banna virus </t>
  </si>
  <si>
    <t>dsRNA</t>
  </si>
  <si>
    <t xml:space="preserve">Banzi virus </t>
  </si>
  <si>
    <t xml:space="preserve">Barmah Forest virus </t>
  </si>
  <si>
    <t>Inhalation</t>
  </si>
  <si>
    <t>Bundibugyo ebolavirus</t>
  </si>
  <si>
    <t xml:space="preserve">Chikungunya virus </t>
  </si>
  <si>
    <t xml:space="preserve">Colorado tick fever virus </t>
  </si>
  <si>
    <t xml:space="preserve">Dengue virus </t>
  </si>
  <si>
    <t>4a</t>
  </si>
  <si>
    <t>Dhori virus</t>
  </si>
  <si>
    <t xml:space="preserve">Eastern equine encephalitis virus </t>
  </si>
  <si>
    <t xml:space="preserve">Equine rhinitis A virus </t>
  </si>
  <si>
    <t xml:space="preserve">Everglades virus </t>
  </si>
  <si>
    <t xml:space="preserve">Getah virus </t>
  </si>
  <si>
    <t xml:space="preserve">Great Island virus </t>
  </si>
  <si>
    <t xml:space="preserve">Hepatitis delta virus </t>
  </si>
  <si>
    <t>Unassigned</t>
  </si>
  <si>
    <t xml:space="preserve">Human coronavirus 229E </t>
  </si>
  <si>
    <t>Human coronavirus HKU1</t>
  </si>
  <si>
    <t>Human coronavirus NL63</t>
  </si>
  <si>
    <t>Sexual</t>
  </si>
  <si>
    <t xml:space="preserve">Human immunodeficiency virus 1 </t>
  </si>
  <si>
    <t>ssRNA-RT</t>
  </si>
  <si>
    <t xml:space="preserve">Human immunodeficiency virus 2 </t>
  </si>
  <si>
    <t>Human metapneumovirus</t>
  </si>
  <si>
    <t xml:space="preserve">Human picobirnavirus </t>
  </si>
  <si>
    <t>Human torovirus</t>
  </si>
  <si>
    <t xml:space="preserve">Ilheus virus </t>
  </si>
  <si>
    <t>Influenza A virus</t>
  </si>
  <si>
    <t xml:space="preserve">Influenza B virus </t>
  </si>
  <si>
    <t xml:space="preserve">Influenza C virus  </t>
  </si>
  <si>
    <t xml:space="preserve">Japanese encephalitis virus </t>
  </si>
  <si>
    <t xml:space="preserve">Kokobera virus </t>
  </si>
  <si>
    <t xml:space="preserve">Kyasanur forest disease virus </t>
  </si>
  <si>
    <t xml:space="preserve">Lebombo virus </t>
  </si>
  <si>
    <t xml:space="preserve">Louping ill virus </t>
  </si>
  <si>
    <t xml:space="preserve">Mayaro virus </t>
  </si>
  <si>
    <t>Mucambo virus</t>
  </si>
  <si>
    <t xml:space="preserve">Murray Valley encephalitis virus </t>
  </si>
  <si>
    <t xml:space="preserve">Norwalk virus </t>
  </si>
  <si>
    <t>Ntaya virus</t>
  </si>
  <si>
    <t xml:space="preserve">O'nyong-nyong virus </t>
  </si>
  <si>
    <t xml:space="preserve">Orungo virus </t>
  </si>
  <si>
    <t xml:space="preserve">Pixuna virus </t>
  </si>
  <si>
    <t xml:space="preserve">Powassan virus </t>
  </si>
  <si>
    <t xml:space="preserve">Primate T-lymphotropic virus 1 </t>
  </si>
  <si>
    <t xml:space="preserve">Primate T-lymphotropic virus 2 </t>
  </si>
  <si>
    <t>Primate T-lymphotropic virus 3</t>
  </si>
  <si>
    <t xml:space="preserve">Reston ebolavirus </t>
  </si>
  <si>
    <t xml:space="preserve">Rio Bravo virus </t>
  </si>
  <si>
    <t xml:space="preserve">Ross River virus </t>
  </si>
  <si>
    <t xml:space="preserve">Rotavirus A </t>
  </si>
  <si>
    <t xml:space="preserve">Rotavirus B </t>
  </si>
  <si>
    <t xml:space="preserve">Rotavirus C </t>
  </si>
  <si>
    <t xml:space="preserve">Rubella virus </t>
  </si>
  <si>
    <t>Sapporo virus</t>
  </si>
  <si>
    <t xml:space="preserve">Semliki Forest virus </t>
  </si>
  <si>
    <t>Simian foamy virus</t>
  </si>
  <si>
    <t xml:space="preserve">Sindbis virus </t>
  </si>
  <si>
    <t xml:space="preserve">Sudan ebolavirus </t>
  </si>
  <si>
    <t>Tai forest ebolavirus</t>
  </si>
  <si>
    <t xml:space="preserve">Thogoto virus </t>
  </si>
  <si>
    <t xml:space="preserve">Tick-borne encephalitis virus </t>
  </si>
  <si>
    <t>Usutu virus</t>
  </si>
  <si>
    <t xml:space="preserve">Venezuelan equine encephalitis virus </t>
  </si>
  <si>
    <t xml:space="preserve">Wesselsbron virus </t>
  </si>
  <si>
    <t xml:space="preserve">West Nile virus </t>
  </si>
  <si>
    <t xml:space="preserve">Western equine encephalitis virus </t>
  </si>
  <si>
    <t xml:space="preserve">Whataroa virus </t>
  </si>
  <si>
    <t xml:space="preserve">Yellow fever virus </t>
  </si>
  <si>
    <t xml:space="preserve">Zika virus </t>
  </si>
  <si>
    <t>Fomites</t>
  </si>
  <si>
    <t>Person-to-person</t>
  </si>
  <si>
    <t>Envelope</t>
  </si>
  <si>
    <t>Mamastrovirus 6</t>
  </si>
  <si>
    <t>Mamastrovirus 8</t>
  </si>
  <si>
    <t>Mamastrovirus 9</t>
  </si>
  <si>
    <t>Macaque simian foamy virus</t>
  </si>
  <si>
    <t>African green monkey simian foamy virus</t>
  </si>
  <si>
    <t>Betacoronavirus 1</t>
  </si>
  <si>
    <t>Tonate virus</t>
  </si>
  <si>
    <t>Highlands J virus</t>
  </si>
  <si>
    <t>Langat virus</t>
  </si>
  <si>
    <t>Nelson Bay orthoreovirus</t>
  </si>
  <si>
    <t>Mammalian orthoreovirus</t>
  </si>
  <si>
    <t>Avian metapneumovirus</t>
  </si>
  <si>
    <t>Bagaza virus</t>
  </si>
  <si>
    <t>Tembusu virus</t>
  </si>
  <si>
    <t>Gadgets Gully virus</t>
  </si>
  <si>
    <t>Bovine viral diarrhea virus 1</t>
  </si>
  <si>
    <t>Rio Negro virus</t>
  </si>
  <si>
    <t>Una virus</t>
  </si>
  <si>
    <t>Edge Hill virus</t>
  </si>
  <si>
    <t>Uganda S virus</t>
  </si>
  <si>
    <t>Corriparta virus</t>
  </si>
  <si>
    <t>Simian immunodeficiency virus</t>
  </si>
  <si>
    <t>Eyach virus</t>
  </si>
  <si>
    <t>Cacipacore virus</t>
  </si>
  <si>
    <t>Mosso das Pedras virus</t>
  </si>
  <si>
    <t>Ndumu virus</t>
  </si>
  <si>
    <t>Zaire ebolavirus</t>
  </si>
  <si>
    <t>Aichivirus A</t>
  </si>
  <si>
    <t>Mammalian 1 bornavirus</t>
  </si>
  <si>
    <t>Cardiovirus A</t>
  </si>
  <si>
    <t>Guanarito mammarenavirus</t>
  </si>
  <si>
    <t>Hepatovirus A</t>
  </si>
  <si>
    <t>Orthohepevirus A</t>
  </si>
  <si>
    <t>Enterovirus A</t>
  </si>
  <si>
    <t>Enterovirus B</t>
  </si>
  <si>
    <t>Enterovirus C</t>
  </si>
  <si>
    <t>Enterovirus D</t>
  </si>
  <si>
    <t>Parechovirus A</t>
  </si>
  <si>
    <t>Rhinovirus A</t>
  </si>
  <si>
    <t>Rhinovirus B</t>
  </si>
  <si>
    <t>Rhinovirus C</t>
  </si>
  <si>
    <t>Junín mammarenavirus</t>
  </si>
  <si>
    <t>Marburg marburgvirus</t>
  </si>
  <si>
    <t>Lassa mammarenavirus</t>
  </si>
  <si>
    <t>Parechovirus B</t>
  </si>
  <si>
    <t>Lymphocytic choriomeningitis mammarenavirus</t>
  </si>
  <si>
    <t>Machupo mammarenavirus</t>
  </si>
  <si>
    <t>Pichindé mammarenavirus</t>
  </si>
  <si>
    <t>Sabiá mammarenavirus</t>
  </si>
  <si>
    <t>Cardiovirus B</t>
  </si>
  <si>
    <t>Whitewater Arroyo mammarenavirus</t>
  </si>
  <si>
    <t>Mamastrovirus 1</t>
  </si>
  <si>
    <t>Chapare mammarenavirus</t>
  </si>
  <si>
    <t>Enterovirus E</t>
  </si>
  <si>
    <t>Erbovirus A</t>
  </si>
  <si>
    <t>Mobala mammarenavirus</t>
  </si>
  <si>
    <t>Lujo mammarenavirus</t>
  </si>
  <si>
    <t xml:space="preserve">Omsk hemorrhagic fever virus </t>
  </si>
  <si>
    <t>Severe acute respiratory syndrome-related coronavirus</t>
  </si>
  <si>
    <t xml:space="preserve">St. Louis encephalitis virus </t>
  </si>
  <si>
    <t>narrow</t>
  </si>
  <si>
    <t>Alphacoronavirus 1</t>
  </si>
  <si>
    <t>Vesicular exanthema of swine virus</t>
  </si>
  <si>
    <t>Salivirus A</t>
  </si>
  <si>
    <t>Cosavirus A</t>
  </si>
  <si>
    <t>Pegivirus A</t>
  </si>
  <si>
    <t>Rotavirus H</t>
  </si>
  <si>
    <t>Iatrogenic (inc. blood)</t>
  </si>
  <si>
    <t xml:space="preserve">Bunyamwera orthobunyavirus </t>
  </si>
  <si>
    <t xml:space="preserve">Bwamba orthobunyavirus </t>
  </si>
  <si>
    <t xml:space="preserve">California encephalitis orthobunyavirus </t>
  </si>
  <si>
    <t>Candiru phlebovirus</t>
  </si>
  <si>
    <t xml:space="preserve">Caraparu orthobunyavirus </t>
  </si>
  <si>
    <t>Catu orthobunyavirus</t>
  </si>
  <si>
    <t xml:space="preserve">Chandipura vesiculovirus </t>
  </si>
  <si>
    <t>Cocal vesiculovirus</t>
  </si>
  <si>
    <t xml:space="preserve">Duvenhage lyssavirus </t>
  </si>
  <si>
    <t>European bat 2 lyssavirus</t>
  </si>
  <si>
    <t xml:space="preserve">Guaroa orthobunyavirus </t>
  </si>
  <si>
    <t>Irkut lyssavirus</t>
  </si>
  <si>
    <t>Isfahan vesiculovirus</t>
  </si>
  <si>
    <t>Kairi orthobunyavirus</t>
  </si>
  <si>
    <t>Madrid orthobunyavirus</t>
  </si>
  <si>
    <t>Maraba vesiculovirus</t>
  </si>
  <si>
    <t xml:space="preserve">Mokola lyssavirus </t>
  </si>
  <si>
    <t>Nyando orthobunyavirus</t>
  </si>
  <si>
    <t xml:space="preserve">Oriboca orthobunyavirus </t>
  </si>
  <si>
    <t xml:space="preserve">Oropouche orthobunyavirus </t>
  </si>
  <si>
    <t>Patois orthobunyavirus</t>
  </si>
  <si>
    <t xml:space="preserve">Piry vesiculovirus </t>
  </si>
  <si>
    <t xml:space="preserve">Punta Toro phlebovirus </t>
  </si>
  <si>
    <t>Rabies lyssavirus</t>
  </si>
  <si>
    <t xml:space="preserve">Rift Valley fever phlebovirus </t>
  </si>
  <si>
    <t xml:space="preserve">Sandfly fever Naples phlebovirus </t>
  </si>
  <si>
    <t>SFTS phlebovirus</t>
  </si>
  <si>
    <t>Shuni orthobunyavirus</t>
  </si>
  <si>
    <t xml:space="preserve">Tacaiuma orthobunyavirus </t>
  </si>
  <si>
    <t>Uukuniemi phlebovirus</t>
  </si>
  <si>
    <t xml:space="preserve">Alagoas vesiculovirus </t>
  </si>
  <si>
    <t xml:space="preserve">Indiana vesiculovirus </t>
  </si>
  <si>
    <t xml:space="preserve">New Jersey vesiculovirus </t>
  </si>
  <si>
    <t xml:space="preserve">Wyeomyia orthobunyavirus </t>
  </si>
  <si>
    <t>Guama orthobunyavirus</t>
  </si>
  <si>
    <t>Marituba orthobunyavirus</t>
  </si>
  <si>
    <t>European bat 1 lyssavirus</t>
  </si>
  <si>
    <t>Middle East respiratory syndrome-related coronavirus</t>
  </si>
  <si>
    <t>unknown</t>
  </si>
  <si>
    <t>1*</t>
  </si>
  <si>
    <t>Bas-Congo tibrovirus</t>
  </si>
  <si>
    <t>Ekpoma 2 tibrovirus</t>
  </si>
  <si>
    <t>Cosavirus B</t>
  </si>
  <si>
    <t>Cosavirus D</t>
  </si>
  <si>
    <t>Cosavirus F</t>
  </si>
  <si>
    <t>Sosuga rubulavirus</t>
  </si>
  <si>
    <t>Tioman rubulavirus</t>
  </si>
  <si>
    <t xml:space="preserve">Ekpoma 1 tibrovirus </t>
  </si>
  <si>
    <t xml:space="preserve">Human respirovirus 1 </t>
  </si>
  <si>
    <t xml:space="preserve">Human respirovirus 3 </t>
  </si>
  <si>
    <t>Human rubulavirus 4</t>
  </si>
  <si>
    <t xml:space="preserve">Human rubulavirus 2 </t>
  </si>
  <si>
    <t>Simian rubulavirus</t>
  </si>
  <si>
    <t>Mammalian rubulavirus 5</t>
  </si>
  <si>
    <t xml:space="preserve">Hantaan orthohantavirus </t>
  </si>
  <si>
    <t>Reference (Transmission route)</t>
  </si>
  <si>
    <t>12095430</t>
  </si>
  <si>
    <t>21435229</t>
  </si>
  <si>
    <t>9833886</t>
  </si>
  <si>
    <t>21323673</t>
  </si>
  <si>
    <t>20410900</t>
  </si>
  <si>
    <t>204207</t>
  </si>
  <si>
    <t>22721825</t>
  </si>
  <si>
    <t>15929402</t>
  </si>
  <si>
    <t>18421377</t>
  </si>
  <si>
    <t>21118930</t>
  </si>
  <si>
    <t>20889861</t>
  </si>
  <si>
    <t>21830071</t>
  </si>
  <si>
    <t>17126919</t>
  </si>
  <si>
    <t>Choclo orthohantavirus</t>
  </si>
  <si>
    <t>3140434</t>
  </si>
  <si>
    <t>22889105</t>
  </si>
  <si>
    <t>15138077</t>
  </si>
  <si>
    <t>10072155</t>
  </si>
  <si>
    <t>22526290</t>
  </si>
  <si>
    <t>22877560</t>
  </si>
  <si>
    <t xml:space="preserve">Crimean-Congo haemorrhagic fever orthonairovirus </t>
  </si>
  <si>
    <t xml:space="preserve">Dugbe orthonairovirus </t>
  </si>
  <si>
    <t>Thiafora orthonairovirus</t>
  </si>
  <si>
    <t>Cosavirus E</t>
  </si>
  <si>
    <t xml:space="preserve">Mammalian 2 bornavirus </t>
  </si>
  <si>
    <t>10466964</t>
  </si>
  <si>
    <t>19486319</t>
  </si>
  <si>
    <t>16943351</t>
  </si>
  <si>
    <t>23097448</t>
  </si>
  <si>
    <t>25079078</t>
  </si>
  <si>
    <t>21345956</t>
  </si>
  <si>
    <t>24830424</t>
  </si>
  <si>
    <t>15778036</t>
  </si>
  <si>
    <t>23960171</t>
  </si>
  <si>
    <t>18632972</t>
  </si>
  <si>
    <t>22937876</t>
  </si>
  <si>
    <t>17326938</t>
  </si>
  <si>
    <t>16318717</t>
  </si>
  <si>
    <t>18834510</t>
  </si>
  <si>
    <t>10463688</t>
  </si>
  <si>
    <t>1928574</t>
  </si>
  <si>
    <t>20810845</t>
  </si>
  <si>
    <t>Andes orthohantavirus</t>
  </si>
  <si>
    <t xml:space="preserve">Bayou orthohantavirus </t>
  </si>
  <si>
    <t xml:space="preserve">Black creek canal orthohantavirus </t>
  </si>
  <si>
    <t xml:space="preserve">Dobrava-Belgrade orthohantavirus </t>
  </si>
  <si>
    <t>Laguna Negra orthohantavirus</t>
  </si>
  <si>
    <t xml:space="preserve">Puumala orthohantavirus </t>
  </si>
  <si>
    <t>Sangassou orthohantavirus</t>
  </si>
  <si>
    <t xml:space="preserve">Seoul orthohantavirus </t>
  </si>
  <si>
    <t xml:space="preserve">Sin Nombre orthohantavirus </t>
  </si>
  <si>
    <t>Thailand orthohantavirus</t>
  </si>
  <si>
    <t>Thottapalayam orthohantavirus</t>
  </si>
  <si>
    <t>Tula orthohantavirus</t>
  </si>
  <si>
    <t xml:space="preserve">Hendra henipavirus </t>
  </si>
  <si>
    <t>22129409</t>
  </si>
  <si>
    <t>19065353</t>
  </si>
  <si>
    <t>23523924</t>
  </si>
  <si>
    <t>12534779</t>
  </si>
  <si>
    <t>Canine morbillivirus</t>
  </si>
  <si>
    <t xml:space="preserve">Mumps rubulavirus </t>
  </si>
  <si>
    <t>Hepacivirus C</t>
  </si>
  <si>
    <t xml:space="preserve">Measles morbillivirus </t>
  </si>
  <si>
    <t xml:space="preserve">Nipah henipavirus </t>
  </si>
  <si>
    <t xml:space="preserve">Human orthopneumovirus </t>
  </si>
  <si>
    <t xml:space="preserve">Avian avulavirus 1 </t>
  </si>
  <si>
    <t>2849884</t>
  </si>
  <si>
    <t>8827668</t>
  </si>
  <si>
    <t>12551991</t>
  </si>
  <si>
    <t>21366416</t>
  </si>
  <si>
    <t>23161446</t>
  </si>
  <si>
    <t>17507975</t>
  </si>
  <si>
    <t>22931057</t>
  </si>
  <si>
    <t>17245535</t>
  </si>
  <si>
    <t>9426455</t>
  </si>
  <si>
    <t>11359196</t>
  </si>
  <si>
    <t>12296402</t>
  </si>
  <si>
    <t>22371588</t>
  </si>
  <si>
    <t>25673727</t>
  </si>
  <si>
    <t>22710350</t>
  </si>
  <si>
    <t>9140195</t>
  </si>
  <si>
    <t>1325663</t>
  </si>
  <si>
    <t>23505588</t>
  </si>
  <si>
    <t>192094</t>
  </si>
  <si>
    <t>22883515</t>
  </si>
  <si>
    <t>19523297</t>
  </si>
  <si>
    <t>23202466</t>
  </si>
  <si>
    <t>3143273</t>
  </si>
  <si>
    <t>10930658</t>
  </si>
  <si>
    <t>19788811</t>
  </si>
  <si>
    <t>11791973</t>
  </si>
  <si>
    <t>15487592</t>
  </si>
  <si>
    <t>10726271</t>
  </si>
  <si>
    <t>182399</t>
  </si>
  <si>
    <t>16051848</t>
  </si>
  <si>
    <t>16546454</t>
  </si>
  <si>
    <t>23223618</t>
  </si>
  <si>
    <t>22931153</t>
  </si>
  <si>
    <t>15964158</t>
  </si>
  <si>
    <t>15448364</t>
  </si>
  <si>
    <t>10024977</t>
  </si>
  <si>
    <t>17712412</t>
  </si>
  <si>
    <t>14609474</t>
  </si>
  <si>
    <t>17947533</t>
  </si>
  <si>
    <t>6299259</t>
  </si>
  <si>
    <t>23006778</t>
  </si>
  <si>
    <t>11243752</t>
  </si>
  <si>
    <t>22389721</t>
  </si>
  <si>
    <t>22996737</t>
  </si>
  <si>
    <t>20850178</t>
  </si>
  <si>
    <t>10466973</t>
  </si>
  <si>
    <t>20727376</t>
  </si>
  <si>
    <t>16318707</t>
  </si>
  <si>
    <t>19697413</t>
  </si>
  <si>
    <t>17961279</t>
  </si>
  <si>
    <t>17311340</t>
  </si>
  <si>
    <t>20587198</t>
  </si>
  <si>
    <t>3981</t>
  </si>
  <si>
    <t>6747282</t>
  </si>
  <si>
    <t>3017527</t>
  </si>
  <si>
    <t>8627240</t>
  </si>
  <si>
    <t>19393266</t>
  </si>
  <si>
    <t>6749977</t>
  </si>
  <si>
    <t>22612895</t>
  </si>
  <si>
    <t>21801651</t>
  </si>
  <si>
    <t>6312099</t>
  </si>
  <si>
    <t>10817634</t>
  </si>
  <si>
    <t>22457530</t>
  </si>
  <si>
    <t>19402767</t>
  </si>
  <si>
    <t>23054414</t>
  </si>
  <si>
    <t>17360861</t>
  </si>
  <si>
    <t>18712810</t>
  </si>
  <si>
    <t>2122998</t>
  </si>
  <si>
    <t>9230391</t>
  </si>
  <si>
    <t>22855483</t>
  </si>
  <si>
    <t>17038700</t>
  </si>
  <si>
    <t>7905555</t>
  </si>
  <si>
    <t>21645054</t>
  </si>
  <si>
    <t>12939793</t>
  </si>
  <si>
    <t>22305525</t>
  </si>
  <si>
    <t>19485797</t>
  </si>
  <si>
    <t>15554947</t>
  </si>
  <si>
    <t>24447466</t>
  </si>
  <si>
    <t>480524</t>
  </si>
  <si>
    <t>11113383</t>
  </si>
  <si>
    <t>23155478</t>
  </si>
  <si>
    <t>8115796</t>
  </si>
  <si>
    <t>22000358</t>
  </si>
  <si>
    <t>16953877</t>
  </si>
  <si>
    <t>22864548</t>
  </si>
  <si>
    <t>17182762</t>
  </si>
  <si>
    <t>18240970</t>
  </si>
  <si>
    <t>22924442</t>
  </si>
  <si>
    <t>17703419</t>
  </si>
  <si>
    <t>11463116</t>
  </si>
  <si>
    <t>7435797</t>
  </si>
  <si>
    <t>19889769</t>
  </si>
  <si>
    <t>19741066</t>
  </si>
  <si>
    <t>22389712</t>
  </si>
  <si>
    <t>6300226</t>
  </si>
  <si>
    <t>23283959</t>
  </si>
  <si>
    <t>17658571</t>
  </si>
  <si>
    <t>2863991</t>
  </si>
  <si>
    <t>7563415</t>
  </si>
  <si>
    <t>19913368</t>
  </si>
  <si>
    <t>17471040</t>
  </si>
  <si>
    <t>21529401</t>
  </si>
  <si>
    <t>Ref2 (TR)</t>
  </si>
  <si>
    <t>22135263</t>
  </si>
  <si>
    <t>21466639</t>
  </si>
  <si>
    <t>24475112</t>
  </si>
  <si>
    <t>28653496</t>
  </si>
  <si>
    <t>28068914</t>
  </si>
  <si>
    <t>23665770</t>
  </si>
  <si>
    <t>Reference (Host range)</t>
  </si>
  <si>
    <t>Ref2 (HR)</t>
  </si>
  <si>
    <t>16021308</t>
  </si>
  <si>
    <t>23836565</t>
  </si>
  <si>
    <t>Broken Skin</t>
  </si>
  <si>
    <t>26154788</t>
  </si>
  <si>
    <t>19033469</t>
  </si>
  <si>
    <t>22615791</t>
  </si>
  <si>
    <t>27631733</t>
  </si>
  <si>
    <t>27489269</t>
  </si>
  <si>
    <t>28220327</t>
  </si>
  <si>
    <t>19556568</t>
  </si>
  <si>
    <t>28479064</t>
  </si>
  <si>
    <t>8666081</t>
  </si>
  <si>
    <t>26350980</t>
  </si>
  <si>
    <t>16216136</t>
  </si>
  <si>
    <t>7962552</t>
  </si>
  <si>
    <t>27530215</t>
  </si>
  <si>
    <t xml:space="preserve">28458916 </t>
  </si>
  <si>
    <t>10769073</t>
  </si>
  <si>
    <t>28095926</t>
  </si>
  <si>
    <t>22953019</t>
  </si>
  <si>
    <t>26212039</t>
  </si>
  <si>
    <t>19706703</t>
  </si>
  <si>
    <t>25975198</t>
  </si>
  <si>
    <t>28606155</t>
  </si>
  <si>
    <t>28488954</t>
  </si>
  <si>
    <t>26489898</t>
  </si>
  <si>
    <t>23552411</t>
  </si>
  <si>
    <t>26658066</t>
  </si>
  <si>
    <t>27783676</t>
  </si>
  <si>
    <t>22278233</t>
  </si>
  <si>
    <t>25061851</t>
  </si>
  <si>
    <t>24451093</t>
  </si>
  <si>
    <t>27035712</t>
  </si>
  <si>
    <t>24134941</t>
  </si>
  <si>
    <t>19439468</t>
  </si>
  <si>
    <t>24575755</t>
  </si>
  <si>
    <t>22278828</t>
  </si>
  <si>
    <t>10516034</t>
  </si>
  <si>
    <t>28033365</t>
  </si>
  <si>
    <t>23763901</t>
  </si>
  <si>
    <t>24756465</t>
  </si>
  <si>
    <t>20455779</t>
  </si>
  <si>
    <t>23110096</t>
  </si>
  <si>
    <t>23305714</t>
  </si>
  <si>
    <t>25052008</t>
  </si>
  <si>
    <t>23302882</t>
  </si>
  <si>
    <t>25050760</t>
  </si>
  <si>
    <t>26575627</t>
  </si>
  <si>
    <t>23017256</t>
  </si>
  <si>
    <t>19636367</t>
  </si>
  <si>
    <t>18205973</t>
  </si>
  <si>
    <t>26276630</t>
  </si>
  <si>
    <t>17326956</t>
  </si>
  <si>
    <t>11508391</t>
  </si>
  <si>
    <t>25091145</t>
  </si>
  <si>
    <t>26658594</t>
  </si>
  <si>
    <t>23343342</t>
  </si>
  <si>
    <t>24109214</t>
  </si>
  <si>
    <t>Discovery year</t>
  </si>
  <si>
    <t>Transmission level</t>
  </si>
  <si>
    <t>23268691</t>
  </si>
  <si>
    <t>25898181</t>
  </si>
  <si>
    <t>ICTV history URL</t>
  </si>
  <si>
    <t>N</t>
  </si>
  <si>
    <t>Y</t>
  </si>
  <si>
    <t>Host range</t>
  </si>
  <si>
    <t>Human only</t>
  </si>
  <si>
    <t>Non-human primate</t>
  </si>
  <si>
    <t>Other mammals</t>
  </si>
  <si>
    <t>Birds</t>
  </si>
  <si>
    <t>Reptiles</t>
  </si>
  <si>
    <t>Fish</t>
  </si>
  <si>
    <t>Reference (discovery)</t>
  </si>
  <si>
    <t>Serological detection only</t>
  </si>
  <si>
    <t xml:space="preserve">Foot-and-mouth disease virus </t>
  </si>
  <si>
    <t>Mammarenavirus</t>
  </si>
  <si>
    <t>Mamastrovirus</t>
  </si>
  <si>
    <t>Bornavirus</t>
  </si>
  <si>
    <t>Norovirus</t>
  </si>
  <si>
    <t>Sapovirus</t>
  </si>
  <si>
    <t>Vesivirus</t>
  </si>
  <si>
    <t>Alphacoronavirus</t>
  </si>
  <si>
    <t>Betacoronavirus</t>
  </si>
  <si>
    <t>Torovirus</t>
  </si>
  <si>
    <t>Ebolavirus</t>
  </si>
  <si>
    <t>Marburgvirus</t>
  </si>
  <si>
    <t>Flavivirus</t>
  </si>
  <si>
    <t>Hepacivirus</t>
  </si>
  <si>
    <t>Pegivirus</t>
  </si>
  <si>
    <t>Pestivirus</t>
  </si>
  <si>
    <t>Orthohantavirus</t>
  </si>
  <si>
    <t>Orthohepevirus</t>
  </si>
  <si>
    <t>Orthonairovirus</t>
  </si>
  <si>
    <t>Influenzavirus A</t>
  </si>
  <si>
    <t>Influenzavirus B</t>
  </si>
  <si>
    <t>Influenzavirus C</t>
  </si>
  <si>
    <t>Thogotovirus</t>
  </si>
  <si>
    <t>Avulavirus</t>
  </si>
  <si>
    <t>Henipavirus</t>
  </si>
  <si>
    <t>Morbillivirus</t>
  </si>
  <si>
    <t>Respirovirus</t>
  </si>
  <si>
    <t>Rubulavirus</t>
  </si>
  <si>
    <t>Orthobunyavirus</t>
  </si>
  <si>
    <t>Phlebovirus</t>
  </si>
  <si>
    <t>Picobirnavirus</t>
  </si>
  <si>
    <t>Aphthovirus</t>
  </si>
  <si>
    <t>Cardiovirus</t>
  </si>
  <si>
    <t>Cosavirus</t>
  </si>
  <si>
    <t>Enterovirus</t>
  </si>
  <si>
    <t>Erbovirus</t>
  </si>
  <si>
    <t>Hepatovirus</t>
  </si>
  <si>
    <t>Kobuvirus</t>
  </si>
  <si>
    <t>Parechovirus</t>
  </si>
  <si>
    <t>Salivirus</t>
  </si>
  <si>
    <t>Metapneumovirus</t>
  </si>
  <si>
    <t>Orthopneumovirus</t>
  </si>
  <si>
    <t>Coltivirus</t>
  </si>
  <si>
    <t>Orbivirus</t>
  </si>
  <si>
    <t>Orthoreovirus</t>
  </si>
  <si>
    <t>Rotavirus</t>
  </si>
  <si>
    <t>Seadornavirus</t>
  </si>
  <si>
    <t>Deltaretrovirus</t>
  </si>
  <si>
    <t>Lentivirus</t>
  </si>
  <si>
    <t>Spumavirus</t>
  </si>
  <si>
    <t>Lyssavirus</t>
  </si>
  <si>
    <t>Tibrovirus</t>
  </si>
  <si>
    <t>Vesiculovirus</t>
  </si>
  <si>
    <t>Alphavirus</t>
  </si>
  <si>
    <t>Rubivirus</t>
  </si>
  <si>
    <t>Deltavirus</t>
  </si>
  <si>
    <t>Arenaviridae</t>
  </si>
  <si>
    <t>Astroviridae</t>
  </si>
  <si>
    <t>Bornaviridae</t>
  </si>
  <si>
    <t>Caliciviridae</t>
  </si>
  <si>
    <t>Coronaviridae</t>
  </si>
  <si>
    <t>Filoviridae</t>
  </si>
  <si>
    <t>Flaviviridae</t>
  </si>
  <si>
    <t>Hantaviridae</t>
  </si>
  <si>
    <t>Hepeviridae</t>
  </si>
  <si>
    <t>Nairoviridae</t>
  </si>
  <si>
    <t>Orthomyxoviridae</t>
  </si>
  <si>
    <t>Paramyxoviridae</t>
  </si>
  <si>
    <t>Peribunyaviridae</t>
  </si>
  <si>
    <t>Phenuviridae</t>
  </si>
  <si>
    <t>Picobirnaviridae</t>
  </si>
  <si>
    <t>Picornaviridae</t>
  </si>
  <si>
    <t>Pneumoviridae</t>
  </si>
  <si>
    <t>Reoviridae</t>
  </si>
  <si>
    <t>Retroviridae</t>
  </si>
  <si>
    <t>Rhabdoviridae</t>
  </si>
  <si>
    <t>Togaviridae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</si>
</sst>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£-809]#,##0.00;[Red]\-[$£-809]#,##0.00"/>
  </numFmts>
  <fonts count="3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u/>
      <sz val="10"/>
      <color indexed="12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i/>
      <sz val="11"/>
      <color indexed="8"/>
      <name val="Calibri"/>
      <family val="2"/>
    </font>
    <font>
      <i/>
      <sz val="11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CF1F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9">
    <xf numFmtId="0" fontId="0" fillId="0" borderId="0"/>
    <xf numFmtId="0" fontId="5" fillId="0" borderId="1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1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19" borderId="0" applyNumberFormat="0" applyBorder="0" applyAlignment="0" applyProtection="0"/>
    <xf numFmtId="0" fontId="12" fillId="20" borderId="0" applyNumberFormat="0" applyBorder="0" applyAlignment="0" applyProtection="0"/>
    <xf numFmtId="0" fontId="13" fillId="21" borderId="0" applyNumberFormat="0" applyBorder="0" applyAlignment="0" applyProtection="0"/>
    <xf numFmtId="0" fontId="14" fillId="22" borderId="5" applyNumberFormat="0" applyAlignment="0" applyProtection="0"/>
    <xf numFmtId="0" fontId="15" fillId="23" borderId="6" applyNumberFormat="0" applyAlignment="0" applyProtection="0"/>
    <xf numFmtId="0" fontId="16" fillId="23" borderId="5" applyNumberFormat="0" applyAlignment="0" applyProtection="0"/>
    <xf numFmtId="0" fontId="17" fillId="0" borderId="7" applyNumberFormat="0" applyFill="0" applyAlignment="0" applyProtection="0"/>
    <xf numFmtId="0" fontId="18" fillId="24" borderId="8" applyNumberFormat="0" applyAlignment="0" applyProtection="0"/>
    <xf numFmtId="0" fontId="19" fillId="0" borderId="0" applyNumberFormat="0" applyFill="0" applyBorder="0" applyAlignment="0" applyProtection="0"/>
    <xf numFmtId="0" fontId="6" fillId="25" borderId="9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1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1" fillId="49" borderId="0" applyNumberFormat="0" applyBorder="0" applyAlignment="0" applyProtection="0"/>
    <xf numFmtId="0" fontId="22" fillId="0" borderId="0"/>
    <xf numFmtId="0" fontId="3" fillId="0" borderId="0"/>
    <xf numFmtId="0" fontId="23" fillId="0" borderId="0"/>
    <xf numFmtId="0" fontId="24" fillId="0" borderId="0" applyNumberFormat="0" applyFill="0" applyBorder="0" applyAlignment="0" applyProtection="0"/>
    <xf numFmtId="0" fontId="3" fillId="0" borderId="1"/>
    <xf numFmtId="0" fontId="3" fillId="0" borderId="1"/>
    <xf numFmtId="0" fontId="2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2" fillId="0" borderId="0" applyNumberFormat="0" applyFill="0" applyBorder="0" applyAlignment="0" applyProtection="0"/>
    <xf numFmtId="0" fontId="3" fillId="0" borderId="11"/>
    <xf numFmtId="0" fontId="3" fillId="0" borderId="11"/>
    <xf numFmtId="0" fontId="3" fillId="0" borderId="11"/>
    <xf numFmtId="164" fontId="25" fillId="0" borderId="0"/>
    <xf numFmtId="0" fontId="29" fillId="0" borderId="0"/>
  </cellStyleXfs>
  <cellXfs count="108">
    <xf numFmtId="0" fontId="0" fillId="0" borderId="0" xfId="0"/>
    <xf numFmtId="0" fontId="0" fillId="6" borderId="0" xfId="0" applyFont="1" applyFill="1" applyAlignment="1"/>
    <xf numFmtId="0" fontId="0" fillId="15" borderId="0" xfId="0" applyFont="1" applyFill="1" applyAlignment="1"/>
    <xf numFmtId="0" fontId="0" fillId="14" borderId="0" xfId="0" applyFill="1"/>
    <xf numFmtId="0" fontId="0" fillId="13" borderId="0" xfId="0" applyFont="1" applyFill="1" applyAlignment="1">
      <alignment horizontal="center"/>
    </xf>
    <xf numFmtId="0" fontId="0" fillId="12" borderId="0" xfId="0" applyFont="1" applyFill="1" applyAlignment="1"/>
    <xf numFmtId="0" fontId="0" fillId="16" borderId="0" xfId="0" applyFont="1" applyFill="1" applyAlignment="1"/>
    <xf numFmtId="0" fontId="0" fillId="18" borderId="0" xfId="0" applyFont="1" applyFill="1" applyAlignment="1"/>
    <xf numFmtId="0" fontId="0" fillId="18" borderId="0" xfId="0" applyFont="1" applyFill="1"/>
    <xf numFmtId="0" fontId="0" fillId="18" borderId="0" xfId="0" applyFill="1"/>
    <xf numFmtId="0" fontId="0" fillId="6" borderId="0" xfId="0" applyFill="1"/>
    <xf numFmtId="0" fontId="0" fillId="5" borderId="0" xfId="0" applyFont="1" applyFill="1" applyAlignment="1">
      <alignment horizontal="center"/>
    </xf>
    <xf numFmtId="0" fontId="0" fillId="17" borderId="0" xfId="0" applyFont="1" applyFill="1" applyAlignment="1"/>
    <xf numFmtId="0" fontId="0" fillId="7" borderId="0" xfId="0" applyFont="1" applyFill="1"/>
    <xf numFmtId="0" fontId="0" fillId="2" borderId="0" xfId="0" applyFont="1" applyFill="1" applyAlignment="1"/>
    <xf numFmtId="0" fontId="0" fillId="9" borderId="0" xfId="0" applyFont="1" applyFill="1" applyAlignment="1"/>
    <xf numFmtId="0" fontId="0" fillId="8" borderId="0" xfId="0" applyFont="1" applyFill="1" applyAlignment="1"/>
    <xf numFmtId="0" fontId="0" fillId="9" borderId="0" xfId="0" applyFill="1"/>
    <xf numFmtId="0" fontId="0" fillId="8" borderId="0" xfId="0" applyFill="1"/>
    <xf numFmtId="0" fontId="0" fillId="9" borderId="0" xfId="0" applyFont="1" applyFill="1"/>
    <xf numFmtId="0" fontId="0" fillId="9" borderId="0" xfId="0" applyFill="1" applyAlignment="1"/>
    <xf numFmtId="0" fontId="0" fillId="3" borderId="0" xfId="0" applyFont="1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0" borderId="0" xfId="0"/>
    <xf numFmtId="0" fontId="4" fillId="5" borderId="0" xfId="49" applyFont="1" applyFill="1" applyBorder="1" applyAlignment="1">
      <alignment horizontal="center"/>
    </xf>
    <xf numFmtId="0" fontId="4" fillId="10" borderId="0" xfId="49" applyFont="1" applyFill="1" applyBorder="1" applyAlignment="1">
      <alignment horizontal="center"/>
    </xf>
    <xf numFmtId="0" fontId="4" fillId="3" borderId="0" xfId="49" applyFont="1" applyFill="1" applyBorder="1" applyAlignment="1">
      <alignment horizontal="center"/>
    </xf>
    <xf numFmtId="0" fontId="4" fillId="11" borderId="0" xfId="49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Fill="1" applyAlignment="1"/>
    <xf numFmtId="0" fontId="0" fillId="4" borderId="0" xfId="0" applyFont="1" applyFill="1"/>
    <xf numFmtId="0" fontId="0" fillId="0" borderId="0" xfId="0" applyFont="1" applyFill="1"/>
    <xf numFmtId="0" fontId="0" fillId="4" borderId="0" xfId="0" applyFont="1" applyFill="1" applyAlignment="1"/>
    <xf numFmtId="0" fontId="0" fillId="0" borderId="0" xfId="0" applyFill="1"/>
    <xf numFmtId="0" fontId="0" fillId="0" borderId="0" xfId="0"/>
    <xf numFmtId="0" fontId="0" fillId="10" borderId="0" xfId="0" applyFont="1" applyFill="1" applyAlignment="1">
      <alignment horizontal="center"/>
    </xf>
    <xf numFmtId="0" fontId="4" fillId="10" borderId="0" xfId="3" applyFont="1" applyFill="1" applyBorder="1" applyAlignment="1">
      <alignment horizontal="center"/>
    </xf>
    <xf numFmtId="0" fontId="4" fillId="3" borderId="0" xfId="3" applyFont="1" applyFill="1" applyBorder="1" applyAlignment="1">
      <alignment horizontal="center"/>
    </xf>
    <xf numFmtId="0" fontId="0" fillId="4" borderId="0" xfId="0" applyFont="1" applyFill="1" applyAlignment="1">
      <alignment horizontal="right"/>
    </xf>
    <xf numFmtId="0" fontId="0" fillId="17" borderId="0" xfId="0" applyFill="1" applyAlignment="1">
      <alignment horizontal="right"/>
    </xf>
    <xf numFmtId="0" fontId="0" fillId="17" borderId="0" xfId="0" applyFont="1" applyFill="1" applyAlignment="1">
      <alignment horizontal="right"/>
    </xf>
    <xf numFmtId="0" fontId="4" fillId="4" borderId="0" xfId="3" applyFont="1" applyFill="1" applyBorder="1" applyAlignment="1">
      <alignment horizontal="right"/>
    </xf>
    <xf numFmtId="0" fontId="4" fillId="18" borderId="0" xfId="3" applyFont="1" applyFill="1" applyBorder="1" applyAlignment="1">
      <alignment horizontal="right"/>
    </xf>
    <xf numFmtId="0" fontId="0" fillId="9" borderId="0" xfId="0" applyFill="1" applyAlignment="1">
      <alignment vertical="center"/>
    </xf>
    <xf numFmtId="0" fontId="0" fillId="18" borderId="0" xfId="0" applyFill="1" applyAlignment="1">
      <alignment horizontal="right"/>
    </xf>
    <xf numFmtId="0" fontId="0" fillId="18" borderId="0" xfId="0" applyFont="1" applyFill="1" applyAlignment="1">
      <alignment horizontal="right"/>
    </xf>
    <xf numFmtId="0" fontId="4" fillId="17" borderId="0" xfId="3" applyFont="1" applyFill="1" applyBorder="1" applyAlignment="1">
      <alignment horizontal="right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0" fillId="0" borderId="0" xfId="0"/>
    <xf numFmtId="0" fontId="0" fillId="2" borderId="0" xfId="0" applyFont="1" applyFill="1"/>
    <xf numFmtId="0" fontId="4" fillId="17" borderId="0" xfId="3" applyFont="1" applyFill="1" applyBorder="1" applyAlignment="1">
      <alignment horizontal="left"/>
    </xf>
    <xf numFmtId="0" fontId="4" fillId="17" borderId="0" xfId="0" applyFont="1" applyFill="1" applyAlignment="1"/>
    <xf numFmtId="0" fontId="4" fillId="0" borderId="0" xfId="0" applyFont="1"/>
    <xf numFmtId="0" fontId="4" fillId="17" borderId="0" xfId="0" applyFont="1" applyFill="1" applyAlignment="1">
      <alignment horizontal="left"/>
    </xf>
    <xf numFmtId="0" fontId="4" fillId="4" borderId="0" xfId="0" applyFont="1" applyFill="1" applyAlignment="1">
      <alignment horizontal="right"/>
    </xf>
    <xf numFmtId="0" fontId="4" fillId="17" borderId="0" xfId="0" applyFont="1" applyFill="1" applyAlignment="1">
      <alignment horizontal="right"/>
    </xf>
    <xf numFmtId="0" fontId="4" fillId="4" borderId="0" xfId="0" applyFont="1" applyFill="1" applyAlignment="1"/>
    <xf numFmtId="0" fontId="4" fillId="3" borderId="0" xfId="0" applyFont="1" applyFill="1" applyAlignment="1">
      <alignment horizontal="center"/>
    </xf>
    <xf numFmtId="0" fontId="4" fillId="18" borderId="0" xfId="0" applyFont="1" applyFill="1" applyAlignment="1"/>
    <xf numFmtId="0" fontId="4" fillId="9" borderId="0" xfId="0" applyFont="1" applyFill="1"/>
    <xf numFmtId="0" fontId="4" fillId="18" borderId="0" xfId="0" applyFont="1" applyFill="1"/>
    <xf numFmtId="0" fontId="4" fillId="8" borderId="0" xfId="0" applyFont="1" applyFill="1"/>
    <xf numFmtId="0" fontId="0" fillId="10" borderId="0" xfId="0" applyFill="1" applyAlignment="1">
      <alignment horizontal="center"/>
    </xf>
    <xf numFmtId="0" fontId="0" fillId="50" borderId="0" xfId="0" applyFill="1"/>
    <xf numFmtId="0" fontId="4" fillId="9" borderId="0" xfId="0" applyFont="1" applyFill="1" applyAlignment="1"/>
    <xf numFmtId="0" fontId="4" fillId="10" borderId="0" xfId="0" applyFont="1" applyFill="1" applyAlignment="1">
      <alignment horizontal="center"/>
    </xf>
    <xf numFmtId="0" fontId="4" fillId="18" borderId="0" xfId="0" applyFont="1" applyFill="1" applyAlignment="1">
      <alignment horizontal="right"/>
    </xf>
    <xf numFmtId="0" fontId="4" fillId="8" borderId="0" xfId="0" applyFont="1" applyFill="1" applyAlignment="1">
      <alignment horizontal="right"/>
    </xf>
    <xf numFmtId="0" fontId="4" fillId="12" borderId="0" xfId="0" applyFont="1" applyFill="1" applyAlignment="1"/>
    <xf numFmtId="0" fontId="0" fillId="14" borderId="0" xfId="0" applyFill="1" applyAlignment="1">
      <alignment horizontal="right"/>
    </xf>
    <xf numFmtId="0" fontId="4" fillId="14" borderId="0" xfId="0" applyFont="1" applyFill="1" applyAlignment="1">
      <alignment horizontal="right"/>
    </xf>
    <xf numFmtId="0" fontId="0" fillId="14" borderId="0" xfId="0" applyFont="1" applyFill="1" applyAlignment="1">
      <alignment horizontal="right"/>
    </xf>
    <xf numFmtId="49" fontId="26" fillId="4" borderId="0" xfId="2" applyNumberFormat="1" applyFont="1" applyFill="1" applyAlignment="1" applyProtection="1">
      <alignment horizontal="right"/>
    </xf>
    <xf numFmtId="0" fontId="4" fillId="4" borderId="0" xfId="0" applyFont="1" applyFill="1"/>
    <xf numFmtId="0" fontId="0" fillId="8" borderId="0" xfId="0" applyFill="1" applyAlignment="1">
      <alignment horizontal="right"/>
    </xf>
    <xf numFmtId="0" fontId="2" fillId="6" borderId="0" xfId="2" applyFill="1" applyAlignment="1" applyProtection="1">
      <alignment horizontal="right"/>
    </xf>
    <xf numFmtId="0" fontId="26" fillId="6" borderId="0" xfId="2" applyFont="1" applyFill="1" applyAlignment="1" applyProtection="1">
      <alignment horizontal="right" vertical="center"/>
    </xf>
    <xf numFmtId="49" fontId="26" fillId="6" borderId="0" xfId="2" applyNumberFormat="1" applyFont="1" applyFill="1" applyAlignment="1" applyProtection="1">
      <alignment horizontal="right"/>
    </xf>
    <xf numFmtId="0" fontId="27" fillId="6" borderId="0" xfId="0" applyFont="1" applyFill="1" applyAlignment="1">
      <alignment horizontal="right"/>
    </xf>
    <xf numFmtId="0" fontId="28" fillId="6" borderId="0" xfId="0" applyFont="1" applyFill="1" applyAlignment="1">
      <alignment horizontal="right"/>
    </xf>
    <xf numFmtId="0" fontId="26" fillId="6" borderId="0" xfId="2" applyFont="1" applyFill="1" applyAlignment="1" applyProtection="1">
      <alignment horizontal="right"/>
    </xf>
    <xf numFmtId="0" fontId="28" fillId="4" borderId="0" xfId="0" applyFont="1" applyFill="1" applyAlignment="1">
      <alignment horizontal="right"/>
    </xf>
    <xf numFmtId="0" fontId="27" fillId="4" borderId="0" xfId="0" applyFont="1" applyFill="1" applyAlignment="1">
      <alignment horizontal="right"/>
    </xf>
    <xf numFmtId="0" fontId="26" fillId="4" borderId="0" xfId="2" applyFont="1" applyFill="1" applyAlignment="1" applyProtection="1">
      <alignment horizontal="right"/>
    </xf>
    <xf numFmtId="0" fontId="26" fillId="6" borderId="0" xfId="2" applyFont="1" applyFill="1" applyAlignment="1" applyProtection="1"/>
    <xf numFmtId="0" fontId="4" fillId="4" borderId="0" xfId="0" applyFont="1" applyFill="1" applyAlignment="1">
      <alignment horizontal="left"/>
    </xf>
    <xf numFmtId="0" fontId="4" fillId="52" borderId="0" xfId="0" applyFont="1" applyFill="1" applyAlignment="1"/>
    <xf numFmtId="0" fontId="26" fillId="51" borderId="0" xfId="2" applyFont="1" applyFill="1" applyAlignment="1" applyProtection="1">
      <alignment horizontal="right"/>
    </xf>
    <xf numFmtId="0" fontId="27" fillId="0" borderId="0" xfId="0" applyFont="1" applyFill="1" applyAlignment="1">
      <alignment horizontal="right"/>
    </xf>
    <xf numFmtId="0" fontId="0" fillId="53" borderId="0" xfId="0" applyFont="1" applyFill="1" applyAlignment="1"/>
    <xf numFmtId="0" fontId="0" fillId="54" borderId="0" xfId="0" applyFill="1"/>
    <xf numFmtId="0" fontId="0" fillId="53" borderId="0" xfId="0" applyFill="1"/>
    <xf numFmtId="0" fontId="0" fillId="51" borderId="0" xfId="0" applyFont="1" applyFill="1" applyAlignment="1"/>
    <xf numFmtId="0" fontId="0" fillId="51" borderId="0" xfId="0" applyFont="1" applyFill="1"/>
    <xf numFmtId="0" fontId="0" fillId="51" borderId="0" xfId="0" applyFill="1"/>
    <xf numFmtId="0" fontId="0" fillId="52" borderId="0" xfId="0" applyFont="1" applyFill="1" applyAlignment="1"/>
    <xf numFmtId="0" fontId="0" fillId="0" borderId="0" xfId="0" applyAlignment="1">
      <alignment horizontal="right"/>
    </xf>
    <xf numFmtId="0" fontId="4" fillId="52" borderId="0" xfId="0" applyFont="1" applyFill="1" applyAlignment="1">
      <alignment horizontal="left"/>
    </xf>
    <xf numFmtId="0" fontId="30" fillId="0" borderId="0" xfId="0" applyFont="1"/>
    <xf numFmtId="0" fontId="30" fillId="0" borderId="0" xfId="0" applyFont="1" applyAlignment="1"/>
    <xf numFmtId="0" fontId="30" fillId="0" borderId="0" xfId="0" applyFont="1" applyFill="1" applyAlignment="1"/>
    <xf numFmtId="0" fontId="31" fillId="0" borderId="0" xfId="52" applyFont="1"/>
    <xf numFmtId="0" fontId="32" fillId="0" borderId="0" xfId="0" applyFont="1" applyFill="1" applyAlignment="1"/>
    <xf numFmtId="0" fontId="30" fillId="0" borderId="0" xfId="0" applyFont="1" applyFill="1"/>
    <xf numFmtId="0" fontId="31" fillId="0" borderId="0" xfId="46" applyFont="1" applyFill="1"/>
    <xf numFmtId="0" fontId="32" fillId="0" borderId="0" xfId="0" applyFont="1" applyAlignment="1"/>
    <xf numFmtId="0" fontId="31" fillId="0" borderId="0" xfId="52" applyFont="1" applyFill="1"/>
  </cellXfs>
  <cellStyles count="5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2" builtinId="8"/>
    <cellStyle name="Hyperlink 2" xfId="51"/>
    <cellStyle name="Hyperlink 2 2" xfId="53"/>
    <cellStyle name="Hyperlink 3" xfId="48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3"/>
    <cellStyle name="Normal 2 2" xfId="1"/>
    <cellStyle name="Normal 2 2 2" xfId="49"/>
    <cellStyle name="Normal 2 2 3" xfId="55"/>
    <cellStyle name="Normal 2 3" xfId="50"/>
    <cellStyle name="Normal 2 3 2" xfId="56"/>
    <cellStyle name="Normal 2 4" xfId="45"/>
    <cellStyle name="Normal 2 5" xfId="54"/>
    <cellStyle name="Normal 3" xfId="47"/>
    <cellStyle name="Normal 3 2" xfId="46"/>
    <cellStyle name="Normal 3 3" xfId="57"/>
    <cellStyle name="Normal 4" xfId="52"/>
    <cellStyle name="Normal 5" xfId="58"/>
    <cellStyle name="Note" xfId="18" builtinId="10" customBuiltin="1"/>
    <cellStyle name="Output" xfId="13" builtinId="21" customBuiltin="1"/>
    <cellStyle name="Title" xfId="4" builtinId="15" customBuiltin="1"/>
    <cellStyle name="Total" xfId="20" builtinId="25" customBuiltin="1"/>
    <cellStyle name="Warning Text" xfId="17" builtinId="11" customBuiltin="1"/>
  </cellStyles>
  <dxfs count="204">
    <dxf>
      <fill>
        <patternFill>
          <bgColor rgb="FF66FF33"/>
        </patternFill>
      </fill>
    </dxf>
    <dxf>
      <fill>
        <patternFill>
          <bgColor rgb="FFFF5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03"/>
      <tableStyleElement type="headerRow" dxfId="202"/>
    </tableStyle>
  </tableStyles>
  <colors>
    <mruColors>
      <color rgb="FFCCFFFF"/>
      <color rgb="FFDCF1F8"/>
      <color rgb="FF00FF00"/>
      <color rgb="FFCCFFCC"/>
      <color rgb="FFEBF010"/>
      <color rgb="FF33CC33"/>
      <color rgb="FFCCCC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cbi.nlm.nih.gov/pubmed/22883515" TargetMode="External"/><Relationship Id="rId21" Type="http://schemas.openxmlformats.org/officeDocument/2006/relationships/hyperlink" Target="https://www.ncbi.nlm.nih.gov/pubmed/19501478" TargetMode="External"/><Relationship Id="rId324" Type="http://schemas.openxmlformats.org/officeDocument/2006/relationships/hyperlink" Target="https://www.ncbi.nlm.nih.gov/pubmed/25393244" TargetMode="External"/><Relationship Id="rId170" Type="http://schemas.openxmlformats.org/officeDocument/2006/relationships/hyperlink" Target="https://www.ncbi.nlm.nih.gov/pubmed/20850178" TargetMode="External"/><Relationship Id="rId226" Type="http://schemas.openxmlformats.org/officeDocument/2006/relationships/hyperlink" Target="https://www.ncbi.nlm.nih.gov/pubmed/21645054" TargetMode="External"/><Relationship Id="rId433" Type="http://schemas.openxmlformats.org/officeDocument/2006/relationships/hyperlink" Target="https://www.ncbi.nlm.nih.gov/pubmed/18305044" TargetMode="External"/><Relationship Id="rId268" Type="http://schemas.openxmlformats.org/officeDocument/2006/relationships/hyperlink" Target="https://www.ncbi.nlm.nih.gov/pubmed/2863991" TargetMode="External"/><Relationship Id="rId475" Type="http://schemas.openxmlformats.org/officeDocument/2006/relationships/hyperlink" Target="https://www.ncbi.nlm.nih.gov/pubmed/2212992" TargetMode="External"/><Relationship Id="rId32" Type="http://schemas.openxmlformats.org/officeDocument/2006/relationships/hyperlink" Target="https://www.ncbi.nlm.nih.gov/pubmed/21323673" TargetMode="External"/><Relationship Id="rId74" Type="http://schemas.openxmlformats.org/officeDocument/2006/relationships/hyperlink" Target="https://www.ncbi.nlm.nih.gov/pubmed/16318717" TargetMode="External"/><Relationship Id="rId128" Type="http://schemas.openxmlformats.org/officeDocument/2006/relationships/hyperlink" Target="https://www.ncbi.nlm.nih.gov/pubmed/24475112" TargetMode="External"/><Relationship Id="rId335" Type="http://schemas.openxmlformats.org/officeDocument/2006/relationships/hyperlink" Target="https://www.ncbi.nlm.nih.gov/pubmed/26982388" TargetMode="External"/><Relationship Id="rId377" Type="http://schemas.openxmlformats.org/officeDocument/2006/relationships/hyperlink" Target="https://www.ncbi.nlm.nih.gov/pubmed/6508529" TargetMode="External"/><Relationship Id="rId500" Type="http://schemas.openxmlformats.org/officeDocument/2006/relationships/hyperlink" Target="https://www.ncbi.nlm.nih.gov/pubmed/15911757/" TargetMode="External"/><Relationship Id="rId5" Type="http://schemas.openxmlformats.org/officeDocument/2006/relationships/hyperlink" Target="https://www.ncbi.nlm.nih.gov/pubmed/22320357" TargetMode="External"/><Relationship Id="rId181" Type="http://schemas.openxmlformats.org/officeDocument/2006/relationships/hyperlink" Target="https://www.ncbi.nlm.nih.gov/pubmed/11438028" TargetMode="External"/><Relationship Id="rId237" Type="http://schemas.openxmlformats.org/officeDocument/2006/relationships/hyperlink" Target="https://www.ncbi.nlm.nih.gov/pubmed/15554947" TargetMode="External"/><Relationship Id="rId402" Type="http://schemas.openxmlformats.org/officeDocument/2006/relationships/hyperlink" Target="https://www.ncbi.nlm.nih.gov/pubmed/28302313" TargetMode="External"/><Relationship Id="rId279" Type="http://schemas.openxmlformats.org/officeDocument/2006/relationships/hyperlink" Target="https://www.ncbi.nlm.nih.gov/pubmed/21529401" TargetMode="External"/><Relationship Id="rId444" Type="http://schemas.openxmlformats.org/officeDocument/2006/relationships/hyperlink" Target="https://www.ncbi.nlm.nih.gov/pubmed/23028323" TargetMode="External"/><Relationship Id="rId486" Type="http://schemas.openxmlformats.org/officeDocument/2006/relationships/hyperlink" Target="https://www.ncbi.nlm.nih.gov/pubmed/11463116" TargetMode="External"/><Relationship Id="rId43" Type="http://schemas.openxmlformats.org/officeDocument/2006/relationships/hyperlink" Target="https://www.ncbi.nlm.nih.gov/pubmed/20519386" TargetMode="External"/><Relationship Id="rId139" Type="http://schemas.openxmlformats.org/officeDocument/2006/relationships/hyperlink" Target="https://www.ncbi.nlm.nih.gov/pubmed/15448364" TargetMode="External"/><Relationship Id="rId290" Type="http://schemas.openxmlformats.org/officeDocument/2006/relationships/hyperlink" Target="https://www.ncbi.nlm.nih.gov/pubmed/6293325" TargetMode="External"/><Relationship Id="rId304" Type="http://schemas.openxmlformats.org/officeDocument/2006/relationships/hyperlink" Target="https://www.ncbi.nlm.nih.gov/pubmed/8666081" TargetMode="External"/><Relationship Id="rId346" Type="http://schemas.openxmlformats.org/officeDocument/2006/relationships/hyperlink" Target="https://www.ncbi.nlm.nih.gov/pubmed/23552411" TargetMode="External"/><Relationship Id="rId388" Type="http://schemas.openxmlformats.org/officeDocument/2006/relationships/hyperlink" Target="https://www.ncbi.nlm.nih.gov/pubmed/23474474" TargetMode="External"/><Relationship Id="rId511" Type="http://schemas.openxmlformats.org/officeDocument/2006/relationships/hyperlink" Target="https://www.ncbi.nlm.nih.gov/pubmed/27631733" TargetMode="External"/><Relationship Id="rId85" Type="http://schemas.openxmlformats.org/officeDocument/2006/relationships/hyperlink" Target="https://www.ncbi.nlm.nih.gov/pubmed/12534779" TargetMode="External"/><Relationship Id="rId150" Type="http://schemas.openxmlformats.org/officeDocument/2006/relationships/hyperlink" Target="https://www.ncbi.nlm.nih.gov/pubmed/28653496" TargetMode="External"/><Relationship Id="rId192" Type="http://schemas.openxmlformats.org/officeDocument/2006/relationships/hyperlink" Target="https://www.ncbi.nlm.nih.gov/pubmed/3017527" TargetMode="External"/><Relationship Id="rId206" Type="http://schemas.openxmlformats.org/officeDocument/2006/relationships/hyperlink" Target="https://www.ncbi.nlm.nih.gov/pubmed/6312099" TargetMode="External"/><Relationship Id="rId413" Type="http://schemas.openxmlformats.org/officeDocument/2006/relationships/hyperlink" Target="https://www.ncbi.nlm.nih.gov/pubmed/12615305" TargetMode="External"/><Relationship Id="rId248" Type="http://schemas.openxmlformats.org/officeDocument/2006/relationships/hyperlink" Target="https://www.ncbi.nlm.nih.gov/pubmed/22526290" TargetMode="External"/><Relationship Id="rId455" Type="http://schemas.openxmlformats.org/officeDocument/2006/relationships/hyperlink" Target="https://www.ncbi.nlm.nih.gov/pubmed/12095430" TargetMode="External"/><Relationship Id="rId497" Type="http://schemas.openxmlformats.org/officeDocument/2006/relationships/hyperlink" Target="https://www.ncbi.nlm.nih.gov/pubmed/4206329/" TargetMode="External"/><Relationship Id="rId12" Type="http://schemas.openxmlformats.org/officeDocument/2006/relationships/hyperlink" Target="https://www.ncbi.nlm.nih.gov/pubmed/6300226" TargetMode="External"/><Relationship Id="rId108" Type="http://schemas.openxmlformats.org/officeDocument/2006/relationships/hyperlink" Target="https://www.ncbi.nlm.nih.gov/pubmed/23746799" TargetMode="External"/><Relationship Id="rId315" Type="http://schemas.openxmlformats.org/officeDocument/2006/relationships/hyperlink" Target="https://www.ncbi.nlm.nih.gov/pubmed/26556276" TargetMode="External"/><Relationship Id="rId357" Type="http://schemas.openxmlformats.org/officeDocument/2006/relationships/hyperlink" Target="https://www.ncbi.nlm.nih.gov/pubmed/24575755" TargetMode="External"/><Relationship Id="rId54" Type="http://schemas.openxmlformats.org/officeDocument/2006/relationships/hyperlink" Target="https://www.ncbi.nlm.nih.gov/pubmed/10072155" TargetMode="External"/><Relationship Id="rId96" Type="http://schemas.openxmlformats.org/officeDocument/2006/relationships/hyperlink" Target="https://www.ncbi.nlm.nih.gov/pubmed/22874773" TargetMode="External"/><Relationship Id="rId161" Type="http://schemas.openxmlformats.org/officeDocument/2006/relationships/hyperlink" Target="https://www.ncbi.nlm.nih.gov/pubmed/23006778" TargetMode="External"/><Relationship Id="rId217" Type="http://schemas.openxmlformats.org/officeDocument/2006/relationships/hyperlink" Target="https://www.ncbi.nlm.nih.gov/pubmed/2122998" TargetMode="External"/><Relationship Id="rId399" Type="http://schemas.openxmlformats.org/officeDocument/2006/relationships/hyperlink" Target="https://www.ncbi.nlm.nih.gov/pubmed/26575627" TargetMode="External"/><Relationship Id="rId259" Type="http://schemas.openxmlformats.org/officeDocument/2006/relationships/hyperlink" Target="https://www.ncbi.nlm.nih.gov/pubmed/19741066" TargetMode="External"/><Relationship Id="rId424" Type="http://schemas.openxmlformats.org/officeDocument/2006/relationships/hyperlink" Target="https://www.ncbi.nlm.nih.gov/pubmed/11508391" TargetMode="External"/><Relationship Id="rId466" Type="http://schemas.openxmlformats.org/officeDocument/2006/relationships/hyperlink" Target="https://www.ncbi.nlm.nih.gov/pubmed/17326938" TargetMode="External"/><Relationship Id="rId23" Type="http://schemas.openxmlformats.org/officeDocument/2006/relationships/hyperlink" Target="https://www.ncbi.nlm.nih.gov/pubmed/12789111" TargetMode="External"/><Relationship Id="rId119" Type="http://schemas.openxmlformats.org/officeDocument/2006/relationships/hyperlink" Target="https://www.ncbi.nlm.nih.gov/pubmed/19786116" TargetMode="External"/><Relationship Id="rId270" Type="http://schemas.openxmlformats.org/officeDocument/2006/relationships/hyperlink" Target="https://www.ncbi.nlm.nih.gov/pubmed/6300226" TargetMode="External"/><Relationship Id="rId326" Type="http://schemas.openxmlformats.org/officeDocument/2006/relationships/hyperlink" Target="https://www.ncbi.nlm.nih.gov/pubmed/24633174" TargetMode="External"/><Relationship Id="rId65" Type="http://schemas.openxmlformats.org/officeDocument/2006/relationships/hyperlink" Target="https://www.ncbi.nlm.nih.gov/pubmed/23097448" TargetMode="External"/><Relationship Id="rId130" Type="http://schemas.openxmlformats.org/officeDocument/2006/relationships/hyperlink" Target="https://www.ncbi.nlm.nih.gov/pubmed/182399" TargetMode="External"/><Relationship Id="rId368" Type="http://schemas.openxmlformats.org/officeDocument/2006/relationships/hyperlink" Target="https://www.ncbi.nlm.nih.gov/pubmed/20836801" TargetMode="External"/><Relationship Id="rId172" Type="http://schemas.openxmlformats.org/officeDocument/2006/relationships/hyperlink" Target="https://www.ncbi.nlm.nih.gov/pubmed/10466973" TargetMode="External"/><Relationship Id="rId228" Type="http://schemas.openxmlformats.org/officeDocument/2006/relationships/hyperlink" Target="https://www.ncbi.nlm.nih.gov/pubmed/12491154" TargetMode="External"/><Relationship Id="rId435" Type="http://schemas.openxmlformats.org/officeDocument/2006/relationships/hyperlink" Target="https://www.ncbi.nlm.nih.gov/pubmed/26658594" TargetMode="External"/><Relationship Id="rId477" Type="http://schemas.openxmlformats.org/officeDocument/2006/relationships/hyperlink" Target="https://www.ncbi.nlm.nih.gov/pubmed/8115796" TargetMode="External"/><Relationship Id="rId281" Type="http://schemas.openxmlformats.org/officeDocument/2006/relationships/hyperlink" Target="https://www.ncbi.nlm.nih.gov/pubmed/21529401" TargetMode="External"/><Relationship Id="rId337" Type="http://schemas.openxmlformats.org/officeDocument/2006/relationships/hyperlink" Target="https://www.ncbi.nlm.nih.gov/pubmed/28606155" TargetMode="External"/><Relationship Id="rId502" Type="http://schemas.openxmlformats.org/officeDocument/2006/relationships/hyperlink" Target="https://www.ncbi.nlm.nih.gov/pubmed/18568081/" TargetMode="External"/><Relationship Id="rId34" Type="http://schemas.openxmlformats.org/officeDocument/2006/relationships/hyperlink" Target="https://www.ncbi.nlm.nih.gov/pubmed/20410900" TargetMode="External"/><Relationship Id="rId76" Type="http://schemas.openxmlformats.org/officeDocument/2006/relationships/hyperlink" Target="https://www.ncbi.nlm.nih.gov/pubmed/18834510" TargetMode="External"/><Relationship Id="rId141" Type="http://schemas.openxmlformats.org/officeDocument/2006/relationships/hyperlink" Target="http://www.nature.com/nature/journal/v213/n5078/abs/213827b0.html" TargetMode="External"/><Relationship Id="rId379" Type="http://schemas.openxmlformats.org/officeDocument/2006/relationships/hyperlink" Target="https://www.ncbi.nlm.nih.gov/pubmed/23875051" TargetMode="External"/><Relationship Id="rId7" Type="http://schemas.openxmlformats.org/officeDocument/2006/relationships/hyperlink" Target="https://www.ncbi.nlm.nih.gov/pubmed/22135263" TargetMode="External"/><Relationship Id="rId183" Type="http://schemas.openxmlformats.org/officeDocument/2006/relationships/hyperlink" Target="https://www.ncbi.nlm.nih.gov/pubmed/17311340" TargetMode="External"/><Relationship Id="rId239" Type="http://schemas.openxmlformats.org/officeDocument/2006/relationships/hyperlink" Target="https://www.ncbi.nlm.nih.gov/pubmed/10024977" TargetMode="External"/><Relationship Id="rId390" Type="http://schemas.openxmlformats.org/officeDocument/2006/relationships/hyperlink" Target="https://www.ncbi.nlm.nih.gov/pubmed/23474474" TargetMode="External"/><Relationship Id="rId404" Type="http://schemas.openxmlformats.org/officeDocument/2006/relationships/hyperlink" Target="https://www.ncbi.nlm.nih.gov/pubmed/23408893" TargetMode="External"/><Relationship Id="rId446" Type="http://schemas.openxmlformats.org/officeDocument/2006/relationships/hyperlink" Target="https://www.ncbi.nlm.nih.gov/pubmed/23028323" TargetMode="External"/><Relationship Id="rId250" Type="http://schemas.openxmlformats.org/officeDocument/2006/relationships/hyperlink" Target="https://www.ncbi.nlm.nih.gov/pubmed/17182762" TargetMode="External"/><Relationship Id="rId292" Type="http://schemas.openxmlformats.org/officeDocument/2006/relationships/hyperlink" Target="https://www.ncbi.nlm.nih.gov/pubmed/23028323" TargetMode="External"/><Relationship Id="rId306" Type="http://schemas.openxmlformats.org/officeDocument/2006/relationships/hyperlink" Target="https://www.ncbi.nlm.nih.gov/pubmed/9203732" TargetMode="External"/><Relationship Id="rId488" Type="http://schemas.openxmlformats.org/officeDocument/2006/relationships/hyperlink" Target="https://www.ncbi.nlm.nih.gov/pubmed/22864548/" TargetMode="External"/><Relationship Id="rId45" Type="http://schemas.openxmlformats.org/officeDocument/2006/relationships/hyperlink" Target="https://www.ncbi.nlm.nih.gov/pubmed/21830071" TargetMode="External"/><Relationship Id="rId87" Type="http://schemas.openxmlformats.org/officeDocument/2006/relationships/hyperlink" Target="https://www.ncbi.nlm.nih.gov/pubmed/2849884" TargetMode="External"/><Relationship Id="rId110" Type="http://schemas.openxmlformats.org/officeDocument/2006/relationships/hyperlink" Target="https://www.ncbi.nlm.nih.gov/pubmed/25673727" TargetMode="External"/><Relationship Id="rId348" Type="http://schemas.openxmlformats.org/officeDocument/2006/relationships/hyperlink" Target="https://www.ncbi.nlm.nih.gov/pubmed/26658066" TargetMode="External"/><Relationship Id="rId513" Type="http://schemas.openxmlformats.org/officeDocument/2006/relationships/hyperlink" Target="https://www.ncbi.nlm.nih.gov/pubmed/19033469" TargetMode="External"/><Relationship Id="rId152" Type="http://schemas.openxmlformats.org/officeDocument/2006/relationships/hyperlink" Target="https://www.ncbi.nlm.nih.gov/pubmed/17947533" TargetMode="External"/><Relationship Id="rId194" Type="http://schemas.openxmlformats.org/officeDocument/2006/relationships/hyperlink" Target="https://www.ncbi.nlm.nih.gov/pubmed/8627240" TargetMode="External"/><Relationship Id="rId208" Type="http://schemas.openxmlformats.org/officeDocument/2006/relationships/hyperlink" Target="https://www.ncbi.nlm.nih.gov/pubmed/205151" TargetMode="External"/><Relationship Id="rId415" Type="http://schemas.openxmlformats.org/officeDocument/2006/relationships/hyperlink" Target="https://www.ncbi.nlm.nih.gov/pubmed/15487592" TargetMode="External"/><Relationship Id="rId457" Type="http://schemas.openxmlformats.org/officeDocument/2006/relationships/hyperlink" Target="https://www.ncbi.nlm.nih.gov/pubmed/20889861" TargetMode="External"/><Relationship Id="rId261" Type="http://schemas.openxmlformats.org/officeDocument/2006/relationships/hyperlink" Target="https://www.ncbi.nlm.nih.gov/pubmed/17658571" TargetMode="External"/><Relationship Id="rId499" Type="http://schemas.openxmlformats.org/officeDocument/2006/relationships/hyperlink" Target="https://www.ncbi.nlm.nih.gov/pubmed/15911757/" TargetMode="External"/><Relationship Id="rId14" Type="http://schemas.openxmlformats.org/officeDocument/2006/relationships/hyperlink" Target="https://www.ncbi.nlm.nih.gov/pubmed/21752915" TargetMode="External"/><Relationship Id="rId56" Type="http://schemas.openxmlformats.org/officeDocument/2006/relationships/hyperlink" Target="https://www.ncbi.nlm.nih.gov/pubmed/22526290" TargetMode="External"/><Relationship Id="rId317" Type="http://schemas.openxmlformats.org/officeDocument/2006/relationships/hyperlink" Target="https://www.ncbi.nlm.nih.gov/pubmed/28458916" TargetMode="External"/><Relationship Id="rId359" Type="http://schemas.openxmlformats.org/officeDocument/2006/relationships/hyperlink" Target="https://www.ncbi.nlm.nih.gov/pubmed/22278828" TargetMode="External"/><Relationship Id="rId98" Type="http://schemas.openxmlformats.org/officeDocument/2006/relationships/hyperlink" Target="https://www.ncbi.nlm.nih.gov/pubmed/17245535" TargetMode="External"/><Relationship Id="rId121" Type="http://schemas.openxmlformats.org/officeDocument/2006/relationships/hyperlink" Target="https://www.ncbi.nlm.nih.gov/pubmed/3143273" TargetMode="External"/><Relationship Id="rId163" Type="http://schemas.openxmlformats.org/officeDocument/2006/relationships/hyperlink" Target="https://www.ncbi.nlm.nih.gov/pubmed/12296402" TargetMode="External"/><Relationship Id="rId219" Type="http://schemas.openxmlformats.org/officeDocument/2006/relationships/hyperlink" Target="https://www.ncbi.nlm.nih.gov/pubmed/18712810" TargetMode="External"/><Relationship Id="rId370" Type="http://schemas.openxmlformats.org/officeDocument/2006/relationships/hyperlink" Target="https://www.ncbi.nlm.nih.gov/pubmed/20455779" TargetMode="External"/><Relationship Id="rId426" Type="http://schemas.openxmlformats.org/officeDocument/2006/relationships/hyperlink" Target="https://www.ncbi.nlm.nih.gov/pubmed/25417845" TargetMode="External"/><Relationship Id="rId230" Type="http://schemas.openxmlformats.org/officeDocument/2006/relationships/hyperlink" Target="https://www.ncbi.nlm.nih.gov/pubmed/12939793" TargetMode="External"/><Relationship Id="rId468" Type="http://schemas.openxmlformats.org/officeDocument/2006/relationships/hyperlink" Target="https://www.ncbi.nlm.nih.gov/pubmed/23505588" TargetMode="External"/><Relationship Id="rId25" Type="http://schemas.openxmlformats.org/officeDocument/2006/relationships/hyperlink" Target="https://www.ncbi.nlm.nih.gov/pubmed/21435229" TargetMode="External"/><Relationship Id="rId67" Type="http://schemas.openxmlformats.org/officeDocument/2006/relationships/hyperlink" Target="https://www.ncbi.nlm.nih.gov/pubmed/21345956" TargetMode="External"/><Relationship Id="rId272" Type="http://schemas.openxmlformats.org/officeDocument/2006/relationships/hyperlink" Target="https://www.ncbi.nlm.nih.gov/pubmed/17471040" TargetMode="External"/><Relationship Id="rId328" Type="http://schemas.openxmlformats.org/officeDocument/2006/relationships/hyperlink" Target="https://www.ncbi.nlm.nih.gov/pubmed/26212039" TargetMode="External"/><Relationship Id="rId132" Type="http://schemas.openxmlformats.org/officeDocument/2006/relationships/hyperlink" Target="https://www.ncbi.nlm.nih.gov/pubmed/16546454" TargetMode="External"/><Relationship Id="rId174" Type="http://schemas.openxmlformats.org/officeDocument/2006/relationships/hyperlink" Target="https://www.ncbi.nlm.nih.gov/pubmed/16051848" TargetMode="External"/><Relationship Id="rId381" Type="http://schemas.openxmlformats.org/officeDocument/2006/relationships/hyperlink" Target="https://www.ncbi.nlm.nih.gov/pubmed/22984545" TargetMode="External"/><Relationship Id="rId241" Type="http://schemas.openxmlformats.org/officeDocument/2006/relationships/hyperlink" Target="https://www.ncbi.nlm.nih.gov/pubmed/10024977" TargetMode="External"/><Relationship Id="rId437" Type="http://schemas.openxmlformats.org/officeDocument/2006/relationships/hyperlink" Target="https://www.ncbi.nlm.nih.gov/pubmed/27120472" TargetMode="External"/><Relationship Id="rId479" Type="http://schemas.openxmlformats.org/officeDocument/2006/relationships/hyperlink" Target="https://www.ncbi.nlm.nih.gov/pubmed/17703419/" TargetMode="External"/><Relationship Id="rId36" Type="http://schemas.openxmlformats.org/officeDocument/2006/relationships/hyperlink" Target="https://www.ncbi.nlm.nih.gov/pubmed/204207" TargetMode="External"/><Relationship Id="rId283" Type="http://schemas.openxmlformats.org/officeDocument/2006/relationships/hyperlink" Target="https://www.ncbi.nlm.nih.gov/pubmed/26154788" TargetMode="External"/><Relationship Id="rId339" Type="http://schemas.openxmlformats.org/officeDocument/2006/relationships/hyperlink" Target="https://www.ncbi.nlm.nih.gov/pubmed/28488954" TargetMode="External"/><Relationship Id="rId490" Type="http://schemas.openxmlformats.org/officeDocument/2006/relationships/hyperlink" Target="https://www.ncbi.nlm.nih.gov/pubmed/2212992" TargetMode="External"/><Relationship Id="rId504" Type="http://schemas.openxmlformats.org/officeDocument/2006/relationships/hyperlink" Target="https://www.ncbi.nlm.nih.gov/pubmed/19651164" TargetMode="External"/><Relationship Id="rId78" Type="http://schemas.openxmlformats.org/officeDocument/2006/relationships/hyperlink" Target="https://www.ncbi.nlm.nih.gov/pubmed/19486319" TargetMode="External"/><Relationship Id="rId101" Type="http://schemas.openxmlformats.org/officeDocument/2006/relationships/hyperlink" Target="https://www.ncbi.nlm.nih.gov/pubmed/21466639" TargetMode="External"/><Relationship Id="rId143" Type="http://schemas.openxmlformats.org/officeDocument/2006/relationships/hyperlink" Target="https://www.ncbi.nlm.nih.gov/pubmed/6091472" TargetMode="External"/><Relationship Id="rId185" Type="http://schemas.openxmlformats.org/officeDocument/2006/relationships/hyperlink" Target="https://www.ncbi.nlm.nih.gov/pubmed/3981" TargetMode="External"/><Relationship Id="rId350" Type="http://schemas.openxmlformats.org/officeDocument/2006/relationships/hyperlink" Target="https://www.ncbi.nlm.nih.gov/pubmed/26658066" TargetMode="External"/><Relationship Id="rId406" Type="http://schemas.openxmlformats.org/officeDocument/2006/relationships/hyperlink" Target="https://www.ncbi.nlm.nih.gov/pubmed/18205973" TargetMode="External"/><Relationship Id="rId9" Type="http://schemas.openxmlformats.org/officeDocument/2006/relationships/hyperlink" Target="https://www.ncbi.nlm.nih.gov/pubmed/22486922" TargetMode="External"/><Relationship Id="rId210" Type="http://schemas.openxmlformats.org/officeDocument/2006/relationships/hyperlink" Target="https://www.ncbi.nlm.nih.gov/pubmed/205151" TargetMode="External"/><Relationship Id="rId392" Type="http://schemas.openxmlformats.org/officeDocument/2006/relationships/hyperlink" Target="https://www.ncbi.nlm.nih.gov/pubmed/25672346" TargetMode="External"/><Relationship Id="rId448" Type="http://schemas.openxmlformats.org/officeDocument/2006/relationships/hyperlink" Target="https://www.ncbi.nlm.nih.gov/pubmed/22615791" TargetMode="External"/><Relationship Id="rId252" Type="http://schemas.openxmlformats.org/officeDocument/2006/relationships/hyperlink" Target="https://www.ncbi.nlm.nih.gov/pubmed/18240970" TargetMode="External"/><Relationship Id="rId294" Type="http://schemas.openxmlformats.org/officeDocument/2006/relationships/hyperlink" Target="https://www.ncbi.nlm.nih.gov/pubmed/11113383" TargetMode="External"/><Relationship Id="rId308" Type="http://schemas.openxmlformats.org/officeDocument/2006/relationships/hyperlink" Target="https://www.ncbi.nlm.nih.gov/pubmed/28367789" TargetMode="External"/><Relationship Id="rId515" Type="http://schemas.openxmlformats.org/officeDocument/2006/relationships/hyperlink" Target="https://www.ncbi.nlm.nih.gov/pubmed/19033469" TargetMode="External"/><Relationship Id="rId47" Type="http://schemas.openxmlformats.org/officeDocument/2006/relationships/hyperlink" Target="https://www.ncbi.nlm.nih.gov/pubmed/17126919" TargetMode="External"/><Relationship Id="rId89" Type="http://schemas.openxmlformats.org/officeDocument/2006/relationships/hyperlink" Target="https://www.ncbi.nlm.nih.gov/pubmed/12551991" TargetMode="External"/><Relationship Id="rId112" Type="http://schemas.openxmlformats.org/officeDocument/2006/relationships/hyperlink" Target="https://www.ncbi.nlm.nih.gov/pubmed/9140195" TargetMode="External"/><Relationship Id="rId154" Type="http://schemas.openxmlformats.org/officeDocument/2006/relationships/hyperlink" Target="https://www.ncbi.nlm.nih.gov/pubmed/17947533" TargetMode="External"/><Relationship Id="rId361" Type="http://schemas.openxmlformats.org/officeDocument/2006/relationships/hyperlink" Target="https://www.ncbi.nlm.nih.gov/pubmed/10516034" TargetMode="External"/><Relationship Id="rId196" Type="http://schemas.openxmlformats.org/officeDocument/2006/relationships/hyperlink" Target="https://www.ncbi.nlm.nih.gov/pubmed/8627240" TargetMode="External"/><Relationship Id="rId417" Type="http://schemas.openxmlformats.org/officeDocument/2006/relationships/hyperlink" Target="https://www.ncbi.nlm.nih.gov/pubmed/15487592" TargetMode="External"/><Relationship Id="rId459" Type="http://schemas.openxmlformats.org/officeDocument/2006/relationships/hyperlink" Target="https://www.ncbi.nlm.nih.gov/pubmed/19033469" TargetMode="External"/><Relationship Id="rId16" Type="http://schemas.openxmlformats.org/officeDocument/2006/relationships/hyperlink" Target="https://www.ncbi.nlm.nih.gov/pubmed/20836801" TargetMode="External"/><Relationship Id="rId221" Type="http://schemas.openxmlformats.org/officeDocument/2006/relationships/hyperlink" Target="https://www.ncbi.nlm.nih.gov/pubmed/17038700" TargetMode="External"/><Relationship Id="rId263" Type="http://schemas.openxmlformats.org/officeDocument/2006/relationships/hyperlink" Target="https://www.ncbi.nlm.nih.gov/pubmed/22389712" TargetMode="External"/><Relationship Id="rId319" Type="http://schemas.openxmlformats.org/officeDocument/2006/relationships/hyperlink" Target="https://www.ncbi.nlm.nih.gov/pubmed/19386708" TargetMode="External"/><Relationship Id="rId470" Type="http://schemas.openxmlformats.org/officeDocument/2006/relationships/hyperlink" Target="https://www.ncbi.nlm.nih.gov/pubmed/22931153" TargetMode="External"/><Relationship Id="rId58" Type="http://schemas.openxmlformats.org/officeDocument/2006/relationships/hyperlink" Target="https://www.ncbi.nlm.nih.gov/pubmed/22877560" TargetMode="External"/><Relationship Id="rId123" Type="http://schemas.openxmlformats.org/officeDocument/2006/relationships/hyperlink" Target="https://www.ncbi.nlm.nih.gov/pubmed/10930658" TargetMode="External"/><Relationship Id="rId330" Type="http://schemas.openxmlformats.org/officeDocument/2006/relationships/hyperlink" Target="https://www.ncbi.nlm.nih.gov/pubmed/25975198" TargetMode="External"/><Relationship Id="rId165" Type="http://schemas.openxmlformats.org/officeDocument/2006/relationships/hyperlink" Target="https://www.ncbi.nlm.nih.gov/pubmed/11243752" TargetMode="External"/><Relationship Id="rId372" Type="http://schemas.openxmlformats.org/officeDocument/2006/relationships/hyperlink" Target="https://www.ncbi.nlm.nih.gov/pubmed/23110096" TargetMode="External"/><Relationship Id="rId428" Type="http://schemas.openxmlformats.org/officeDocument/2006/relationships/hyperlink" Target="https://www.ncbi.nlm.nih.gov/pubmed/24929750" TargetMode="External"/><Relationship Id="rId232" Type="http://schemas.openxmlformats.org/officeDocument/2006/relationships/hyperlink" Target="https://www.ncbi.nlm.nih.gov/pubmed/19485797" TargetMode="External"/><Relationship Id="rId274" Type="http://schemas.openxmlformats.org/officeDocument/2006/relationships/hyperlink" Target="https://www.ncbi.nlm.nih.gov/pubmed/17947533" TargetMode="External"/><Relationship Id="rId481" Type="http://schemas.openxmlformats.org/officeDocument/2006/relationships/hyperlink" Target="https://www.ncbi.nlm.nih.gov/pubmed/19913368" TargetMode="External"/><Relationship Id="rId27" Type="http://schemas.openxmlformats.org/officeDocument/2006/relationships/hyperlink" Target="https://www.ncbi.nlm.nih.gov/pubmed/21289119" TargetMode="External"/><Relationship Id="rId69" Type="http://schemas.openxmlformats.org/officeDocument/2006/relationships/hyperlink" Target="https://www.ncbi.nlm.nih.gov/pubmed/15778036" TargetMode="External"/><Relationship Id="rId134" Type="http://schemas.openxmlformats.org/officeDocument/2006/relationships/hyperlink" Target="https://www.ncbi.nlm.nih.gov/pubmed/23223618" TargetMode="External"/><Relationship Id="rId80" Type="http://schemas.openxmlformats.org/officeDocument/2006/relationships/hyperlink" Target="https://www.ncbi.nlm.nih.gov/pubmed/10463688" TargetMode="External"/><Relationship Id="rId176" Type="http://schemas.openxmlformats.org/officeDocument/2006/relationships/hyperlink" Target="https://www.ncbi.nlm.nih.gov/pubmed/16318707" TargetMode="External"/><Relationship Id="rId341" Type="http://schemas.openxmlformats.org/officeDocument/2006/relationships/hyperlink" Target="https://www.ncbi.nlm.nih.gov/pubmed/20727376" TargetMode="External"/><Relationship Id="rId383" Type="http://schemas.openxmlformats.org/officeDocument/2006/relationships/hyperlink" Target="https://www.ncbi.nlm.nih.gov/pubmed/180846" TargetMode="External"/><Relationship Id="rId439" Type="http://schemas.openxmlformats.org/officeDocument/2006/relationships/hyperlink" Target="https://www.ncbi.nlm.nih.gov/pubmed/24109214" TargetMode="External"/><Relationship Id="rId201" Type="http://schemas.openxmlformats.org/officeDocument/2006/relationships/hyperlink" Target="https://www.ncbi.nlm.nih.gov/pubmed/22612895" TargetMode="External"/><Relationship Id="rId243" Type="http://schemas.openxmlformats.org/officeDocument/2006/relationships/hyperlink" Target="https://www.ncbi.nlm.nih.gov/pubmed/23155478" TargetMode="External"/><Relationship Id="rId285" Type="http://schemas.openxmlformats.org/officeDocument/2006/relationships/hyperlink" Target="https://www.ncbi.nlm.nih.gov/pubmed/28549438" TargetMode="External"/><Relationship Id="rId450" Type="http://schemas.openxmlformats.org/officeDocument/2006/relationships/hyperlink" Target="https://www.ncbi.nlm.nih.gov/pubmed/22615791" TargetMode="External"/><Relationship Id="rId506" Type="http://schemas.openxmlformats.org/officeDocument/2006/relationships/hyperlink" Target="https://www.ncbi.nlm.nih.gov/pubmed/19636367" TargetMode="External"/><Relationship Id="rId38" Type="http://schemas.openxmlformats.org/officeDocument/2006/relationships/hyperlink" Target="https://www.ncbi.nlm.nih.gov/pubmed/15929402" TargetMode="External"/><Relationship Id="rId103" Type="http://schemas.openxmlformats.org/officeDocument/2006/relationships/hyperlink" Target="https://www.ncbi.nlm.nih.gov/pubmed/9426455" TargetMode="External"/><Relationship Id="rId310" Type="http://schemas.openxmlformats.org/officeDocument/2006/relationships/hyperlink" Target="https://www.ncbi.nlm.nih.gov/pubmed/26350980" TargetMode="External"/><Relationship Id="rId492" Type="http://schemas.openxmlformats.org/officeDocument/2006/relationships/hyperlink" Target="https://www.ncbi.nlm.nih.gov/pubmed/21575246/" TargetMode="External"/><Relationship Id="rId91" Type="http://schemas.openxmlformats.org/officeDocument/2006/relationships/hyperlink" Target="https://www.ncbi.nlm.nih.gov/pubmed/23161446" TargetMode="External"/><Relationship Id="rId145" Type="http://schemas.openxmlformats.org/officeDocument/2006/relationships/hyperlink" Target="https://www.ncbi.nlm.nih.gov/pubmed/10024977" TargetMode="External"/><Relationship Id="rId187" Type="http://schemas.openxmlformats.org/officeDocument/2006/relationships/hyperlink" Target="https://www.ncbi.nlm.nih.gov/pubmed/22752515" TargetMode="External"/><Relationship Id="rId352" Type="http://schemas.openxmlformats.org/officeDocument/2006/relationships/hyperlink" Target="https://www.ncbi.nlm.nih.gov/pubmed/22278233" TargetMode="External"/><Relationship Id="rId394" Type="http://schemas.openxmlformats.org/officeDocument/2006/relationships/hyperlink" Target="https://www.ncbi.nlm.nih.gov/pubmed/23302882" TargetMode="External"/><Relationship Id="rId408" Type="http://schemas.openxmlformats.org/officeDocument/2006/relationships/hyperlink" Target="https://link.springer.com/article/10.1007/BF01250419" TargetMode="External"/><Relationship Id="rId212" Type="http://schemas.openxmlformats.org/officeDocument/2006/relationships/hyperlink" Target="https://www.ncbi.nlm.nih.gov/pubmed/22457530" TargetMode="External"/><Relationship Id="rId254" Type="http://schemas.openxmlformats.org/officeDocument/2006/relationships/hyperlink" Target="https://www.ncbi.nlm.nih.gov/pubmed/18240970" TargetMode="External"/><Relationship Id="rId49" Type="http://schemas.openxmlformats.org/officeDocument/2006/relationships/hyperlink" Target="https://www.ncbi.nlm.nih.gov/pubmed/3140434" TargetMode="External"/><Relationship Id="rId114" Type="http://schemas.openxmlformats.org/officeDocument/2006/relationships/hyperlink" Target="https://www.ncbi.nlm.nih.gov/pubmed/16705370" TargetMode="External"/><Relationship Id="rId296" Type="http://schemas.openxmlformats.org/officeDocument/2006/relationships/hyperlink" Target="https://www.ncbi.nlm.nih.gov/pubmed/21435229" TargetMode="External"/><Relationship Id="rId461" Type="http://schemas.openxmlformats.org/officeDocument/2006/relationships/hyperlink" Target="https://www.ncbi.nlm.nih.gov/pubmed/22615791" TargetMode="External"/><Relationship Id="rId517" Type="http://schemas.openxmlformats.org/officeDocument/2006/relationships/printerSettings" Target="../printerSettings/printerSettings1.bin"/><Relationship Id="rId60" Type="http://schemas.openxmlformats.org/officeDocument/2006/relationships/hyperlink" Target="https://www.ncbi.nlm.nih.gov/pubmed/10466964" TargetMode="External"/><Relationship Id="rId156" Type="http://schemas.openxmlformats.org/officeDocument/2006/relationships/hyperlink" Target="https://www.ncbi.nlm.nih.gov/pubmed/28068914" TargetMode="External"/><Relationship Id="rId198" Type="http://schemas.openxmlformats.org/officeDocument/2006/relationships/hyperlink" Target="https://www.ncbi.nlm.nih.gov/pubmed/22877560" TargetMode="External"/><Relationship Id="rId321" Type="http://schemas.openxmlformats.org/officeDocument/2006/relationships/hyperlink" Target="https://www.ncbi.nlm.nih.gov/pubmed/28095926" TargetMode="External"/><Relationship Id="rId363" Type="http://schemas.openxmlformats.org/officeDocument/2006/relationships/hyperlink" Target="https://www.ncbi.nlm.nih.gov/pubmed/28033365" TargetMode="External"/><Relationship Id="rId419" Type="http://schemas.openxmlformats.org/officeDocument/2006/relationships/hyperlink" Target="https://www.ncbi.nlm.nih.gov/pubmed/26631809" TargetMode="External"/><Relationship Id="rId223" Type="http://schemas.openxmlformats.org/officeDocument/2006/relationships/hyperlink" Target="https://www.ncbi.nlm.nih.gov/pubmed/7905555" TargetMode="External"/><Relationship Id="rId430" Type="http://schemas.openxmlformats.org/officeDocument/2006/relationships/hyperlink" Target="https://www.ncbi.nlm.nih.gov/pubmed/24501402" TargetMode="External"/><Relationship Id="rId18" Type="http://schemas.openxmlformats.org/officeDocument/2006/relationships/hyperlink" Target="https://www.ncbi.nlm.nih.gov/pubmed/20638945" TargetMode="External"/><Relationship Id="rId265" Type="http://schemas.openxmlformats.org/officeDocument/2006/relationships/hyperlink" Target="https://www.ncbi.nlm.nih.gov/pubmed/22389712" TargetMode="External"/><Relationship Id="rId472" Type="http://schemas.openxmlformats.org/officeDocument/2006/relationships/hyperlink" Target="https://www.ncbi.nlm.nih.gov/pubmed/19402767" TargetMode="External"/><Relationship Id="rId125" Type="http://schemas.openxmlformats.org/officeDocument/2006/relationships/hyperlink" Target="https://www.ncbi.nlm.nih.gov/pubmed/19788811" TargetMode="External"/><Relationship Id="rId167" Type="http://schemas.openxmlformats.org/officeDocument/2006/relationships/hyperlink" Target="https://www.ncbi.nlm.nih.gov/pubmed/22317811" TargetMode="External"/><Relationship Id="rId332" Type="http://schemas.openxmlformats.org/officeDocument/2006/relationships/hyperlink" Target="https://www.ncbi.nlm.nih.gov/pubmed/25975198" TargetMode="External"/><Relationship Id="rId374" Type="http://schemas.openxmlformats.org/officeDocument/2006/relationships/hyperlink" Target="https://www.ncbi.nlm.nih.gov/pubmed/23305714" TargetMode="External"/><Relationship Id="rId71" Type="http://schemas.openxmlformats.org/officeDocument/2006/relationships/hyperlink" Target="https://www.ncbi.nlm.nih.gov/pubmed/15778036" TargetMode="External"/><Relationship Id="rId234" Type="http://schemas.openxmlformats.org/officeDocument/2006/relationships/hyperlink" Target="https://www.ncbi.nlm.nih.gov/pubmed/17507975" TargetMode="External"/><Relationship Id="rId2" Type="http://schemas.openxmlformats.org/officeDocument/2006/relationships/hyperlink" Target="https://www.ncbi.nlm.nih.gov/pubmed/25996404" TargetMode="External"/><Relationship Id="rId29" Type="http://schemas.openxmlformats.org/officeDocument/2006/relationships/hyperlink" Target="https://www.ncbi.nlm.nih.gov/pubmed/22214864" TargetMode="External"/><Relationship Id="rId276" Type="http://schemas.openxmlformats.org/officeDocument/2006/relationships/hyperlink" Target="https://www.ncbi.nlm.nih.gov/pubmed/11113383" TargetMode="External"/><Relationship Id="rId441" Type="http://schemas.openxmlformats.org/officeDocument/2006/relationships/hyperlink" Target="https://www.ncbi.nlm.nih.gov/pubmed/?term=4335268" TargetMode="External"/><Relationship Id="rId483" Type="http://schemas.openxmlformats.org/officeDocument/2006/relationships/hyperlink" Target="https://www.ncbi.nlm.nih.gov/pubmed/22989182" TargetMode="External"/><Relationship Id="rId40" Type="http://schemas.openxmlformats.org/officeDocument/2006/relationships/hyperlink" Target="https://www.ncbi.nlm.nih.gov/pubmed/18421377" TargetMode="External"/><Relationship Id="rId136" Type="http://schemas.openxmlformats.org/officeDocument/2006/relationships/hyperlink" Target="https://www.ncbi.nlm.nih.gov/pubmed/22931153" TargetMode="External"/><Relationship Id="rId178" Type="http://schemas.openxmlformats.org/officeDocument/2006/relationships/hyperlink" Target="https://www.ncbi.nlm.nih.gov/pubmed/19697413" TargetMode="External"/><Relationship Id="rId301" Type="http://schemas.openxmlformats.org/officeDocument/2006/relationships/hyperlink" Target="https://www.ncbi.nlm.nih.gov/pubmed/24285662" TargetMode="External"/><Relationship Id="rId343" Type="http://schemas.openxmlformats.org/officeDocument/2006/relationships/hyperlink" Target="https://www.ncbi.nlm.nih.gov/pubmed/24475112" TargetMode="External"/><Relationship Id="rId82" Type="http://schemas.openxmlformats.org/officeDocument/2006/relationships/hyperlink" Target="https://www.ncbi.nlm.nih.gov/pubmed/20810845" TargetMode="External"/><Relationship Id="rId203" Type="http://schemas.openxmlformats.org/officeDocument/2006/relationships/hyperlink" Target="https://www.ncbi.nlm.nih.gov/pubmed/10024977" TargetMode="External"/><Relationship Id="rId385" Type="http://schemas.openxmlformats.org/officeDocument/2006/relationships/hyperlink" Target="https://www.ncbi.nlm.nih.gov/pubmed/10726271" TargetMode="External"/><Relationship Id="rId245" Type="http://schemas.openxmlformats.org/officeDocument/2006/relationships/hyperlink" Target="https://www.ncbi.nlm.nih.gov/pubmed/22000358" TargetMode="External"/><Relationship Id="rId287" Type="http://schemas.openxmlformats.org/officeDocument/2006/relationships/hyperlink" Target="https://www.ncbi.nlm.nih.gov/pubmed/27489269" TargetMode="External"/><Relationship Id="rId410" Type="http://schemas.openxmlformats.org/officeDocument/2006/relationships/hyperlink" Target="https://www.ncbi.nlm.nih.gov/pubmed/12615305" TargetMode="External"/><Relationship Id="rId452" Type="http://schemas.openxmlformats.org/officeDocument/2006/relationships/hyperlink" Target="https://www.ncbi.nlm.nih.gov/pubmed/25898181" TargetMode="External"/><Relationship Id="rId494" Type="http://schemas.openxmlformats.org/officeDocument/2006/relationships/hyperlink" Target="https://www.ncbi.nlm.nih.gov/pubmed/6261689/" TargetMode="External"/><Relationship Id="rId508" Type="http://schemas.openxmlformats.org/officeDocument/2006/relationships/hyperlink" Target="https://www.ncbi.nlm.nih.gov/pubmed/27631733" TargetMode="External"/><Relationship Id="rId105" Type="http://schemas.openxmlformats.org/officeDocument/2006/relationships/hyperlink" Target="https://www.ncbi.nlm.nih.gov/pubmed/11113383" TargetMode="External"/><Relationship Id="rId147" Type="http://schemas.openxmlformats.org/officeDocument/2006/relationships/hyperlink" Target="https://www.ncbi.nlm.nih.gov/pubmed/14609474" TargetMode="External"/><Relationship Id="rId312" Type="http://schemas.openxmlformats.org/officeDocument/2006/relationships/hyperlink" Target="https://www.ncbi.nlm.nih.gov/pubmed/16216136" TargetMode="External"/><Relationship Id="rId354" Type="http://schemas.openxmlformats.org/officeDocument/2006/relationships/hyperlink" Target="https://www.ncbi.nlm.nih.gov/pubmed/24451093" TargetMode="External"/><Relationship Id="rId51" Type="http://schemas.openxmlformats.org/officeDocument/2006/relationships/hyperlink" Target="https://www.ncbi.nlm.nih.gov/pubmed/22300969" TargetMode="External"/><Relationship Id="rId93" Type="http://schemas.openxmlformats.org/officeDocument/2006/relationships/hyperlink" Target="https://www.ncbi.nlm.nih.gov/pubmed/21366416" TargetMode="External"/><Relationship Id="rId189" Type="http://schemas.openxmlformats.org/officeDocument/2006/relationships/hyperlink" Target="https://link.springer.com/article/10.1007/BF01241673" TargetMode="External"/><Relationship Id="rId396" Type="http://schemas.openxmlformats.org/officeDocument/2006/relationships/hyperlink" Target="https://www.ncbi.nlm.nih.gov/pubmed/23302882" TargetMode="External"/><Relationship Id="rId214" Type="http://schemas.openxmlformats.org/officeDocument/2006/relationships/hyperlink" Target="https://www.ncbi.nlm.nih.gov/pubmed/23054414" TargetMode="External"/><Relationship Id="rId256" Type="http://schemas.openxmlformats.org/officeDocument/2006/relationships/hyperlink" Target="https://www.ncbi.nlm.nih.gov/pubmed/19889769" TargetMode="External"/><Relationship Id="rId298" Type="http://schemas.openxmlformats.org/officeDocument/2006/relationships/hyperlink" Target="https://www.ncbi.nlm.nih.gov/pubmed/204207" TargetMode="External"/><Relationship Id="rId421" Type="http://schemas.openxmlformats.org/officeDocument/2006/relationships/hyperlink" Target="https://www.ncbi.nlm.nih.gov/pubmed/23666045" TargetMode="External"/><Relationship Id="rId463" Type="http://schemas.openxmlformats.org/officeDocument/2006/relationships/hyperlink" Target="https://www.ncbi.nlm.nih.gov/pubmed/19636367" TargetMode="External"/><Relationship Id="rId116" Type="http://schemas.openxmlformats.org/officeDocument/2006/relationships/hyperlink" Target="https://www.ncbi.nlm.nih.gov/pubmed/192094" TargetMode="External"/><Relationship Id="rId158" Type="http://schemas.openxmlformats.org/officeDocument/2006/relationships/hyperlink" Target="https://www.ncbi.nlm.nih.gov/pubmed/6299259" TargetMode="External"/><Relationship Id="rId323" Type="http://schemas.openxmlformats.org/officeDocument/2006/relationships/hyperlink" Target="https://www.ncbi.nlm.nih.gov/pubmed/28095926" TargetMode="External"/><Relationship Id="rId20" Type="http://schemas.openxmlformats.org/officeDocument/2006/relationships/hyperlink" Target="https://www.ncbi.nlm.nih.gov/pubmed/19501478" TargetMode="External"/><Relationship Id="rId62" Type="http://schemas.openxmlformats.org/officeDocument/2006/relationships/hyperlink" Target="https://www.ncbi.nlm.nih.gov/pubmed/19486319" TargetMode="External"/><Relationship Id="rId365" Type="http://schemas.openxmlformats.org/officeDocument/2006/relationships/hyperlink" Target="https://www.ncbi.nlm.nih.gov/pubmed/23763901" TargetMode="External"/><Relationship Id="rId225" Type="http://schemas.openxmlformats.org/officeDocument/2006/relationships/hyperlink" Target="https://www.ncbi.nlm.nih.gov/pubmed/4206329" TargetMode="External"/><Relationship Id="rId267" Type="http://schemas.openxmlformats.org/officeDocument/2006/relationships/hyperlink" Target="https://www.ncbi.nlm.nih.gov/pubmed/23283959" TargetMode="External"/><Relationship Id="rId432" Type="http://schemas.openxmlformats.org/officeDocument/2006/relationships/hyperlink" Target="https://www.ncbi.nlm.nih.gov/pubmed/24134941" TargetMode="External"/><Relationship Id="rId474" Type="http://schemas.openxmlformats.org/officeDocument/2006/relationships/hyperlink" Target="https://www.ncbi.nlm.nih.gov/pubmed/27035712" TargetMode="External"/><Relationship Id="rId127" Type="http://schemas.openxmlformats.org/officeDocument/2006/relationships/hyperlink" Target="https://www.ncbi.nlm.nih.gov/pubmed/11791973" TargetMode="External"/><Relationship Id="rId31" Type="http://schemas.openxmlformats.org/officeDocument/2006/relationships/hyperlink" Target="https://www.ncbi.nlm.nih.gov/pubmed/9833886" TargetMode="External"/><Relationship Id="rId73" Type="http://schemas.openxmlformats.org/officeDocument/2006/relationships/hyperlink" Target="https://www.ncbi.nlm.nih.gov/pubmed/22937876" TargetMode="External"/><Relationship Id="rId169" Type="http://schemas.openxmlformats.org/officeDocument/2006/relationships/hyperlink" Target="https://www.ncbi.nlm.nih.gov/pubmed/22996737" TargetMode="External"/><Relationship Id="rId334" Type="http://schemas.openxmlformats.org/officeDocument/2006/relationships/hyperlink" Target="https://www.ncbi.nlm.nih.gov/pubmed/6091472" TargetMode="External"/><Relationship Id="rId376" Type="http://schemas.openxmlformats.org/officeDocument/2006/relationships/hyperlink" Target="https://www.ncbi.nlm.nih.gov/pubmed/22526290" TargetMode="External"/><Relationship Id="rId4" Type="http://schemas.openxmlformats.org/officeDocument/2006/relationships/hyperlink" Target="https://www.ncbi.nlm.nih.gov/pubmed/3034087" TargetMode="External"/><Relationship Id="rId180" Type="http://schemas.openxmlformats.org/officeDocument/2006/relationships/hyperlink" Target="https://www.ncbi.nlm.nih.gov/pubmed/20587198" TargetMode="External"/><Relationship Id="rId236" Type="http://schemas.openxmlformats.org/officeDocument/2006/relationships/hyperlink" Target="https://www.ncbi.nlm.nih.gov/pubmed/15554947" TargetMode="External"/><Relationship Id="rId278" Type="http://schemas.openxmlformats.org/officeDocument/2006/relationships/hyperlink" Target="https://www.ncbi.nlm.nih.gov/pubmed/23155478" TargetMode="External"/><Relationship Id="rId401" Type="http://schemas.openxmlformats.org/officeDocument/2006/relationships/hyperlink" Target="https://www.ncbi.nlm.nih.gov/pubmed/28302313" TargetMode="External"/><Relationship Id="rId443" Type="http://schemas.openxmlformats.org/officeDocument/2006/relationships/hyperlink" Target="https://www.ncbi.nlm.nih.gov/pubmed/23028323" TargetMode="External"/><Relationship Id="rId303" Type="http://schemas.openxmlformats.org/officeDocument/2006/relationships/hyperlink" Target="https://www.ncbi.nlm.nih.gov/pubmed/28479064" TargetMode="External"/><Relationship Id="rId485" Type="http://schemas.openxmlformats.org/officeDocument/2006/relationships/hyperlink" Target="https://www.ncbi.nlm.nih.gov/pubmed/22989182" TargetMode="External"/><Relationship Id="rId42" Type="http://schemas.openxmlformats.org/officeDocument/2006/relationships/hyperlink" Target="https://www.ncbi.nlm.nih.gov/pubmed/21118930" TargetMode="External"/><Relationship Id="rId84" Type="http://schemas.openxmlformats.org/officeDocument/2006/relationships/hyperlink" Target="https://www.ncbi.nlm.nih.gov/pubmed/23523924" TargetMode="External"/><Relationship Id="rId138" Type="http://schemas.openxmlformats.org/officeDocument/2006/relationships/hyperlink" Target="https://www.ncbi.nlm.nih.gov/pubmed/22905211" TargetMode="External"/><Relationship Id="rId345" Type="http://schemas.openxmlformats.org/officeDocument/2006/relationships/hyperlink" Target="https://www.ncbi.nlm.nih.gov/pubmed/3981" TargetMode="External"/><Relationship Id="rId387" Type="http://schemas.openxmlformats.org/officeDocument/2006/relationships/hyperlink" Target="https://www.ncbi.nlm.nih.gov/pubmed/10726271" TargetMode="External"/><Relationship Id="rId510" Type="http://schemas.openxmlformats.org/officeDocument/2006/relationships/hyperlink" Target="https://www.ncbi.nlm.nih.gov/pubmed/27631733" TargetMode="External"/><Relationship Id="rId191" Type="http://schemas.openxmlformats.org/officeDocument/2006/relationships/hyperlink" Target="https://www.ncbi.nlm.nih.gov/pubmed/19402767" TargetMode="External"/><Relationship Id="rId205" Type="http://schemas.openxmlformats.org/officeDocument/2006/relationships/hyperlink" Target="https://www.ncbi.nlm.nih.gov/pubmed/6312099" TargetMode="External"/><Relationship Id="rId247" Type="http://schemas.openxmlformats.org/officeDocument/2006/relationships/hyperlink" Target="https://www.ncbi.nlm.nih.gov/pubmed/16953877" TargetMode="External"/><Relationship Id="rId412" Type="http://schemas.openxmlformats.org/officeDocument/2006/relationships/hyperlink" Target="https://www.ncbi.nlm.nih.gov/pubmed/24901990" TargetMode="External"/><Relationship Id="rId107" Type="http://schemas.openxmlformats.org/officeDocument/2006/relationships/hyperlink" Target="https://www.ncbi.nlm.nih.gov/pubmed/22371588" TargetMode="External"/><Relationship Id="rId289" Type="http://schemas.openxmlformats.org/officeDocument/2006/relationships/hyperlink" Target="https://www.ncbi.nlm.nih.gov/pubmed/6293325" TargetMode="External"/><Relationship Id="rId454" Type="http://schemas.openxmlformats.org/officeDocument/2006/relationships/hyperlink" Target="https://www.ncbi.nlm.nih.gov/pubmed/23034141" TargetMode="External"/><Relationship Id="rId496" Type="http://schemas.openxmlformats.org/officeDocument/2006/relationships/hyperlink" Target="https://www.ncbi.nlm.nih.gov/pubmed/6261689/" TargetMode="External"/><Relationship Id="rId11" Type="http://schemas.openxmlformats.org/officeDocument/2006/relationships/hyperlink" Target="https://www.ncbi.nlm.nih.gov/pubmed/18680655" TargetMode="External"/><Relationship Id="rId53" Type="http://schemas.openxmlformats.org/officeDocument/2006/relationships/hyperlink" Target="https://www.ncbi.nlm.nih.gov/pubmed/15138077" TargetMode="External"/><Relationship Id="rId149" Type="http://schemas.openxmlformats.org/officeDocument/2006/relationships/hyperlink" Target="https://www.ncbi.nlm.nih.gov/pubmed/28653496" TargetMode="External"/><Relationship Id="rId314" Type="http://schemas.openxmlformats.org/officeDocument/2006/relationships/hyperlink" Target="https://www.ncbi.nlm.nih.gov/pubmed/20810845" TargetMode="External"/><Relationship Id="rId356" Type="http://schemas.openxmlformats.org/officeDocument/2006/relationships/hyperlink" Target="https://www.ncbi.nlm.nih.gov/pubmed/19439468" TargetMode="External"/><Relationship Id="rId398" Type="http://schemas.openxmlformats.org/officeDocument/2006/relationships/hyperlink" Target="https://www.ncbi.nlm.nih.gov/pubmed/25050760" TargetMode="External"/><Relationship Id="rId95" Type="http://schemas.openxmlformats.org/officeDocument/2006/relationships/hyperlink" Target="https://www.ncbi.nlm.nih.gov/pubmed/17507975" TargetMode="External"/><Relationship Id="rId160" Type="http://schemas.openxmlformats.org/officeDocument/2006/relationships/hyperlink" Target="https://www.ncbi.nlm.nih.gov/pubmed/23006778" TargetMode="External"/><Relationship Id="rId216" Type="http://schemas.openxmlformats.org/officeDocument/2006/relationships/hyperlink" Target="https://www.ncbi.nlm.nih.gov/pubmed/18712810" TargetMode="External"/><Relationship Id="rId423" Type="http://schemas.openxmlformats.org/officeDocument/2006/relationships/hyperlink" Target="https://www.ncbi.nlm.nih.gov/pubmed/26982388" TargetMode="External"/><Relationship Id="rId258" Type="http://schemas.openxmlformats.org/officeDocument/2006/relationships/hyperlink" Target="https://www.ncbi.nlm.nih.gov/pubmed/1659238" TargetMode="External"/><Relationship Id="rId465" Type="http://schemas.openxmlformats.org/officeDocument/2006/relationships/hyperlink" Target="https://www.ncbi.nlm.nih.gov/pubmed/24830424" TargetMode="External"/><Relationship Id="rId22" Type="http://schemas.openxmlformats.org/officeDocument/2006/relationships/hyperlink" Target="https://www.ncbi.nlm.nih.gov/pubmed/12789111" TargetMode="External"/><Relationship Id="rId64" Type="http://schemas.openxmlformats.org/officeDocument/2006/relationships/hyperlink" Target="https://academic.oup.com/aje/article/91/1/78/155251/AIRBORNE-TRANSMISSION-OF-RESPIRATORY-INFECTION" TargetMode="External"/><Relationship Id="rId118" Type="http://schemas.openxmlformats.org/officeDocument/2006/relationships/hyperlink" Target="https://www.ncbi.nlm.nih.gov/pubmed/19523297" TargetMode="External"/><Relationship Id="rId325" Type="http://schemas.openxmlformats.org/officeDocument/2006/relationships/hyperlink" Target="https://www.ncbi.nlm.nih.gov/pubmed/22953019" TargetMode="External"/><Relationship Id="rId367" Type="http://schemas.openxmlformats.org/officeDocument/2006/relationships/hyperlink" Target="https://www.ncbi.nlm.nih.gov/pubmed/24056604" TargetMode="External"/><Relationship Id="rId171" Type="http://schemas.openxmlformats.org/officeDocument/2006/relationships/hyperlink" Target="https://www.ncbi.nlm.nih.gov/pubmed/20850178" TargetMode="External"/><Relationship Id="rId227" Type="http://schemas.openxmlformats.org/officeDocument/2006/relationships/hyperlink" Target="https://www.ncbi.nlm.nih.gov/pubmed/17947533" TargetMode="External"/><Relationship Id="rId269" Type="http://schemas.openxmlformats.org/officeDocument/2006/relationships/hyperlink" Target="https://www.ncbi.nlm.nih.gov/pubmed/7563415" TargetMode="External"/><Relationship Id="rId434" Type="http://schemas.openxmlformats.org/officeDocument/2006/relationships/hyperlink" Target="https://www.ncbi.nlm.nih.gov/pubmed/25569474" TargetMode="External"/><Relationship Id="rId476" Type="http://schemas.openxmlformats.org/officeDocument/2006/relationships/hyperlink" Target="https://www.ncbi.nlm.nih.gov/pubmed/24447466" TargetMode="External"/><Relationship Id="rId33" Type="http://schemas.openxmlformats.org/officeDocument/2006/relationships/hyperlink" Target="https://www.ncbi.nlm.nih.gov/pubmed/15099508" TargetMode="External"/><Relationship Id="rId129" Type="http://schemas.openxmlformats.org/officeDocument/2006/relationships/hyperlink" Target="https://www.ncbi.nlm.nih.gov/pubmed/24475112" TargetMode="External"/><Relationship Id="rId280" Type="http://schemas.openxmlformats.org/officeDocument/2006/relationships/hyperlink" Target="https://www.ncbi.nlm.nih.gov/pubmed/10024977" TargetMode="External"/><Relationship Id="rId336" Type="http://schemas.openxmlformats.org/officeDocument/2006/relationships/hyperlink" Target="https://www.ncbi.nlm.nih.gov/pubmed/24633174" TargetMode="External"/><Relationship Id="rId501" Type="http://schemas.openxmlformats.org/officeDocument/2006/relationships/hyperlink" Target="https://www.ncbi.nlm.nih.gov/pubmed/23034141/" TargetMode="External"/><Relationship Id="rId75" Type="http://schemas.openxmlformats.org/officeDocument/2006/relationships/hyperlink" Target="https://www.ncbi.nlm.nih.gov/pubmed/18834510" TargetMode="External"/><Relationship Id="rId140" Type="http://schemas.openxmlformats.org/officeDocument/2006/relationships/hyperlink" Target="https://www.ncbi.nlm.nih.gov/pubmed/26583313" TargetMode="External"/><Relationship Id="rId182" Type="http://schemas.openxmlformats.org/officeDocument/2006/relationships/hyperlink" Target="https://www.ncbi.nlm.nih.gov/pubmed/16220089" TargetMode="External"/><Relationship Id="rId378" Type="http://schemas.openxmlformats.org/officeDocument/2006/relationships/hyperlink" Target="https://www.ncbi.nlm.nih.gov/pubmed/25052008" TargetMode="External"/><Relationship Id="rId403" Type="http://schemas.openxmlformats.org/officeDocument/2006/relationships/hyperlink" Target="https://www.ncbi.nlm.nih.gov/pubmed/25268241" TargetMode="External"/><Relationship Id="rId6" Type="http://schemas.openxmlformats.org/officeDocument/2006/relationships/hyperlink" Target="https://www.ncbi.nlm.nih.gov/pubmed/22135263" TargetMode="External"/><Relationship Id="rId238" Type="http://schemas.openxmlformats.org/officeDocument/2006/relationships/hyperlink" Target="https://www.ncbi.nlm.nih.gov/pubmed/480524" TargetMode="External"/><Relationship Id="rId445" Type="http://schemas.openxmlformats.org/officeDocument/2006/relationships/hyperlink" Target="https://www.ncbi.nlm.nih.gov/pubmed/23028323" TargetMode="External"/><Relationship Id="rId487" Type="http://schemas.openxmlformats.org/officeDocument/2006/relationships/hyperlink" Target="https://www.ncbi.nlm.nih.gov/pubmed/17703419/" TargetMode="External"/><Relationship Id="rId291" Type="http://schemas.openxmlformats.org/officeDocument/2006/relationships/hyperlink" Target="https://www.ncbi.nlm.nih.gov/pubmed/23028323" TargetMode="External"/><Relationship Id="rId305" Type="http://schemas.openxmlformats.org/officeDocument/2006/relationships/hyperlink" Target="https://www.ncbi.nlm.nih.gov/pubmed/26053872" TargetMode="External"/><Relationship Id="rId347" Type="http://schemas.openxmlformats.org/officeDocument/2006/relationships/hyperlink" Target="https://www.ncbi.nlm.nih.gov/pubmed/23552411" TargetMode="External"/><Relationship Id="rId512" Type="http://schemas.openxmlformats.org/officeDocument/2006/relationships/hyperlink" Target="https://www.ncbi.nlm.nih.gov/pubmed/27631733" TargetMode="External"/><Relationship Id="rId44" Type="http://schemas.openxmlformats.org/officeDocument/2006/relationships/hyperlink" Target="https://www.ncbi.nlm.nih.gov/pubmed/23836565" TargetMode="External"/><Relationship Id="rId86" Type="http://schemas.openxmlformats.org/officeDocument/2006/relationships/hyperlink" Target="https://www.ncbi.nlm.nih.gov/pubmed/12534779" TargetMode="External"/><Relationship Id="rId151" Type="http://schemas.openxmlformats.org/officeDocument/2006/relationships/hyperlink" Target="https://link.springer.com/article/10.1007/BF01250419" TargetMode="External"/><Relationship Id="rId389" Type="http://schemas.openxmlformats.org/officeDocument/2006/relationships/hyperlink" Target="https://www.ncbi.nlm.nih.gov/pubmed/11113383" TargetMode="External"/><Relationship Id="rId193" Type="http://schemas.openxmlformats.org/officeDocument/2006/relationships/hyperlink" Target="https://www.ncbi.nlm.nih.gov/pubmed/20434750" TargetMode="External"/><Relationship Id="rId207" Type="http://schemas.openxmlformats.org/officeDocument/2006/relationships/hyperlink" Target="https://www.ncbi.nlm.nih.gov/pubmed/6312099" TargetMode="External"/><Relationship Id="rId249" Type="http://schemas.openxmlformats.org/officeDocument/2006/relationships/hyperlink" Target="https://www.ncbi.nlm.nih.gov/pubmed/22526290" TargetMode="External"/><Relationship Id="rId414" Type="http://schemas.openxmlformats.org/officeDocument/2006/relationships/hyperlink" Target="https://www.ncbi.nlm.nih.gov/pubmed/24901990" TargetMode="External"/><Relationship Id="rId456" Type="http://schemas.openxmlformats.org/officeDocument/2006/relationships/hyperlink" Target="https://www.ncbi.nlm.nih.gov/pubmed/15479837" TargetMode="External"/><Relationship Id="rId498" Type="http://schemas.openxmlformats.org/officeDocument/2006/relationships/hyperlink" Target="https://www.ncbi.nlm.nih.gov/pubmed/15911757/" TargetMode="External"/><Relationship Id="rId13" Type="http://schemas.openxmlformats.org/officeDocument/2006/relationships/hyperlink" Target="http://www.sciencedirect.com/science/article/pii/0042682281900702" TargetMode="External"/><Relationship Id="rId109" Type="http://schemas.openxmlformats.org/officeDocument/2006/relationships/hyperlink" Target="https://www.ncbi.nlm.nih.gov/pubmed/28302313" TargetMode="External"/><Relationship Id="rId260" Type="http://schemas.openxmlformats.org/officeDocument/2006/relationships/hyperlink" Target="https://www.ncbi.nlm.nih.gov/pubmed/17947533" TargetMode="External"/><Relationship Id="rId316" Type="http://schemas.openxmlformats.org/officeDocument/2006/relationships/hyperlink" Target="https://www.ncbi.nlm.nih.gov/pubmed/27530215" TargetMode="External"/><Relationship Id="rId55" Type="http://schemas.openxmlformats.org/officeDocument/2006/relationships/hyperlink" Target="https://www.ncbi.nlm.nih.gov/pubmed/22526290" TargetMode="External"/><Relationship Id="rId97" Type="http://schemas.openxmlformats.org/officeDocument/2006/relationships/hyperlink" Target="https://www.ncbi.nlm.nih.gov/pubmed/22931057" TargetMode="External"/><Relationship Id="rId120" Type="http://schemas.openxmlformats.org/officeDocument/2006/relationships/hyperlink" Target="https://www.ncbi.nlm.nih.gov/pubmed/23202466" TargetMode="External"/><Relationship Id="rId358" Type="http://schemas.openxmlformats.org/officeDocument/2006/relationships/hyperlink" Target="https://www.ncbi.nlm.nih.gov/pubmed/22278828" TargetMode="External"/><Relationship Id="rId162" Type="http://schemas.openxmlformats.org/officeDocument/2006/relationships/hyperlink" Target="https://www.ncbi.nlm.nih.gov/pubmed/22905211" TargetMode="External"/><Relationship Id="rId218" Type="http://schemas.openxmlformats.org/officeDocument/2006/relationships/hyperlink" Target="https://www.ncbi.nlm.nih.gov/pubmed/18712810" TargetMode="External"/><Relationship Id="rId425" Type="http://schemas.openxmlformats.org/officeDocument/2006/relationships/hyperlink" Target="https://www.ncbi.nlm.nih.gov/pubmed/11508391" TargetMode="External"/><Relationship Id="rId467" Type="http://schemas.openxmlformats.org/officeDocument/2006/relationships/hyperlink" Target="https://www.ncbi.nlm.nih.gov/pubmed/22129409" TargetMode="External"/><Relationship Id="rId271" Type="http://schemas.openxmlformats.org/officeDocument/2006/relationships/hyperlink" Target="https://www.ncbi.nlm.nih.gov/pubmed/15958020" TargetMode="External"/><Relationship Id="rId24" Type="http://schemas.openxmlformats.org/officeDocument/2006/relationships/hyperlink" Target="https://www.ncbi.nlm.nih.gov/pubmed/6126267" TargetMode="External"/><Relationship Id="rId66" Type="http://schemas.openxmlformats.org/officeDocument/2006/relationships/hyperlink" Target="https://www.ncbi.nlm.nih.gov/pubmed/25079078" TargetMode="External"/><Relationship Id="rId131" Type="http://schemas.openxmlformats.org/officeDocument/2006/relationships/hyperlink" Target="https://www.ncbi.nlm.nih.gov/pubmed/16051848" TargetMode="External"/><Relationship Id="rId327" Type="http://schemas.openxmlformats.org/officeDocument/2006/relationships/hyperlink" Target="https://www.ncbi.nlm.nih.gov/pubmed/26212039" TargetMode="External"/><Relationship Id="rId369" Type="http://schemas.openxmlformats.org/officeDocument/2006/relationships/hyperlink" Target="https://www.ncbi.nlm.nih.gov/pubmed/20455779" TargetMode="External"/><Relationship Id="rId173" Type="http://schemas.openxmlformats.org/officeDocument/2006/relationships/hyperlink" Target="https://www.ncbi.nlm.nih.gov/pubmed/10466973" TargetMode="External"/><Relationship Id="rId229" Type="http://schemas.openxmlformats.org/officeDocument/2006/relationships/hyperlink" Target="https://www.ncbi.nlm.nih.gov/pubmed/15018126" TargetMode="External"/><Relationship Id="rId380" Type="http://schemas.openxmlformats.org/officeDocument/2006/relationships/hyperlink" Target="https://www.ncbi.nlm.nih.gov/pubmed/19486319" TargetMode="External"/><Relationship Id="rId436" Type="http://schemas.openxmlformats.org/officeDocument/2006/relationships/hyperlink" Target="https://www.ncbi.nlm.nih.gov/pubmed/23343342" TargetMode="External"/><Relationship Id="rId240" Type="http://schemas.openxmlformats.org/officeDocument/2006/relationships/hyperlink" Target="https://www.ncbi.nlm.nih.gov/pubmed/23155478" TargetMode="External"/><Relationship Id="rId478" Type="http://schemas.openxmlformats.org/officeDocument/2006/relationships/hyperlink" Target="https://www.ncbi.nlm.nih.gov/pubmed/22864548" TargetMode="External"/><Relationship Id="rId35" Type="http://schemas.openxmlformats.org/officeDocument/2006/relationships/hyperlink" Target="https://www.ncbi.nlm.nih.gov/pubmed/20410900" TargetMode="External"/><Relationship Id="rId77" Type="http://schemas.openxmlformats.org/officeDocument/2006/relationships/hyperlink" Target="https://www.ncbi.nlm.nih.gov/pubmed/19486319" TargetMode="External"/><Relationship Id="rId100" Type="http://schemas.openxmlformats.org/officeDocument/2006/relationships/hyperlink" Target="https://www.ncbi.nlm.nih.gov/pubmed/21466639" TargetMode="External"/><Relationship Id="rId282" Type="http://schemas.openxmlformats.org/officeDocument/2006/relationships/hyperlink" Target="https://www.ncbi.nlm.nih.gov/pubmed/26154788" TargetMode="External"/><Relationship Id="rId338" Type="http://schemas.openxmlformats.org/officeDocument/2006/relationships/hyperlink" Target="https://www.ncbi.nlm.nih.gov/pubmed/28488954" TargetMode="External"/><Relationship Id="rId503" Type="http://schemas.openxmlformats.org/officeDocument/2006/relationships/hyperlink" Target="https://www.ncbi.nlm.nih.gov/pubmed/7962552" TargetMode="External"/><Relationship Id="rId8" Type="http://schemas.openxmlformats.org/officeDocument/2006/relationships/hyperlink" Target="https://www.ncbi.nlm.nih.gov/pubmed/22874773" TargetMode="External"/><Relationship Id="rId142" Type="http://schemas.openxmlformats.org/officeDocument/2006/relationships/hyperlink" Target="https://www.ncbi.nlm.nih.gov/pubmed/26583313" TargetMode="External"/><Relationship Id="rId184" Type="http://schemas.openxmlformats.org/officeDocument/2006/relationships/hyperlink" Target="https://www.ncbi.nlm.nih.gov/pubmed/23665770" TargetMode="External"/><Relationship Id="rId391" Type="http://schemas.openxmlformats.org/officeDocument/2006/relationships/hyperlink" Target="https://www.ncbi.nlm.nih.gov/pubmed/11113383" TargetMode="External"/><Relationship Id="rId405" Type="http://schemas.openxmlformats.org/officeDocument/2006/relationships/hyperlink" Target="https://www.ncbi.nlm.nih.gov/pubmed/25192547" TargetMode="External"/><Relationship Id="rId447" Type="http://schemas.openxmlformats.org/officeDocument/2006/relationships/hyperlink" Target="https://www.ncbi.nlm.nih.gov/pubmed/25889358" TargetMode="External"/><Relationship Id="rId251" Type="http://schemas.openxmlformats.org/officeDocument/2006/relationships/hyperlink" Target="https://www.ncbi.nlm.nih.gov/pubmed/17182762" TargetMode="External"/><Relationship Id="rId489" Type="http://schemas.openxmlformats.org/officeDocument/2006/relationships/hyperlink" Target="https://www.ncbi.nlm.nih.gov/pubmed/24447466/" TargetMode="External"/><Relationship Id="rId46" Type="http://schemas.openxmlformats.org/officeDocument/2006/relationships/hyperlink" Target="https://www.ncbi.nlm.nih.gov/pubmed/17126919" TargetMode="External"/><Relationship Id="rId293" Type="http://schemas.openxmlformats.org/officeDocument/2006/relationships/hyperlink" Target="https://www.ncbi.nlm.nih.gov/pubmed/28220327" TargetMode="External"/><Relationship Id="rId307" Type="http://schemas.openxmlformats.org/officeDocument/2006/relationships/hyperlink" Target="https://www.ncbi.nlm.nih.gov/pubmed/28367789" TargetMode="External"/><Relationship Id="rId349" Type="http://schemas.openxmlformats.org/officeDocument/2006/relationships/hyperlink" Target="https://www.ncbi.nlm.nih.gov/pubmed/28558823" TargetMode="External"/><Relationship Id="rId514" Type="http://schemas.openxmlformats.org/officeDocument/2006/relationships/hyperlink" Target="https://www.ncbi.nlm.nih.gov/pubmed/19033469" TargetMode="External"/><Relationship Id="rId88" Type="http://schemas.openxmlformats.org/officeDocument/2006/relationships/hyperlink" Target="https://www.ncbi.nlm.nih.gov/pubmed/8827668" TargetMode="External"/><Relationship Id="rId111" Type="http://schemas.openxmlformats.org/officeDocument/2006/relationships/hyperlink" Target="https://www.ncbi.nlm.nih.gov/pubmed/22710350" TargetMode="External"/><Relationship Id="rId153" Type="http://schemas.openxmlformats.org/officeDocument/2006/relationships/hyperlink" Target="https://www.ncbi.nlm.nih.gov/pubmed/17947533" TargetMode="External"/><Relationship Id="rId195" Type="http://schemas.openxmlformats.org/officeDocument/2006/relationships/hyperlink" Target="https://www.ncbi.nlm.nih.gov/pubmed/8627240" TargetMode="External"/><Relationship Id="rId209" Type="http://schemas.openxmlformats.org/officeDocument/2006/relationships/hyperlink" Target="https://www.ncbi.nlm.nih.gov/pubmed/205151" TargetMode="External"/><Relationship Id="rId360" Type="http://schemas.openxmlformats.org/officeDocument/2006/relationships/hyperlink" Target="https://www.ncbi.nlm.nih.gov/pubmed/10516034" TargetMode="External"/><Relationship Id="rId416" Type="http://schemas.openxmlformats.org/officeDocument/2006/relationships/hyperlink" Target="https://www.ncbi.nlm.nih.gov/pubmed/26276630" TargetMode="External"/><Relationship Id="rId220" Type="http://schemas.openxmlformats.org/officeDocument/2006/relationships/hyperlink" Target="https://www.ncbi.nlm.nih.gov/pubmed/22855483" TargetMode="External"/><Relationship Id="rId458" Type="http://schemas.openxmlformats.org/officeDocument/2006/relationships/hyperlink" Target="https://www.ncbi.nlm.nih.gov/pubmed/19033469" TargetMode="External"/><Relationship Id="rId15" Type="http://schemas.openxmlformats.org/officeDocument/2006/relationships/hyperlink" Target="https://www.ncbi.nlm.nih.gov/pubmed/21752915" TargetMode="External"/><Relationship Id="rId57" Type="http://schemas.openxmlformats.org/officeDocument/2006/relationships/hyperlink" Target="https://www.ncbi.nlm.nih.gov/pubmed/22877560" TargetMode="External"/><Relationship Id="rId262" Type="http://schemas.openxmlformats.org/officeDocument/2006/relationships/hyperlink" Target="https://www.ncbi.nlm.nih.gov/pubmed/23085307" TargetMode="External"/><Relationship Id="rId318" Type="http://schemas.openxmlformats.org/officeDocument/2006/relationships/hyperlink" Target="https://www.ncbi.nlm.nih.gov/pubmed/10769073" TargetMode="External"/><Relationship Id="rId99" Type="http://schemas.openxmlformats.org/officeDocument/2006/relationships/hyperlink" Target="https://www.ncbi.nlm.nih.gov/pubmed/17245535" TargetMode="External"/><Relationship Id="rId122" Type="http://schemas.openxmlformats.org/officeDocument/2006/relationships/hyperlink" Target="https://www.ncbi.nlm.nih.gov/pubmed/10930658" TargetMode="External"/><Relationship Id="rId164" Type="http://schemas.openxmlformats.org/officeDocument/2006/relationships/hyperlink" Target="https://www.ncbi.nlm.nih.gov/pubmed/11243752" TargetMode="External"/><Relationship Id="rId371" Type="http://schemas.openxmlformats.org/officeDocument/2006/relationships/hyperlink" Target="https://www.ncbi.nlm.nih.gov/pubmed/23110096" TargetMode="External"/><Relationship Id="rId427" Type="http://schemas.openxmlformats.org/officeDocument/2006/relationships/hyperlink" Target="https://www.ncbi.nlm.nih.gov/pubmed/25091145" TargetMode="External"/><Relationship Id="rId469" Type="http://schemas.openxmlformats.org/officeDocument/2006/relationships/hyperlink" Target="https://www.ncbi.nlm.nih.gov/pubmed/17712412" TargetMode="External"/><Relationship Id="rId26" Type="http://schemas.openxmlformats.org/officeDocument/2006/relationships/hyperlink" Target="https://www.ncbi.nlm.nih.gov/pubmed/21289119" TargetMode="External"/><Relationship Id="rId231" Type="http://schemas.openxmlformats.org/officeDocument/2006/relationships/hyperlink" Target="https://www.ncbi.nlm.nih.gov/pubmed/22305525" TargetMode="External"/><Relationship Id="rId273" Type="http://schemas.openxmlformats.org/officeDocument/2006/relationships/hyperlink" Target="https://www.ncbi.nlm.nih.gov/pubmed/2863991" TargetMode="External"/><Relationship Id="rId329" Type="http://schemas.openxmlformats.org/officeDocument/2006/relationships/hyperlink" Target="https://www.ncbi.nlm.nih.gov/pubmed/24789796" TargetMode="External"/><Relationship Id="rId480" Type="http://schemas.openxmlformats.org/officeDocument/2006/relationships/hyperlink" Target="https://www.ncbi.nlm.nih.gov/pubmed/11463116" TargetMode="External"/><Relationship Id="rId68" Type="http://schemas.openxmlformats.org/officeDocument/2006/relationships/hyperlink" Target="https://www.ncbi.nlm.nih.gov/pubmed/15778036" TargetMode="External"/><Relationship Id="rId133" Type="http://schemas.openxmlformats.org/officeDocument/2006/relationships/hyperlink" Target="https://www.ncbi.nlm.nih.gov/pubmed/16546454" TargetMode="External"/><Relationship Id="rId175" Type="http://schemas.openxmlformats.org/officeDocument/2006/relationships/hyperlink" Target="https://www.ncbi.nlm.nih.gov/pubmed/20727376" TargetMode="External"/><Relationship Id="rId340" Type="http://schemas.openxmlformats.org/officeDocument/2006/relationships/hyperlink" Target="https://www.ncbi.nlm.nih.gov/pubmed/16051848" TargetMode="External"/><Relationship Id="rId200" Type="http://schemas.openxmlformats.org/officeDocument/2006/relationships/hyperlink" Target="https://www.ncbi.nlm.nih.gov/pubmed/6749977" TargetMode="External"/><Relationship Id="rId382" Type="http://schemas.openxmlformats.org/officeDocument/2006/relationships/hyperlink" Target="https://www.ncbi.nlm.nih.gov/pubmed/19486319" TargetMode="External"/><Relationship Id="rId438" Type="http://schemas.openxmlformats.org/officeDocument/2006/relationships/hyperlink" Target="https://www.ncbi.nlm.nih.gov/pubmed/24109214" TargetMode="External"/><Relationship Id="rId242" Type="http://schemas.openxmlformats.org/officeDocument/2006/relationships/hyperlink" Target="https://www.ncbi.nlm.nih.gov/pubmed/10024977" TargetMode="External"/><Relationship Id="rId284" Type="http://schemas.openxmlformats.org/officeDocument/2006/relationships/hyperlink" Target="https://www.ncbi.nlm.nih.gov/pubmed/28549438" TargetMode="External"/><Relationship Id="rId491" Type="http://schemas.openxmlformats.org/officeDocument/2006/relationships/hyperlink" Target="https://www.ncbi.nlm.nih.gov/pubmed/9230391" TargetMode="External"/><Relationship Id="rId505" Type="http://schemas.openxmlformats.org/officeDocument/2006/relationships/hyperlink" Target="https://www.ncbi.nlm.nih.gov/pubmed/17326938" TargetMode="External"/><Relationship Id="rId37" Type="http://schemas.openxmlformats.org/officeDocument/2006/relationships/hyperlink" Target="https://www.ncbi.nlm.nih.gov/pubmed/22721825" TargetMode="External"/><Relationship Id="rId79" Type="http://schemas.openxmlformats.org/officeDocument/2006/relationships/hyperlink" Target="https://www.ncbi.nlm.nih.gov/pubmed/204207" TargetMode="External"/><Relationship Id="rId102" Type="http://schemas.openxmlformats.org/officeDocument/2006/relationships/hyperlink" Target="https://www.ncbi.nlm.nih.gov/pubmed/9426455" TargetMode="External"/><Relationship Id="rId144" Type="http://schemas.openxmlformats.org/officeDocument/2006/relationships/hyperlink" Target="https://www.ncbi.nlm.nih.gov/pubmed/10024977" TargetMode="External"/><Relationship Id="rId90" Type="http://schemas.openxmlformats.org/officeDocument/2006/relationships/hyperlink" Target="https://www.ncbi.nlm.nih.gov/pubmed/23161446" TargetMode="External"/><Relationship Id="rId186" Type="http://schemas.openxmlformats.org/officeDocument/2006/relationships/hyperlink" Target="https://www.ncbi.nlm.nih.gov/pubmed/22752515" TargetMode="External"/><Relationship Id="rId351" Type="http://schemas.openxmlformats.org/officeDocument/2006/relationships/hyperlink" Target="https://www.ncbi.nlm.nih.gov/pubmed/27783676" TargetMode="External"/><Relationship Id="rId393" Type="http://schemas.openxmlformats.org/officeDocument/2006/relationships/hyperlink" Target="https://www.ncbi.nlm.nih.gov/pubmed/23302882" TargetMode="External"/><Relationship Id="rId407" Type="http://schemas.openxmlformats.org/officeDocument/2006/relationships/hyperlink" Target="https://www.ncbi.nlm.nih.gov/pubmed/18205973" TargetMode="External"/><Relationship Id="rId449" Type="http://schemas.openxmlformats.org/officeDocument/2006/relationships/hyperlink" Target="https://www.ncbi.nlm.nih.gov/pubmed/22615791" TargetMode="External"/><Relationship Id="rId211" Type="http://schemas.openxmlformats.org/officeDocument/2006/relationships/hyperlink" Target="https://www.ncbi.nlm.nih.gov/pubmed/10817634" TargetMode="External"/><Relationship Id="rId253" Type="http://schemas.openxmlformats.org/officeDocument/2006/relationships/hyperlink" Target="https://www.ncbi.nlm.nih.gov/pubmed/22924442" TargetMode="External"/><Relationship Id="rId295" Type="http://schemas.openxmlformats.org/officeDocument/2006/relationships/hyperlink" Target="https://www.ncbi.nlm.nih.gov/pubmed/28220327" TargetMode="External"/><Relationship Id="rId309" Type="http://schemas.openxmlformats.org/officeDocument/2006/relationships/hyperlink" Target="https://www.ncbi.nlm.nih.gov/pubmed/16216136" TargetMode="External"/><Relationship Id="rId460" Type="http://schemas.openxmlformats.org/officeDocument/2006/relationships/hyperlink" Target="https://www.ncbi.nlm.nih.gov/pubmed/19033469" TargetMode="External"/><Relationship Id="rId516" Type="http://schemas.openxmlformats.org/officeDocument/2006/relationships/hyperlink" Target="https://www.ncbi.nlm.nih.gov/pubmed/19033469" TargetMode="External"/><Relationship Id="rId48" Type="http://schemas.openxmlformats.org/officeDocument/2006/relationships/hyperlink" Target="https://www.ncbi.nlm.nih.gov/pubmed/24986085" TargetMode="External"/><Relationship Id="rId113" Type="http://schemas.openxmlformats.org/officeDocument/2006/relationships/hyperlink" Target="https://www.ncbi.nlm.nih.gov/pubmed/1325663" TargetMode="External"/><Relationship Id="rId320" Type="http://schemas.openxmlformats.org/officeDocument/2006/relationships/hyperlink" Target="https://www.ncbi.nlm.nih.gov/pubmed/19386708" TargetMode="External"/><Relationship Id="rId155" Type="http://schemas.openxmlformats.org/officeDocument/2006/relationships/hyperlink" Target="https://www.ncbi.nlm.nih.gov/pubmed/17947533" TargetMode="External"/><Relationship Id="rId197" Type="http://schemas.openxmlformats.org/officeDocument/2006/relationships/hyperlink" Target="https://www.ncbi.nlm.nih.gov/pubmed/19393266" TargetMode="External"/><Relationship Id="rId362" Type="http://schemas.openxmlformats.org/officeDocument/2006/relationships/hyperlink" Target="https://www.ncbi.nlm.nih.gov/pubmed/28033365" TargetMode="External"/><Relationship Id="rId418" Type="http://schemas.openxmlformats.org/officeDocument/2006/relationships/hyperlink" Target="https://www.ncbi.nlm.nih.gov/pubmed/17326956/" TargetMode="External"/><Relationship Id="rId222" Type="http://schemas.openxmlformats.org/officeDocument/2006/relationships/hyperlink" Target="https://www.ncbi.nlm.nih.gov/pubmed/22855483" TargetMode="External"/><Relationship Id="rId264" Type="http://schemas.openxmlformats.org/officeDocument/2006/relationships/hyperlink" Target="https://www.ncbi.nlm.nih.gov/pubmed/6300226" TargetMode="External"/><Relationship Id="rId471" Type="http://schemas.openxmlformats.org/officeDocument/2006/relationships/hyperlink" Target="https://www.ncbi.nlm.nih.gov/pubmed/17961279" TargetMode="External"/><Relationship Id="rId17" Type="http://schemas.openxmlformats.org/officeDocument/2006/relationships/hyperlink" Target="https://www.ncbi.nlm.nih.gov/pubmed/22362949" TargetMode="External"/><Relationship Id="rId59" Type="http://schemas.openxmlformats.org/officeDocument/2006/relationships/hyperlink" Target="https://www.ncbi.nlm.nih.gov/pubmed/10466964" TargetMode="External"/><Relationship Id="rId124" Type="http://schemas.openxmlformats.org/officeDocument/2006/relationships/hyperlink" Target="https://www.ncbi.nlm.nih.gov/pubmed/19788811" TargetMode="External"/><Relationship Id="rId70" Type="http://schemas.openxmlformats.org/officeDocument/2006/relationships/hyperlink" Target="https://www.ncbi.nlm.nih.gov/pubmed/23960171" TargetMode="External"/><Relationship Id="rId166" Type="http://schemas.openxmlformats.org/officeDocument/2006/relationships/hyperlink" Target="https://www.ncbi.nlm.nih.gov/pubmed/19796107" TargetMode="External"/><Relationship Id="rId331" Type="http://schemas.openxmlformats.org/officeDocument/2006/relationships/hyperlink" Target="https://www.ncbi.nlm.nih.gov/pubmed/19706703" TargetMode="External"/><Relationship Id="rId373" Type="http://schemas.openxmlformats.org/officeDocument/2006/relationships/hyperlink" Target="https://www.ncbi.nlm.nih.gov/pubmed/23305714" TargetMode="External"/><Relationship Id="rId429" Type="http://schemas.openxmlformats.org/officeDocument/2006/relationships/hyperlink" Target="https://www.ncbi.nlm.nih.gov/pubmed/24929750" TargetMode="External"/><Relationship Id="rId1" Type="http://schemas.openxmlformats.org/officeDocument/2006/relationships/hyperlink" Target="https://www.ncbi.nlm.nih.gov/pubmed/22320357" TargetMode="External"/><Relationship Id="rId233" Type="http://schemas.openxmlformats.org/officeDocument/2006/relationships/hyperlink" Target="https://www.ncbi.nlm.nih.gov/pubmed/16608518" TargetMode="External"/><Relationship Id="rId440" Type="http://schemas.openxmlformats.org/officeDocument/2006/relationships/hyperlink" Target="https://www.ncbi.nlm.nih.gov/pubmed/26193371" TargetMode="External"/><Relationship Id="rId28" Type="http://schemas.openxmlformats.org/officeDocument/2006/relationships/hyperlink" Target="https://www.ncbi.nlm.nih.gov/pubmed/22214864" TargetMode="External"/><Relationship Id="rId275" Type="http://schemas.openxmlformats.org/officeDocument/2006/relationships/hyperlink" Target="https://www.ncbi.nlm.nih.gov/pubmed/15138077" TargetMode="External"/><Relationship Id="rId300" Type="http://schemas.openxmlformats.org/officeDocument/2006/relationships/hyperlink" Target="https://www.ncbi.nlm.nih.gov/pubmed/21830071" TargetMode="External"/><Relationship Id="rId482" Type="http://schemas.openxmlformats.org/officeDocument/2006/relationships/hyperlink" Target="https://www.ncbi.nlm.nih.gov/pubmed/15381803" TargetMode="External"/><Relationship Id="rId81" Type="http://schemas.openxmlformats.org/officeDocument/2006/relationships/hyperlink" Target="https://www.ncbi.nlm.nih.gov/pubmed/1928574" TargetMode="External"/><Relationship Id="rId135" Type="http://schemas.openxmlformats.org/officeDocument/2006/relationships/hyperlink" Target="https://www.ncbi.nlm.nih.gov/pubmed/23223618" TargetMode="External"/><Relationship Id="rId177" Type="http://schemas.openxmlformats.org/officeDocument/2006/relationships/hyperlink" Target="https://www.ncbi.nlm.nih.gov/pubmed/19697413" TargetMode="External"/><Relationship Id="rId342" Type="http://schemas.openxmlformats.org/officeDocument/2006/relationships/hyperlink" Target="https://www.ncbi.nlm.nih.gov/pubmed/24475112" TargetMode="External"/><Relationship Id="rId384" Type="http://schemas.openxmlformats.org/officeDocument/2006/relationships/hyperlink" Target="https://www.ncbi.nlm.nih.gov/pubmed/24552787" TargetMode="External"/><Relationship Id="rId202" Type="http://schemas.openxmlformats.org/officeDocument/2006/relationships/hyperlink" Target="https://www.ncbi.nlm.nih.gov/pubmed/21801651" TargetMode="External"/><Relationship Id="rId244" Type="http://schemas.openxmlformats.org/officeDocument/2006/relationships/hyperlink" Target="https://www.ncbi.nlm.nih.gov/pubmed/10024977" TargetMode="External"/><Relationship Id="rId39" Type="http://schemas.openxmlformats.org/officeDocument/2006/relationships/hyperlink" Target="https://www.ncbi.nlm.nih.gov/pubmed/22721825" TargetMode="External"/><Relationship Id="rId286" Type="http://schemas.openxmlformats.org/officeDocument/2006/relationships/hyperlink" Target="https://www.ncbi.nlm.nih.gov/pubmed/28549438" TargetMode="External"/><Relationship Id="rId451" Type="http://schemas.openxmlformats.org/officeDocument/2006/relationships/hyperlink" Target="https://www.ncbi.nlm.nih.gov/pubmed/23268691" TargetMode="External"/><Relationship Id="rId493" Type="http://schemas.openxmlformats.org/officeDocument/2006/relationships/hyperlink" Target="https://www.ncbi.nlm.nih.gov/pubmed/19402767" TargetMode="External"/><Relationship Id="rId507" Type="http://schemas.openxmlformats.org/officeDocument/2006/relationships/hyperlink" Target="https://www.ncbi.nlm.nih.gov/pubmed/19033469" TargetMode="External"/><Relationship Id="rId50" Type="http://schemas.openxmlformats.org/officeDocument/2006/relationships/hyperlink" Target="https://www.ncbi.nlm.nih.gov/pubmed/22889105" TargetMode="External"/><Relationship Id="rId104" Type="http://schemas.openxmlformats.org/officeDocument/2006/relationships/hyperlink" Target="https://www.ncbi.nlm.nih.gov/pubmed/11359196" TargetMode="External"/><Relationship Id="rId146" Type="http://schemas.openxmlformats.org/officeDocument/2006/relationships/hyperlink" Target="https://www.ncbi.nlm.nih.gov/pubmed/16051848" TargetMode="External"/><Relationship Id="rId188" Type="http://schemas.openxmlformats.org/officeDocument/2006/relationships/hyperlink" Target="https://www.ncbi.nlm.nih.gov/pubmed/6747282" TargetMode="External"/><Relationship Id="rId311" Type="http://schemas.openxmlformats.org/officeDocument/2006/relationships/hyperlink" Target="https://www.ncbi.nlm.nih.gov/pubmed/26350980" TargetMode="External"/><Relationship Id="rId353" Type="http://schemas.openxmlformats.org/officeDocument/2006/relationships/hyperlink" Target="https://www.ncbi.nlm.nih.gov/pubmed/22278233" TargetMode="External"/><Relationship Id="rId395" Type="http://schemas.openxmlformats.org/officeDocument/2006/relationships/hyperlink" Target="https://www.ncbi.nlm.nih.gov/pubmed/23302882" TargetMode="External"/><Relationship Id="rId409" Type="http://schemas.openxmlformats.org/officeDocument/2006/relationships/hyperlink" Target="https://www.ncbi.nlm.nih.gov/pubmed/23597620" TargetMode="External"/><Relationship Id="rId92" Type="http://schemas.openxmlformats.org/officeDocument/2006/relationships/hyperlink" Target="https://www.ncbi.nlm.nih.gov/pubmed/21366416" TargetMode="External"/><Relationship Id="rId213" Type="http://schemas.openxmlformats.org/officeDocument/2006/relationships/hyperlink" Target="https://www.ncbi.nlm.nih.gov/pubmed/22457530" TargetMode="External"/><Relationship Id="rId420" Type="http://schemas.openxmlformats.org/officeDocument/2006/relationships/hyperlink" Target="https://www.ncbi.nlm.nih.gov/pubmed/23666045" TargetMode="External"/><Relationship Id="rId255" Type="http://schemas.openxmlformats.org/officeDocument/2006/relationships/hyperlink" Target="https://www.ncbi.nlm.nih.gov/pubmed/7435797" TargetMode="External"/><Relationship Id="rId297" Type="http://schemas.openxmlformats.org/officeDocument/2006/relationships/hyperlink" Target="https://www.ncbi.nlm.nih.gov/pubmed/27074162" TargetMode="External"/><Relationship Id="rId462" Type="http://schemas.openxmlformats.org/officeDocument/2006/relationships/hyperlink" Target="https://www.ncbi.nlm.nih.gov/pubmed/22615791" TargetMode="External"/><Relationship Id="rId115" Type="http://schemas.openxmlformats.org/officeDocument/2006/relationships/hyperlink" Target="https://www.ncbi.nlm.nih.gov/pubmed/192094" TargetMode="External"/><Relationship Id="rId157" Type="http://schemas.openxmlformats.org/officeDocument/2006/relationships/hyperlink" Target="https://www.ncbi.nlm.nih.gov/pubmed/28068914" TargetMode="External"/><Relationship Id="rId322" Type="http://schemas.openxmlformats.org/officeDocument/2006/relationships/hyperlink" Target="https://www.ncbi.nlm.nih.gov/pubmed/28095926" TargetMode="External"/><Relationship Id="rId364" Type="http://schemas.openxmlformats.org/officeDocument/2006/relationships/hyperlink" Target="https://www.ncbi.nlm.nih.gov/pubmed/24637582" TargetMode="External"/><Relationship Id="rId61" Type="http://schemas.openxmlformats.org/officeDocument/2006/relationships/hyperlink" Target="https://www.ncbi.nlm.nih.gov/pubmed/19486319" TargetMode="External"/><Relationship Id="rId199" Type="http://schemas.openxmlformats.org/officeDocument/2006/relationships/hyperlink" Target="https://www.ncbi.nlm.nih.gov/pubmed/22877560" TargetMode="External"/><Relationship Id="rId19" Type="http://schemas.openxmlformats.org/officeDocument/2006/relationships/hyperlink" Target="https://www.ncbi.nlm.nih.gov/pubmed/19833455" TargetMode="External"/><Relationship Id="rId224" Type="http://schemas.openxmlformats.org/officeDocument/2006/relationships/hyperlink" Target="https://www.ncbi.nlm.nih.gov/pubmed/7905555" TargetMode="External"/><Relationship Id="rId266" Type="http://schemas.openxmlformats.org/officeDocument/2006/relationships/hyperlink" Target="https://www.ncbi.nlm.nih.gov/pubmed/23239568" TargetMode="External"/><Relationship Id="rId431" Type="http://schemas.openxmlformats.org/officeDocument/2006/relationships/hyperlink" Target="https://www.ncbi.nlm.nih.gov/pubmed/13793361" TargetMode="External"/><Relationship Id="rId473" Type="http://schemas.openxmlformats.org/officeDocument/2006/relationships/hyperlink" Target="https://www.ncbi.nlm.nih.gov/pubmed/9230391" TargetMode="External"/><Relationship Id="rId30" Type="http://schemas.openxmlformats.org/officeDocument/2006/relationships/hyperlink" Target="https://www.ncbi.nlm.nih.gov/pubmed/17705031" TargetMode="External"/><Relationship Id="rId126" Type="http://schemas.openxmlformats.org/officeDocument/2006/relationships/hyperlink" Target="https://www.ncbi.nlm.nih.gov/pubmed/11791973" TargetMode="External"/><Relationship Id="rId168" Type="http://schemas.openxmlformats.org/officeDocument/2006/relationships/hyperlink" Target="https://www.ncbi.nlm.nih.gov/pubmed/22389721" TargetMode="External"/><Relationship Id="rId333" Type="http://schemas.openxmlformats.org/officeDocument/2006/relationships/hyperlink" Target="https://www.ncbi.nlm.nih.gov/pubmed/19706703" TargetMode="External"/><Relationship Id="rId72" Type="http://schemas.openxmlformats.org/officeDocument/2006/relationships/hyperlink" Target="https://www.ncbi.nlm.nih.gov/pubmed/18632972" TargetMode="External"/><Relationship Id="rId375" Type="http://schemas.openxmlformats.org/officeDocument/2006/relationships/hyperlink" Target="https://www.ncbi.nlm.nih.gov/pubmed/24799374" TargetMode="External"/><Relationship Id="rId3" Type="http://schemas.openxmlformats.org/officeDocument/2006/relationships/hyperlink" Target="https://www.ncbi.nlm.nih.gov/pubmed/25996404" TargetMode="External"/><Relationship Id="rId235" Type="http://schemas.openxmlformats.org/officeDocument/2006/relationships/hyperlink" Target="https://www.ncbi.nlm.nih.gov/pubmed/22673358" TargetMode="External"/><Relationship Id="rId277" Type="http://schemas.openxmlformats.org/officeDocument/2006/relationships/hyperlink" Target="https://www.ncbi.nlm.nih.gov/pubmed/10024977" TargetMode="External"/><Relationship Id="rId400" Type="http://schemas.openxmlformats.org/officeDocument/2006/relationships/hyperlink" Target="https://www.ncbi.nlm.nih.gov/pubmed/26575627" TargetMode="External"/><Relationship Id="rId442" Type="http://schemas.openxmlformats.org/officeDocument/2006/relationships/hyperlink" Target="https://www.ncbi.nlm.nih.gov/pubmed/6283714" TargetMode="External"/><Relationship Id="rId484" Type="http://schemas.openxmlformats.org/officeDocument/2006/relationships/hyperlink" Target="https://www.ncbi.nlm.nih.gov/pubmed/17332186" TargetMode="External"/><Relationship Id="rId137" Type="http://schemas.openxmlformats.org/officeDocument/2006/relationships/hyperlink" Target="https://www.ncbi.nlm.nih.gov/pubmed/15964158" TargetMode="External"/><Relationship Id="rId302" Type="http://schemas.openxmlformats.org/officeDocument/2006/relationships/hyperlink" Target="https://www.ncbi.nlm.nih.gov/pubmed/27213426" TargetMode="External"/><Relationship Id="rId344" Type="http://schemas.openxmlformats.org/officeDocument/2006/relationships/hyperlink" Target="https://www.ncbi.nlm.nih.gov/pubmed/26489898" TargetMode="External"/><Relationship Id="rId41" Type="http://schemas.openxmlformats.org/officeDocument/2006/relationships/hyperlink" Target="https://www.ncbi.nlm.nih.gov/pubmed/12615305" TargetMode="External"/><Relationship Id="rId83" Type="http://schemas.openxmlformats.org/officeDocument/2006/relationships/hyperlink" Target="https://www.ncbi.nlm.nih.gov/pubmed/19065353" TargetMode="External"/><Relationship Id="rId179" Type="http://schemas.openxmlformats.org/officeDocument/2006/relationships/hyperlink" Target="https://www.ncbi.nlm.nih.gov/pubmed/17311340" TargetMode="External"/><Relationship Id="rId386" Type="http://schemas.openxmlformats.org/officeDocument/2006/relationships/hyperlink" Target="https://www.ncbi.nlm.nih.gov/pubmed/24552787" TargetMode="External"/><Relationship Id="rId190" Type="http://schemas.openxmlformats.org/officeDocument/2006/relationships/hyperlink" Target="https://www.ncbi.nlm.nih.gov/pubmed/19402767" TargetMode="External"/><Relationship Id="rId204" Type="http://schemas.openxmlformats.org/officeDocument/2006/relationships/hyperlink" Target="https://www.ncbi.nlm.nih.gov/pubmed/10024977" TargetMode="External"/><Relationship Id="rId246" Type="http://schemas.openxmlformats.org/officeDocument/2006/relationships/hyperlink" Target="https://www.ncbi.nlm.nih.gov/pubmed/22000358" TargetMode="External"/><Relationship Id="rId288" Type="http://schemas.openxmlformats.org/officeDocument/2006/relationships/hyperlink" Target="https://www.ncbi.nlm.nih.gov/pubmed/27489269" TargetMode="External"/><Relationship Id="rId411" Type="http://schemas.openxmlformats.org/officeDocument/2006/relationships/hyperlink" Target="https://www.ncbi.nlm.nih.gov/pubmed/8166352" TargetMode="External"/><Relationship Id="rId453" Type="http://schemas.openxmlformats.org/officeDocument/2006/relationships/hyperlink" Target="https://www.ncbi.nlm.nih.gov/pubmed/16021308" TargetMode="External"/><Relationship Id="rId509" Type="http://schemas.openxmlformats.org/officeDocument/2006/relationships/hyperlink" Target="https://www.ncbi.nlm.nih.gov/pubmed/27631733" TargetMode="External"/><Relationship Id="rId106" Type="http://schemas.openxmlformats.org/officeDocument/2006/relationships/hyperlink" Target="https://www.ncbi.nlm.nih.gov/pubmed/12296402" TargetMode="External"/><Relationship Id="rId313" Type="http://schemas.openxmlformats.org/officeDocument/2006/relationships/hyperlink" Target="https://www.ncbi.nlm.nih.gov/pubmed/234206" TargetMode="External"/><Relationship Id="rId495" Type="http://schemas.openxmlformats.org/officeDocument/2006/relationships/hyperlink" Target="https://www.ncbi.nlm.nih.gov/pubmed/6261689/" TargetMode="External"/><Relationship Id="rId10" Type="http://schemas.openxmlformats.org/officeDocument/2006/relationships/hyperlink" Target="https://www.ncbi.nlm.nih.gov/pubmed/18680655" TargetMode="External"/><Relationship Id="rId52" Type="http://schemas.openxmlformats.org/officeDocument/2006/relationships/hyperlink" Target="https://www.ncbi.nlm.nih.gov/pubmed/10747269" TargetMode="External"/><Relationship Id="rId94" Type="http://schemas.openxmlformats.org/officeDocument/2006/relationships/hyperlink" Target="https://www.ncbi.nlm.nih.gov/pubmed/17507975" TargetMode="External"/><Relationship Id="rId148" Type="http://schemas.openxmlformats.org/officeDocument/2006/relationships/hyperlink" Target="https://www.ncbi.nlm.nih.gov/pubmed/9037738" TargetMode="External"/><Relationship Id="rId355" Type="http://schemas.openxmlformats.org/officeDocument/2006/relationships/hyperlink" Target="https://www.ncbi.nlm.nih.gov/pubmed/25061851" TargetMode="External"/><Relationship Id="rId397" Type="http://schemas.openxmlformats.org/officeDocument/2006/relationships/hyperlink" Target="https://www.ncbi.nlm.nih.gov/pubmed/26212868" TargetMode="External"/><Relationship Id="rId215" Type="http://schemas.openxmlformats.org/officeDocument/2006/relationships/hyperlink" Target="https://www.ncbi.nlm.nih.gov/pubmed/17360861" TargetMode="External"/><Relationship Id="rId257" Type="http://schemas.openxmlformats.org/officeDocument/2006/relationships/hyperlink" Target="https://www.ncbi.nlm.nih.gov/pubmed/19889769" TargetMode="External"/><Relationship Id="rId422" Type="http://schemas.openxmlformats.org/officeDocument/2006/relationships/hyperlink" Target="https://www.ncbi.nlm.nih.gov/pubmed/25031335" TargetMode="External"/><Relationship Id="rId464" Type="http://schemas.openxmlformats.org/officeDocument/2006/relationships/hyperlink" Target="https://www.ncbi.nlm.nih.gov/pubmed/16943351" TargetMode="External"/><Relationship Id="rId299" Type="http://schemas.openxmlformats.org/officeDocument/2006/relationships/hyperlink" Target="https://www.ncbi.nlm.nih.gov/pubmed/19556568" TargetMode="External"/><Relationship Id="rId63" Type="http://schemas.openxmlformats.org/officeDocument/2006/relationships/hyperlink" Target="https://www.ncbi.nlm.nih.gov/pubmed/23097448" TargetMode="External"/><Relationship Id="rId159" Type="http://schemas.openxmlformats.org/officeDocument/2006/relationships/hyperlink" Target="https://www.ncbi.nlm.nih.gov/pubmed/6299259" TargetMode="External"/><Relationship Id="rId366" Type="http://schemas.openxmlformats.org/officeDocument/2006/relationships/hyperlink" Target="https://www.ncbi.nlm.nih.gov/pubmed/2475646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31"/>
  <sheetViews>
    <sheetView tabSelected="1" zoomScaleNormal="100" workbookViewId="0">
      <pane ySplit="1" topLeftCell="A2" activePane="bottomLeft" state="frozen"/>
      <selection pane="bottomLeft"/>
    </sheetView>
  </sheetViews>
  <sheetFormatPr defaultColWidth="9.140625" defaultRowHeight="15" x14ac:dyDescent="0.25"/>
  <cols>
    <col min="1" max="1" width="41.28515625" style="99" customWidth="1"/>
    <col min="2" max="3" width="22" style="99" customWidth="1"/>
    <col min="4" max="5" width="9.140625" style="23" customWidth="1"/>
    <col min="6" max="6" width="9" style="49" customWidth="1"/>
    <col min="7" max="7" width="9" style="33" customWidth="1"/>
    <col min="8" max="8" width="20.85546875" style="97" customWidth="1"/>
    <col min="9" max="9" width="10.140625" style="49" customWidth="1"/>
    <col min="10" max="20" width="9.140625" style="23" customWidth="1"/>
    <col min="21" max="22" width="9.140625" style="49" customWidth="1"/>
    <col min="23" max="28" width="9.140625" style="23" customWidth="1"/>
    <col min="29" max="29" width="10.140625" style="23" customWidth="1"/>
    <col min="30" max="32" width="10.140625" style="49" customWidth="1"/>
    <col min="33" max="33" width="7.85546875" style="23" customWidth="1"/>
    <col min="34" max="34" width="7.5703125" style="23" customWidth="1"/>
    <col min="35" max="35" width="9.140625" style="23"/>
    <col min="36" max="36" width="10.140625" style="23" customWidth="1"/>
    <col min="37" max="16384" width="9.140625" style="23"/>
  </cols>
  <sheetData>
    <row r="1" spans="1:40" x14ac:dyDescent="0.25">
      <c r="A1" s="2" t="s">
        <v>0</v>
      </c>
      <c r="B1" s="2" t="s">
        <v>2</v>
      </c>
      <c r="C1" s="2" t="s">
        <v>1</v>
      </c>
      <c r="D1" s="6" t="s">
        <v>89</v>
      </c>
      <c r="E1" s="6" t="s">
        <v>5</v>
      </c>
      <c r="F1" s="87" t="s">
        <v>452</v>
      </c>
      <c r="G1" s="96" t="s">
        <v>448</v>
      </c>
      <c r="H1" s="98" t="s">
        <v>462</v>
      </c>
      <c r="I1" s="90" t="s">
        <v>463</v>
      </c>
      <c r="J1" s="3" t="s">
        <v>12</v>
      </c>
      <c r="K1" s="3" t="s">
        <v>19</v>
      </c>
      <c r="L1" s="3" t="s">
        <v>13</v>
      </c>
      <c r="M1" s="3" t="s">
        <v>36</v>
      </c>
      <c r="N1" s="3" t="s">
        <v>157</v>
      </c>
      <c r="O1" s="3" t="s">
        <v>87</v>
      </c>
      <c r="P1" s="3" t="s">
        <v>392</v>
      </c>
      <c r="Q1" s="3" t="s">
        <v>3</v>
      </c>
      <c r="R1" s="3" t="s">
        <v>4</v>
      </c>
      <c r="S1" s="3" t="s">
        <v>213</v>
      </c>
      <c r="T1" s="3" t="s">
        <v>381</v>
      </c>
      <c r="U1" s="4" t="s">
        <v>449</v>
      </c>
      <c r="V1" s="4" t="s">
        <v>88</v>
      </c>
      <c r="W1" s="5" t="s">
        <v>455</v>
      </c>
      <c r="X1" s="5" t="s">
        <v>456</v>
      </c>
      <c r="Y1" s="5" t="s">
        <v>457</v>
      </c>
      <c r="Z1" s="5" t="s">
        <v>458</v>
      </c>
      <c r="AA1" s="5" t="s">
        <v>459</v>
      </c>
      <c r="AB1" s="5" t="s">
        <v>460</v>
      </c>
      <c r="AC1" s="5" t="s">
        <v>461</v>
      </c>
      <c r="AD1" s="5" t="s">
        <v>388</v>
      </c>
      <c r="AE1" s="5" t="s">
        <v>389</v>
      </c>
      <c r="AK1" s="29"/>
      <c r="AL1" s="33"/>
      <c r="AM1" s="29"/>
    </row>
    <row r="2" spans="1:40" x14ac:dyDescent="0.25">
      <c r="A2" s="99" t="s">
        <v>142</v>
      </c>
      <c r="B2" s="104" t="s">
        <v>465</v>
      </c>
      <c r="C2" s="104" t="s">
        <v>520</v>
      </c>
      <c r="D2" s="13">
        <v>1</v>
      </c>
      <c r="E2" s="49" t="s">
        <v>10</v>
      </c>
      <c r="F2" s="88" t="str">
        <f>HYPERLINK("http://ictvonline.org/taxonomyHistory.asp?taxnode_id=20161875","20161875")</f>
        <v>20161875</v>
      </c>
      <c r="G2" s="93">
        <v>2008</v>
      </c>
      <c r="H2" s="88" t="str">
        <f>HYPERLINK("https://www.ncbi.nlm.nih.gov/pubmed/18421377", "18421377")</f>
        <v>18421377</v>
      </c>
      <c r="I2" s="91" t="s">
        <v>453</v>
      </c>
      <c r="J2" s="7">
        <v>0</v>
      </c>
      <c r="K2" s="15">
        <v>1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10">
        <v>0</v>
      </c>
      <c r="S2" s="81">
        <v>12615305</v>
      </c>
      <c r="T2" s="79"/>
      <c r="U2" s="24">
        <v>2</v>
      </c>
      <c r="V2" s="24">
        <v>0</v>
      </c>
      <c r="W2" s="12" t="s">
        <v>7</v>
      </c>
      <c r="X2" s="32">
        <v>0</v>
      </c>
      <c r="Y2" s="32">
        <v>0</v>
      </c>
      <c r="Z2" s="12">
        <v>1</v>
      </c>
      <c r="AA2" s="32">
        <v>0</v>
      </c>
      <c r="AB2" s="32">
        <v>0</v>
      </c>
      <c r="AC2" s="32">
        <v>0</v>
      </c>
      <c r="AD2" s="73" t="s">
        <v>222</v>
      </c>
      <c r="AE2" s="83"/>
      <c r="AK2" s="31"/>
      <c r="AL2" s="33"/>
      <c r="AM2" s="33"/>
    </row>
    <row r="3" spans="1:40" x14ac:dyDescent="0.25">
      <c r="A3" s="100" t="s">
        <v>120</v>
      </c>
      <c r="B3" s="101" t="s">
        <v>465</v>
      </c>
      <c r="C3" s="104" t="s">
        <v>520</v>
      </c>
      <c r="D3" s="13">
        <v>1</v>
      </c>
      <c r="E3" s="29" t="s">
        <v>10</v>
      </c>
      <c r="F3" s="88" t="str">
        <f>HYPERLINK("http://ictvonline.org/taxonomyHistory.asp?taxnode_id=20161879","20161879")</f>
        <v>20161879</v>
      </c>
      <c r="G3" s="93">
        <v>1991</v>
      </c>
      <c r="H3" s="88" t="str">
        <f>HYPERLINK("https://www.ncbi.nlm.nih.gov/pubmed/1681354", "1681354")</f>
        <v>1681354</v>
      </c>
      <c r="I3" s="91" t="s">
        <v>453</v>
      </c>
      <c r="J3" s="7">
        <v>0</v>
      </c>
      <c r="K3" s="15">
        <v>1</v>
      </c>
      <c r="L3" s="8">
        <v>0</v>
      </c>
      <c r="M3" s="7">
        <v>0</v>
      </c>
      <c r="N3" s="7">
        <v>0</v>
      </c>
      <c r="O3" s="9">
        <v>0</v>
      </c>
      <c r="P3" s="9">
        <v>0</v>
      </c>
      <c r="Q3" s="7">
        <v>0</v>
      </c>
      <c r="R3" s="10">
        <v>0</v>
      </c>
      <c r="S3" s="81">
        <v>8166352</v>
      </c>
      <c r="T3" s="81">
        <v>12615305</v>
      </c>
      <c r="U3" s="25">
        <v>3</v>
      </c>
      <c r="V3" s="26">
        <v>1</v>
      </c>
      <c r="W3" s="12" t="s">
        <v>7</v>
      </c>
      <c r="X3" s="32">
        <v>0</v>
      </c>
      <c r="Y3" s="32">
        <v>0</v>
      </c>
      <c r="Z3" s="12">
        <v>1</v>
      </c>
      <c r="AA3" s="32">
        <v>0</v>
      </c>
      <c r="AB3" s="32">
        <v>0</v>
      </c>
      <c r="AC3" s="32">
        <v>0</v>
      </c>
      <c r="AD3" s="73" t="s">
        <v>253</v>
      </c>
      <c r="AE3" s="83"/>
      <c r="AK3" s="31"/>
      <c r="AL3" s="33"/>
      <c r="AM3" s="33"/>
    </row>
    <row r="4" spans="1:40" x14ac:dyDescent="0.25">
      <c r="A4" s="100" t="s">
        <v>131</v>
      </c>
      <c r="B4" s="101" t="s">
        <v>465</v>
      </c>
      <c r="C4" s="104" t="s">
        <v>520</v>
      </c>
      <c r="D4" s="13">
        <v>1</v>
      </c>
      <c r="E4" s="29" t="s">
        <v>10</v>
      </c>
      <c r="F4" s="88" t="str">
        <f>HYPERLINK("http://ictvonline.org/taxonomyHistory.asp?taxnode_id=20161881","20161881")</f>
        <v>20161881</v>
      </c>
      <c r="G4" s="93">
        <v>1958</v>
      </c>
      <c r="H4" s="88" t="str">
        <f>HYPERLINK("https://www.ncbi.nlm.nih.gov/pubmed/13586110", "13586110")</f>
        <v>13586110</v>
      </c>
      <c r="I4" s="91" t="s">
        <v>453</v>
      </c>
      <c r="J4" s="7">
        <v>0</v>
      </c>
      <c r="K4" s="17">
        <v>1</v>
      </c>
      <c r="L4" s="8">
        <v>0</v>
      </c>
      <c r="M4" s="7">
        <v>0</v>
      </c>
      <c r="N4" s="7">
        <v>0</v>
      </c>
      <c r="O4" s="9">
        <v>0</v>
      </c>
      <c r="P4" s="9">
        <v>0</v>
      </c>
      <c r="Q4" s="7">
        <v>0</v>
      </c>
      <c r="R4" s="10">
        <v>0</v>
      </c>
      <c r="S4" s="81">
        <v>24901990</v>
      </c>
      <c r="T4" s="81">
        <v>12615305</v>
      </c>
      <c r="U4" s="25">
        <v>3</v>
      </c>
      <c r="V4" s="26">
        <v>1</v>
      </c>
      <c r="W4" s="12" t="s">
        <v>7</v>
      </c>
      <c r="X4" s="32">
        <v>0</v>
      </c>
      <c r="Y4" s="32">
        <v>0</v>
      </c>
      <c r="Z4" s="12">
        <v>1</v>
      </c>
      <c r="AA4" s="32">
        <v>0</v>
      </c>
      <c r="AB4" s="32">
        <v>0</v>
      </c>
      <c r="AC4" s="32">
        <v>0</v>
      </c>
      <c r="AD4" s="73" t="s">
        <v>300</v>
      </c>
      <c r="AE4" s="84">
        <v>24901990</v>
      </c>
      <c r="AK4" s="31"/>
      <c r="AL4" s="33"/>
      <c r="AM4" s="33"/>
    </row>
    <row r="5" spans="1:40" x14ac:dyDescent="0.25">
      <c r="A5" s="100" t="s">
        <v>133</v>
      </c>
      <c r="B5" s="101" t="s">
        <v>465</v>
      </c>
      <c r="C5" s="104" t="s">
        <v>520</v>
      </c>
      <c r="D5" s="13">
        <v>1</v>
      </c>
      <c r="E5" s="29" t="s">
        <v>10</v>
      </c>
      <c r="F5" s="88" t="str">
        <f>HYPERLINK("http://ictvonline.org/taxonomyHistory.asp?taxnode_id=20161882","20161882")</f>
        <v>20161882</v>
      </c>
      <c r="G5" s="93">
        <v>1970</v>
      </c>
      <c r="H5" s="88" t="str">
        <f>HYPERLINK("https://www.ncbi.nlm.nih.gov/pubmed/4987547", "4987547")</f>
        <v>4987547</v>
      </c>
      <c r="I5" s="91" t="s">
        <v>453</v>
      </c>
      <c r="J5" s="7">
        <v>0</v>
      </c>
      <c r="K5" s="15">
        <v>1</v>
      </c>
      <c r="L5" s="8">
        <v>0</v>
      </c>
      <c r="M5" s="7">
        <v>0</v>
      </c>
      <c r="N5" s="7">
        <v>0</v>
      </c>
      <c r="O5" s="9">
        <v>0</v>
      </c>
      <c r="P5" s="9">
        <v>0</v>
      </c>
      <c r="Q5" s="15">
        <v>1</v>
      </c>
      <c r="R5" s="10">
        <v>0</v>
      </c>
      <c r="S5" s="78" t="s">
        <v>441</v>
      </c>
      <c r="T5" s="78" t="s">
        <v>305</v>
      </c>
      <c r="U5" s="25">
        <v>3</v>
      </c>
      <c r="V5" s="26">
        <v>1</v>
      </c>
      <c r="W5" s="12" t="s">
        <v>7</v>
      </c>
      <c r="X5" s="32">
        <v>0</v>
      </c>
      <c r="Y5" s="32">
        <v>0</v>
      </c>
      <c r="Z5" s="12">
        <v>1</v>
      </c>
      <c r="AA5" s="32">
        <v>0</v>
      </c>
      <c r="AB5" s="32">
        <v>0</v>
      </c>
      <c r="AC5" s="32">
        <v>0</v>
      </c>
      <c r="AD5" s="73" t="s">
        <v>442</v>
      </c>
      <c r="AE5" s="73" t="s">
        <v>305</v>
      </c>
      <c r="AK5" s="31"/>
      <c r="AL5" s="33"/>
      <c r="AM5" s="33"/>
    </row>
    <row r="6" spans="1:40" x14ac:dyDescent="0.25">
      <c r="A6" s="101" t="s">
        <v>146</v>
      </c>
      <c r="B6" s="101" t="s">
        <v>465</v>
      </c>
      <c r="C6" s="104" t="s">
        <v>520</v>
      </c>
      <c r="D6" s="13">
        <v>1</v>
      </c>
      <c r="E6" s="28" t="s">
        <v>10</v>
      </c>
      <c r="F6" s="88" t="str">
        <f>HYPERLINK("http://ictvonline.org/taxonomyHistory.asp?taxnode_id=20161884","20161884")</f>
        <v>20161884</v>
      </c>
      <c r="G6" s="94">
        <v>2009</v>
      </c>
      <c r="H6" s="88" t="str">
        <f>HYPERLINK("https://www.ncbi.nlm.nih.gov/pubmed/19478873", "19478873")</f>
        <v>19478873</v>
      </c>
      <c r="I6" s="91" t="s">
        <v>453</v>
      </c>
      <c r="J6" s="7">
        <v>0</v>
      </c>
      <c r="K6" s="15">
        <v>1</v>
      </c>
      <c r="L6" s="8">
        <v>0</v>
      </c>
      <c r="M6" s="7">
        <v>0</v>
      </c>
      <c r="N6" s="7">
        <v>0</v>
      </c>
      <c r="O6" s="17">
        <v>1</v>
      </c>
      <c r="P6" s="9">
        <v>0</v>
      </c>
      <c r="Q6" s="7">
        <v>0</v>
      </c>
      <c r="R6" s="18">
        <v>1</v>
      </c>
      <c r="S6" s="81">
        <v>25393244</v>
      </c>
      <c r="T6" s="79"/>
      <c r="U6" s="36">
        <v>3</v>
      </c>
      <c r="V6" s="37">
        <v>1</v>
      </c>
      <c r="W6" s="12" t="s">
        <v>7</v>
      </c>
      <c r="X6" s="32">
        <v>0</v>
      </c>
      <c r="Y6" s="32">
        <v>0</v>
      </c>
      <c r="Z6" s="12">
        <v>1</v>
      </c>
      <c r="AA6" s="32">
        <v>0</v>
      </c>
      <c r="AB6" s="32">
        <v>0</v>
      </c>
      <c r="AC6" s="32">
        <v>0</v>
      </c>
      <c r="AD6" s="73" t="s">
        <v>409</v>
      </c>
      <c r="AE6" s="83"/>
      <c r="AK6" s="31"/>
      <c r="AL6" s="33"/>
      <c r="AM6" s="33"/>
    </row>
    <row r="7" spans="1:40" x14ac:dyDescent="0.25">
      <c r="A7" s="100" t="s">
        <v>135</v>
      </c>
      <c r="B7" s="101" t="s">
        <v>465</v>
      </c>
      <c r="C7" s="104" t="s">
        <v>520</v>
      </c>
      <c r="D7" s="13">
        <v>1</v>
      </c>
      <c r="E7" s="29" t="s">
        <v>10</v>
      </c>
      <c r="F7" s="88" t="str">
        <f>HYPERLINK("http://ictvonline.org/taxonomyHistory.asp?taxnode_id=20161887","20161887")</f>
        <v>20161887</v>
      </c>
      <c r="G7" s="93">
        <v>1934</v>
      </c>
      <c r="H7" s="88" t="str">
        <f>HYPERLINK("http://www.jstor.org/stable/4581290", "Available from external site")</f>
        <v>Available from external site</v>
      </c>
      <c r="I7" s="91" t="s">
        <v>453</v>
      </c>
      <c r="J7" s="7">
        <v>0</v>
      </c>
      <c r="K7" s="17">
        <v>1</v>
      </c>
      <c r="L7" s="8">
        <v>0</v>
      </c>
      <c r="M7" s="7">
        <v>0</v>
      </c>
      <c r="N7" s="7">
        <v>0</v>
      </c>
      <c r="O7" s="9">
        <v>0</v>
      </c>
      <c r="P7" s="9">
        <v>0</v>
      </c>
      <c r="Q7" s="17">
        <v>1</v>
      </c>
      <c r="R7" s="10">
        <v>0</v>
      </c>
      <c r="S7" s="81">
        <v>26631809</v>
      </c>
      <c r="T7" s="81">
        <v>23666045</v>
      </c>
      <c r="U7" s="25">
        <v>3</v>
      </c>
      <c r="V7" s="26">
        <v>1</v>
      </c>
      <c r="W7" s="12" t="s">
        <v>7</v>
      </c>
      <c r="X7" s="32">
        <v>0</v>
      </c>
      <c r="Y7" s="12">
        <v>1</v>
      </c>
      <c r="Z7" s="12">
        <v>1</v>
      </c>
      <c r="AA7" s="32">
        <v>0</v>
      </c>
      <c r="AB7" s="32">
        <v>0</v>
      </c>
      <c r="AC7" s="32">
        <v>0</v>
      </c>
      <c r="AD7" s="84">
        <v>23666045</v>
      </c>
      <c r="AE7" s="83"/>
      <c r="AK7" s="31"/>
      <c r="AL7" s="33"/>
      <c r="AM7" s="33"/>
    </row>
    <row r="8" spans="1:40" x14ac:dyDescent="0.25">
      <c r="A8" s="100" t="s">
        <v>136</v>
      </c>
      <c r="B8" s="101" t="s">
        <v>465</v>
      </c>
      <c r="C8" s="104" t="s">
        <v>520</v>
      </c>
      <c r="D8" s="13">
        <v>1</v>
      </c>
      <c r="E8" s="29" t="s">
        <v>10</v>
      </c>
      <c r="F8" s="88" t="str">
        <f>HYPERLINK("http://ictvonline.org/taxonomyHistory.asp?taxnode_id=20161888","20161888")</f>
        <v>20161888</v>
      </c>
      <c r="G8" s="93">
        <v>1964</v>
      </c>
      <c r="H8" s="88" t="str">
        <f>HYPERLINK("https://www.ncbi.nlm.nih.gov/pubmed/14196061", "14196061")</f>
        <v>14196061</v>
      </c>
      <c r="I8" s="91" t="s">
        <v>453</v>
      </c>
      <c r="J8" s="7">
        <v>0</v>
      </c>
      <c r="K8" s="17">
        <v>1</v>
      </c>
      <c r="L8" s="8">
        <v>0</v>
      </c>
      <c r="M8" s="7">
        <v>0</v>
      </c>
      <c r="N8" s="7">
        <v>0</v>
      </c>
      <c r="O8" s="9">
        <v>0</v>
      </c>
      <c r="P8" s="9">
        <v>0</v>
      </c>
      <c r="Q8" s="7">
        <v>0</v>
      </c>
      <c r="R8" s="10">
        <v>0</v>
      </c>
      <c r="S8" s="81">
        <v>25031335</v>
      </c>
      <c r="T8" s="79"/>
      <c r="U8" s="25">
        <v>3</v>
      </c>
      <c r="V8" s="26">
        <v>1</v>
      </c>
      <c r="W8" s="12" t="s">
        <v>7</v>
      </c>
      <c r="X8" s="32">
        <v>0</v>
      </c>
      <c r="Y8" s="32">
        <v>0</v>
      </c>
      <c r="Z8" s="12">
        <v>1</v>
      </c>
      <c r="AA8" s="32">
        <v>0</v>
      </c>
      <c r="AB8" s="32">
        <v>0</v>
      </c>
      <c r="AC8" s="32">
        <v>0</v>
      </c>
      <c r="AD8" s="73" t="s">
        <v>307</v>
      </c>
      <c r="AE8" s="83"/>
      <c r="AK8" s="31"/>
      <c r="AL8" s="33"/>
      <c r="AM8" s="33"/>
    </row>
    <row r="9" spans="1:40" x14ac:dyDescent="0.25">
      <c r="A9" s="102" t="s">
        <v>145</v>
      </c>
      <c r="B9" s="107" t="s">
        <v>465</v>
      </c>
      <c r="C9" s="104" t="s">
        <v>520</v>
      </c>
      <c r="D9" s="13">
        <v>1</v>
      </c>
      <c r="E9" s="49" t="s">
        <v>10</v>
      </c>
      <c r="F9" s="88" t="str">
        <f>HYPERLINK("http://ictvonline.org/taxonomyHistory.asp?taxnode_id=20161891","20161891")</f>
        <v>20161891</v>
      </c>
      <c r="G9" s="93">
        <v>1985</v>
      </c>
      <c r="H9" s="88" t="str">
        <f>HYPERLINK("https://www.ncbi.nlm.nih.gov/pubmed/2986324", "2986324")</f>
        <v>2986324</v>
      </c>
      <c r="I9" s="92" t="s">
        <v>454</v>
      </c>
      <c r="J9" s="45">
        <v>0</v>
      </c>
      <c r="K9" s="71" t="s">
        <v>197</v>
      </c>
      <c r="L9" s="45">
        <v>0</v>
      </c>
      <c r="M9" s="45">
        <v>0</v>
      </c>
      <c r="N9" s="45">
        <v>0</v>
      </c>
      <c r="O9" s="44">
        <v>0</v>
      </c>
      <c r="P9" s="44">
        <v>0</v>
      </c>
      <c r="Q9" s="44">
        <v>0</v>
      </c>
      <c r="R9" s="48">
        <v>0</v>
      </c>
      <c r="S9" s="81">
        <v>26982388</v>
      </c>
      <c r="T9" s="79"/>
      <c r="U9" s="24">
        <v>2</v>
      </c>
      <c r="V9" s="24">
        <v>0</v>
      </c>
      <c r="W9" s="51" t="s">
        <v>7</v>
      </c>
      <c r="X9" s="41">
        <v>0</v>
      </c>
      <c r="Y9" s="41">
        <v>0</v>
      </c>
      <c r="Z9" s="12">
        <v>1</v>
      </c>
      <c r="AA9" s="32">
        <v>0</v>
      </c>
      <c r="AB9" s="32">
        <v>0</v>
      </c>
      <c r="AC9" s="32">
        <v>0</v>
      </c>
      <c r="AD9" s="84">
        <v>26982388</v>
      </c>
      <c r="AE9" s="83"/>
      <c r="AK9" s="31"/>
      <c r="AL9" s="33"/>
      <c r="AM9" s="33"/>
    </row>
    <row r="10" spans="1:40" x14ac:dyDescent="0.25">
      <c r="A10" s="103" t="s">
        <v>137</v>
      </c>
      <c r="B10" s="101" t="s">
        <v>465</v>
      </c>
      <c r="C10" s="104" t="s">
        <v>520</v>
      </c>
      <c r="D10" s="13">
        <v>1</v>
      </c>
      <c r="E10" s="29" t="s">
        <v>10</v>
      </c>
      <c r="F10" s="88" t="str">
        <f>HYPERLINK("http://ictvonline.org/taxonomyHistory.asp?taxnode_id=20161896","20161896")</f>
        <v>20161896</v>
      </c>
      <c r="G10" s="93">
        <v>1974</v>
      </c>
      <c r="H10" s="88" t="str">
        <f>HYPERLINK("https://www.ncbi.nlm.nih.gov/pubmed/4856825", "4856825")</f>
        <v>4856825</v>
      </c>
      <c r="I10" s="92" t="s">
        <v>454</v>
      </c>
      <c r="J10" s="7">
        <v>0</v>
      </c>
      <c r="K10" s="71" t="s">
        <v>197</v>
      </c>
      <c r="L10" s="8">
        <v>0</v>
      </c>
      <c r="M10" s="7">
        <v>0</v>
      </c>
      <c r="N10" s="7">
        <v>0</v>
      </c>
      <c r="O10" s="9">
        <v>0</v>
      </c>
      <c r="P10" s="9">
        <v>0</v>
      </c>
      <c r="Q10" s="7">
        <v>0</v>
      </c>
      <c r="R10" s="10">
        <v>0</v>
      </c>
      <c r="S10" s="78" t="s">
        <v>416</v>
      </c>
      <c r="T10" s="79"/>
      <c r="U10" s="24">
        <v>2</v>
      </c>
      <c r="V10" s="24">
        <v>0</v>
      </c>
      <c r="W10" s="12" t="s">
        <v>7</v>
      </c>
      <c r="X10" s="32">
        <v>0</v>
      </c>
      <c r="Y10" s="32">
        <v>0</v>
      </c>
      <c r="Z10" s="12">
        <v>1</v>
      </c>
      <c r="AA10" s="32">
        <v>0</v>
      </c>
      <c r="AB10" s="32">
        <v>0</v>
      </c>
      <c r="AC10" s="32">
        <v>0</v>
      </c>
      <c r="AD10" s="73" t="s">
        <v>416</v>
      </c>
      <c r="AE10" s="83"/>
      <c r="AK10" s="31"/>
      <c r="AL10" s="33"/>
      <c r="AM10" s="33"/>
      <c r="AN10" s="49"/>
    </row>
    <row r="11" spans="1:40" x14ac:dyDescent="0.25">
      <c r="A11" s="100" t="s">
        <v>138</v>
      </c>
      <c r="B11" s="101" t="s">
        <v>465</v>
      </c>
      <c r="C11" s="104" t="s">
        <v>520</v>
      </c>
      <c r="D11" s="13">
        <v>1</v>
      </c>
      <c r="E11" s="29" t="s">
        <v>10</v>
      </c>
      <c r="F11" s="88" t="str">
        <f>HYPERLINK("http://ictvonline.org/taxonomyHistory.asp?taxnode_id=20161898","20161898")</f>
        <v>20161898</v>
      </c>
      <c r="G11" s="93">
        <v>1994</v>
      </c>
      <c r="H11" s="88" t="str">
        <f>HYPERLINK("https://www.ncbi.nlm.nih.gov/pubmed/7905555", "7905555")</f>
        <v>7905555</v>
      </c>
      <c r="I11" s="91" t="s">
        <v>453</v>
      </c>
      <c r="J11" s="7">
        <v>0</v>
      </c>
      <c r="K11" s="15">
        <v>1</v>
      </c>
      <c r="L11" s="8">
        <v>0</v>
      </c>
      <c r="M11" s="7">
        <v>0</v>
      </c>
      <c r="N11" s="7">
        <v>0</v>
      </c>
      <c r="O11" s="9">
        <v>0</v>
      </c>
      <c r="P11" s="9">
        <v>0</v>
      </c>
      <c r="Q11" s="7">
        <v>0</v>
      </c>
      <c r="R11" s="10">
        <v>0</v>
      </c>
      <c r="S11" s="78" t="s">
        <v>350</v>
      </c>
      <c r="T11" s="79"/>
      <c r="U11" s="25">
        <v>3</v>
      </c>
      <c r="V11" s="26">
        <v>1</v>
      </c>
      <c r="W11" s="12" t="s">
        <v>7</v>
      </c>
      <c r="X11" s="32">
        <v>0</v>
      </c>
      <c r="Y11" s="32">
        <v>0</v>
      </c>
      <c r="Z11" s="12">
        <v>1</v>
      </c>
      <c r="AA11" s="32">
        <v>0</v>
      </c>
      <c r="AB11" s="32">
        <v>0</v>
      </c>
      <c r="AC11" s="32">
        <v>0</v>
      </c>
      <c r="AD11" s="73" t="s">
        <v>350</v>
      </c>
      <c r="AE11" s="83"/>
      <c r="AK11" s="31"/>
      <c r="AL11" s="33"/>
      <c r="AM11" s="33"/>
      <c r="AN11" s="49"/>
    </row>
    <row r="12" spans="1:40" x14ac:dyDescent="0.25">
      <c r="A12" s="100" t="s">
        <v>140</v>
      </c>
      <c r="B12" s="101" t="s">
        <v>465</v>
      </c>
      <c r="C12" s="104" t="s">
        <v>520</v>
      </c>
      <c r="D12" s="13">
        <v>1</v>
      </c>
      <c r="E12" s="29" t="s">
        <v>10</v>
      </c>
      <c r="F12" s="88" t="str">
        <f>HYPERLINK("http://ictvonline.org/taxonomyHistory.asp?taxnode_id=20161902","20161902")</f>
        <v>20161902</v>
      </c>
      <c r="G12" s="93">
        <v>2000</v>
      </c>
      <c r="H12" s="88" t="str">
        <f>HYPERLINK("https://www.ncbi.nlm.nih.gov/pubmed/10960307", "10960307")</f>
        <v>10960307</v>
      </c>
      <c r="I12" s="91" t="s">
        <v>453</v>
      </c>
      <c r="J12" s="7">
        <v>0</v>
      </c>
      <c r="K12" s="15">
        <v>1</v>
      </c>
      <c r="L12" s="8">
        <v>0</v>
      </c>
      <c r="M12" s="7">
        <v>0</v>
      </c>
      <c r="N12" s="7">
        <v>0</v>
      </c>
      <c r="O12" s="9">
        <v>0</v>
      </c>
      <c r="P12" s="9">
        <v>0</v>
      </c>
      <c r="Q12" s="7">
        <v>0</v>
      </c>
      <c r="R12" s="10">
        <v>0</v>
      </c>
      <c r="S12" s="78" t="s">
        <v>443</v>
      </c>
      <c r="T12" s="79"/>
      <c r="U12" s="24">
        <v>2</v>
      </c>
      <c r="V12" s="24">
        <v>0</v>
      </c>
      <c r="W12" s="12" t="s">
        <v>7</v>
      </c>
      <c r="X12" s="32">
        <v>0</v>
      </c>
      <c r="Y12" s="32">
        <v>0</v>
      </c>
      <c r="Z12" s="12">
        <v>1</v>
      </c>
      <c r="AA12" s="32">
        <v>0</v>
      </c>
      <c r="AB12" s="32">
        <v>0</v>
      </c>
      <c r="AC12" s="32">
        <v>0</v>
      </c>
      <c r="AD12" s="73" t="s">
        <v>443</v>
      </c>
      <c r="AE12" s="83"/>
      <c r="AK12" s="31"/>
      <c r="AL12" s="33"/>
      <c r="AM12" s="33"/>
      <c r="AN12" s="49"/>
    </row>
    <row r="13" spans="1:40" x14ac:dyDescent="0.25">
      <c r="A13" s="101" t="s">
        <v>141</v>
      </c>
      <c r="B13" s="101" t="s">
        <v>466</v>
      </c>
      <c r="C13" s="104" t="s">
        <v>521</v>
      </c>
      <c r="D13" s="14">
        <v>0</v>
      </c>
      <c r="E13" s="29" t="s">
        <v>9</v>
      </c>
      <c r="F13" s="88" t="str">
        <f>HYPERLINK("http://ictvonline.org/taxonomyHistory.asp?taxnode_id=20161926","20161926")</f>
        <v>20161926</v>
      </c>
      <c r="G13" s="93">
        <v>1975</v>
      </c>
      <c r="H13" s="88" t="str">
        <f>HYPERLINK("https://www.ncbi.nlm.nih.gov/pubmed/48925", "48925")</f>
        <v>48925</v>
      </c>
      <c r="I13" s="91" t="s">
        <v>453</v>
      </c>
      <c r="J13" s="7">
        <v>0</v>
      </c>
      <c r="K13" s="7">
        <v>0</v>
      </c>
      <c r="L13" s="15">
        <v>1</v>
      </c>
      <c r="M13" s="7">
        <v>0</v>
      </c>
      <c r="N13" s="7">
        <v>0</v>
      </c>
      <c r="O13" s="9">
        <v>0</v>
      </c>
      <c r="P13" s="9">
        <v>0</v>
      </c>
      <c r="Q13" s="7">
        <v>0</v>
      </c>
      <c r="R13" s="10">
        <v>0</v>
      </c>
      <c r="S13" s="78" t="s">
        <v>309</v>
      </c>
      <c r="T13" s="79"/>
      <c r="U13" s="27" t="s">
        <v>8</v>
      </c>
      <c r="V13" s="26">
        <v>1</v>
      </c>
      <c r="W13" s="32" t="s">
        <v>150</v>
      </c>
      <c r="X13" s="12">
        <v>1</v>
      </c>
      <c r="Y13" s="32">
        <v>0</v>
      </c>
      <c r="Z13" s="32">
        <v>0</v>
      </c>
      <c r="AA13" s="32">
        <v>0</v>
      </c>
      <c r="AB13" s="32">
        <v>0</v>
      </c>
      <c r="AC13" s="32">
        <v>0</v>
      </c>
      <c r="AD13" s="73" t="s">
        <v>309</v>
      </c>
      <c r="AE13" s="83"/>
      <c r="AK13" s="31"/>
      <c r="AL13" s="33"/>
      <c r="AM13" s="33"/>
      <c r="AN13" s="49"/>
    </row>
    <row r="14" spans="1:40" s="34" customFormat="1" x14ac:dyDescent="0.25">
      <c r="A14" s="101" t="s">
        <v>90</v>
      </c>
      <c r="B14" s="101" t="s">
        <v>466</v>
      </c>
      <c r="C14" s="104" t="s">
        <v>521</v>
      </c>
      <c r="D14" s="14">
        <v>0</v>
      </c>
      <c r="E14" s="29" t="s">
        <v>9</v>
      </c>
      <c r="F14" s="88" t="str">
        <f>HYPERLINK("http://ictvonline.org/taxonomyHistory.asp?taxnode_id=20161931","20161931")</f>
        <v>20161931</v>
      </c>
      <c r="G14" s="93">
        <v>2008</v>
      </c>
      <c r="H14" s="88" t="str">
        <f>HYPERLINK("https://www.ncbi.nlm.nih.gov/pubmed/18398449", "18398449")</f>
        <v>18398449</v>
      </c>
      <c r="I14" s="91" t="s">
        <v>453</v>
      </c>
      <c r="J14" s="7">
        <v>0</v>
      </c>
      <c r="K14" s="7">
        <v>0</v>
      </c>
      <c r="L14" s="15">
        <v>1</v>
      </c>
      <c r="M14" s="7">
        <v>0</v>
      </c>
      <c r="N14" s="7">
        <v>0</v>
      </c>
      <c r="O14" s="9">
        <v>0</v>
      </c>
      <c r="P14" s="9">
        <v>0</v>
      </c>
      <c r="Q14" s="7">
        <v>0</v>
      </c>
      <c r="R14" s="10">
        <v>0</v>
      </c>
      <c r="S14" s="78" t="s">
        <v>410</v>
      </c>
      <c r="T14" s="81">
        <v>24789796</v>
      </c>
      <c r="U14" s="27" t="s">
        <v>8</v>
      </c>
      <c r="V14" s="26">
        <v>1</v>
      </c>
      <c r="W14" s="32" t="s">
        <v>150</v>
      </c>
      <c r="X14" s="12">
        <v>1</v>
      </c>
      <c r="Y14" s="32">
        <v>0</v>
      </c>
      <c r="Z14" s="32">
        <v>0</v>
      </c>
      <c r="AA14" s="32">
        <v>0</v>
      </c>
      <c r="AB14" s="32">
        <v>0</v>
      </c>
      <c r="AC14" s="32">
        <v>0</v>
      </c>
      <c r="AD14" s="73" t="s">
        <v>410</v>
      </c>
      <c r="AE14" s="83"/>
      <c r="AK14" s="31"/>
      <c r="AL14" s="33"/>
      <c r="AM14" s="33"/>
      <c r="AN14" s="49"/>
    </row>
    <row r="15" spans="1:40" s="34" customFormat="1" x14ac:dyDescent="0.25">
      <c r="A15" s="101" t="s">
        <v>91</v>
      </c>
      <c r="B15" s="101" t="s">
        <v>466</v>
      </c>
      <c r="C15" s="104" t="s">
        <v>521</v>
      </c>
      <c r="D15" s="14">
        <v>0</v>
      </c>
      <c r="E15" s="29" t="s">
        <v>9</v>
      </c>
      <c r="F15" s="88" t="str">
        <f>HYPERLINK("http://ictvonline.org/taxonomyHistory.asp?taxnode_id=20161933","20161933")</f>
        <v>20161933</v>
      </c>
      <c r="G15" s="93">
        <v>2009</v>
      </c>
      <c r="H15" s="88" t="str">
        <f>HYPERLINK("https://www.ncbi.nlm.nih.gov/pubmed/19814825", "19814825")</f>
        <v>19814825</v>
      </c>
      <c r="I15" s="91" t="s">
        <v>453</v>
      </c>
      <c r="J15" s="7">
        <v>0</v>
      </c>
      <c r="K15" s="7">
        <v>0</v>
      </c>
      <c r="L15" s="15">
        <v>1</v>
      </c>
      <c r="M15" s="7">
        <v>0</v>
      </c>
      <c r="N15" s="7">
        <v>0</v>
      </c>
      <c r="O15" s="9">
        <v>0</v>
      </c>
      <c r="P15" s="9">
        <v>0</v>
      </c>
      <c r="Q15" s="7">
        <v>0</v>
      </c>
      <c r="R15" s="10">
        <v>0</v>
      </c>
      <c r="S15" s="78" t="s">
        <v>412</v>
      </c>
      <c r="T15" s="79"/>
      <c r="U15" s="27" t="s">
        <v>8</v>
      </c>
      <c r="V15" s="26">
        <v>1</v>
      </c>
      <c r="W15" s="32" t="s">
        <v>150</v>
      </c>
      <c r="X15" s="12">
        <v>1</v>
      </c>
      <c r="Y15" s="32">
        <v>0</v>
      </c>
      <c r="Z15" s="32">
        <v>0</v>
      </c>
      <c r="AA15" s="32">
        <v>0</v>
      </c>
      <c r="AB15" s="32">
        <v>0</v>
      </c>
      <c r="AC15" s="32">
        <v>0</v>
      </c>
      <c r="AD15" s="73" t="s">
        <v>412</v>
      </c>
      <c r="AE15" s="83"/>
      <c r="AK15" s="31"/>
      <c r="AL15" s="33"/>
      <c r="AM15" s="33"/>
      <c r="AN15" s="49"/>
    </row>
    <row r="16" spans="1:40" s="34" customFormat="1" x14ac:dyDescent="0.25">
      <c r="A16" s="101" t="s">
        <v>92</v>
      </c>
      <c r="B16" s="101" t="s">
        <v>466</v>
      </c>
      <c r="C16" s="104" t="s">
        <v>521</v>
      </c>
      <c r="D16" s="14">
        <v>0</v>
      </c>
      <c r="E16" s="29" t="s">
        <v>9</v>
      </c>
      <c r="F16" s="88" t="str">
        <f>HYPERLINK("http://ictvonline.org/taxonomyHistory.asp?taxnode_id=20161934","20161934")</f>
        <v>20161934</v>
      </c>
      <c r="G16" s="93">
        <v>2009</v>
      </c>
      <c r="H16" s="88" t="str">
        <f>HYPERLINK("https://www.ncbi.nlm.nih.gov/pubmed/19706703", "19706703")</f>
        <v>19706703</v>
      </c>
      <c r="I16" s="91" t="s">
        <v>453</v>
      </c>
      <c r="J16" s="7">
        <v>0</v>
      </c>
      <c r="K16" s="7">
        <v>0</v>
      </c>
      <c r="L16" s="15">
        <v>1</v>
      </c>
      <c r="M16" s="7">
        <v>0</v>
      </c>
      <c r="N16" s="7">
        <v>0</v>
      </c>
      <c r="O16" s="9">
        <v>0</v>
      </c>
      <c r="P16" s="9">
        <v>0</v>
      </c>
      <c r="Q16" s="7">
        <v>0</v>
      </c>
      <c r="R16" s="10">
        <v>0</v>
      </c>
      <c r="S16" s="78" t="s">
        <v>411</v>
      </c>
      <c r="T16" s="79"/>
      <c r="U16" s="27" t="s">
        <v>8</v>
      </c>
      <c r="V16" s="26">
        <v>1</v>
      </c>
      <c r="W16" s="32" t="s">
        <v>150</v>
      </c>
      <c r="X16" s="12">
        <v>1</v>
      </c>
      <c r="Y16" s="32">
        <v>0</v>
      </c>
      <c r="Z16" s="32">
        <v>0</v>
      </c>
      <c r="AA16" s="32">
        <v>0</v>
      </c>
      <c r="AB16" s="32">
        <v>0</v>
      </c>
      <c r="AC16" s="32">
        <v>0</v>
      </c>
      <c r="AD16" s="73" t="s">
        <v>411</v>
      </c>
      <c r="AE16" s="83"/>
      <c r="AK16" s="31"/>
      <c r="AL16" s="33"/>
      <c r="AM16" s="33"/>
      <c r="AN16" s="49"/>
    </row>
    <row r="17" spans="1:40" x14ac:dyDescent="0.25">
      <c r="A17" s="100" t="s">
        <v>118</v>
      </c>
      <c r="B17" s="101" t="s">
        <v>467</v>
      </c>
      <c r="C17" s="104" t="s">
        <v>522</v>
      </c>
      <c r="D17" s="13">
        <v>1</v>
      </c>
      <c r="E17" s="29" t="s">
        <v>10</v>
      </c>
      <c r="F17" s="88" t="str">
        <f>HYPERLINK("http://ictvonline.org/taxonomyHistory.asp?taxnode_id=20160985","20160985")</f>
        <v>20160985</v>
      </c>
      <c r="G17" s="93">
        <v>1985</v>
      </c>
      <c r="H17" s="88" t="str">
        <f>HYPERLINK("https://www.ncbi.nlm.nih.gov/pubmed/3922055", "3922055")</f>
        <v>3922055</v>
      </c>
      <c r="I17" s="91" t="s">
        <v>453</v>
      </c>
      <c r="J17" s="7">
        <v>0</v>
      </c>
      <c r="K17" s="7">
        <v>0</v>
      </c>
      <c r="L17" s="8">
        <v>0</v>
      </c>
      <c r="M17" s="7">
        <v>0</v>
      </c>
      <c r="N17" s="7">
        <v>0</v>
      </c>
      <c r="O17" s="9">
        <v>0</v>
      </c>
      <c r="P17" s="9">
        <v>0</v>
      </c>
      <c r="Q17" s="7">
        <v>0</v>
      </c>
      <c r="R17" s="18">
        <v>1</v>
      </c>
      <c r="S17" s="78" t="s">
        <v>310</v>
      </c>
      <c r="T17" s="79"/>
      <c r="U17" s="24">
        <v>2</v>
      </c>
      <c r="V17" s="24">
        <v>0</v>
      </c>
      <c r="W17" s="12" t="s">
        <v>7</v>
      </c>
      <c r="X17" s="32">
        <v>0</v>
      </c>
      <c r="Y17" s="12">
        <v>1</v>
      </c>
      <c r="Z17" s="12">
        <v>1</v>
      </c>
      <c r="AA17" s="32">
        <v>0</v>
      </c>
      <c r="AB17" s="32">
        <v>0</v>
      </c>
      <c r="AC17" s="32">
        <v>0</v>
      </c>
      <c r="AD17" s="73" t="s">
        <v>310</v>
      </c>
      <c r="AE17" s="73"/>
      <c r="AK17" s="31"/>
      <c r="AL17" s="33"/>
      <c r="AM17" s="33"/>
      <c r="AN17" s="49"/>
    </row>
    <row r="18" spans="1:40" x14ac:dyDescent="0.25">
      <c r="A18" s="100" t="s">
        <v>238</v>
      </c>
      <c r="B18" s="101" t="s">
        <v>467</v>
      </c>
      <c r="C18" s="104" t="s">
        <v>522</v>
      </c>
      <c r="D18" s="13">
        <v>1</v>
      </c>
      <c r="E18" s="29" t="s">
        <v>10</v>
      </c>
      <c r="F18" s="88" t="str">
        <f>HYPERLINK("http://ictvonline.org/taxonomyHistory.asp?taxnode_id=20165112","20165112")</f>
        <v>20165112</v>
      </c>
      <c r="G18" s="95">
        <v>2015</v>
      </c>
      <c r="H18" s="88" t="str">
        <f>HYPERLINK("https://www.ncbi.nlm.nih.gov/pubmed/26154788", "26154788")</f>
        <v>26154788</v>
      </c>
      <c r="I18" s="91" t="s">
        <v>453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15">
        <v>1</v>
      </c>
      <c r="Q18" s="7">
        <v>0</v>
      </c>
      <c r="R18" s="75" t="s">
        <v>197</v>
      </c>
      <c r="S18" s="78" t="s">
        <v>393</v>
      </c>
      <c r="T18" s="79"/>
      <c r="U18" s="24">
        <v>2</v>
      </c>
      <c r="V18" s="24">
        <v>0</v>
      </c>
      <c r="W18" s="12" t="s">
        <v>7</v>
      </c>
      <c r="X18" s="57">
        <v>0</v>
      </c>
      <c r="Y18" s="57">
        <v>0</v>
      </c>
      <c r="Z18" s="52">
        <v>1</v>
      </c>
      <c r="AA18" s="57">
        <v>0</v>
      </c>
      <c r="AB18" s="57">
        <v>0</v>
      </c>
      <c r="AC18" s="57">
        <v>0</v>
      </c>
      <c r="AD18" s="73" t="s">
        <v>393</v>
      </c>
      <c r="AE18" s="73"/>
      <c r="AK18" s="31"/>
      <c r="AL18" s="33"/>
      <c r="AM18" s="33"/>
      <c r="AN18" s="49"/>
    </row>
    <row r="19" spans="1:40" x14ac:dyDescent="0.25">
      <c r="A19" s="100" t="s">
        <v>55</v>
      </c>
      <c r="B19" s="101" t="s">
        <v>468</v>
      </c>
      <c r="C19" s="104" t="s">
        <v>523</v>
      </c>
      <c r="D19" s="14">
        <v>0</v>
      </c>
      <c r="E19" s="29" t="s">
        <v>9</v>
      </c>
      <c r="F19" s="88" t="str">
        <f>HYPERLINK("http://ictvonline.org/taxonomyHistory.asp?taxnode_id=20162202","20162202")</f>
        <v>20162202</v>
      </c>
      <c r="G19" s="93">
        <v>1972</v>
      </c>
      <c r="H19" s="88" t="str">
        <f>HYPERLINK("https://www.ncbi.nlm.nih.gov/pubmed/4117963", "4117963")</f>
        <v>4117963</v>
      </c>
      <c r="I19" s="91" t="s">
        <v>453</v>
      </c>
      <c r="J19" s="7">
        <v>0</v>
      </c>
      <c r="K19" s="7">
        <v>0</v>
      </c>
      <c r="L19" s="17">
        <v>1</v>
      </c>
      <c r="M19" s="7">
        <v>0</v>
      </c>
      <c r="N19" s="7">
        <v>0</v>
      </c>
      <c r="O19" s="9">
        <v>0</v>
      </c>
      <c r="P19" s="9">
        <v>0</v>
      </c>
      <c r="Q19" s="7">
        <v>0</v>
      </c>
      <c r="R19" s="18">
        <v>1</v>
      </c>
      <c r="S19" s="81">
        <v>19796107</v>
      </c>
      <c r="T19" s="81">
        <v>22317811</v>
      </c>
      <c r="U19" s="58" t="s">
        <v>24</v>
      </c>
      <c r="V19" s="26">
        <v>1</v>
      </c>
      <c r="W19" s="52" t="s">
        <v>7</v>
      </c>
      <c r="X19" s="57">
        <v>0</v>
      </c>
      <c r="Y19" s="57">
        <v>0</v>
      </c>
      <c r="Z19" s="56">
        <v>1</v>
      </c>
      <c r="AA19" s="32">
        <v>0</v>
      </c>
      <c r="AB19" s="32">
        <v>0</v>
      </c>
      <c r="AC19" s="32">
        <v>0</v>
      </c>
      <c r="AD19" s="73" t="s">
        <v>321</v>
      </c>
      <c r="AE19" s="83"/>
      <c r="AK19" s="31"/>
      <c r="AL19" s="33"/>
      <c r="AM19" s="33"/>
      <c r="AN19" s="49"/>
    </row>
    <row r="20" spans="1:40" x14ac:dyDescent="0.25">
      <c r="A20" s="101" t="s">
        <v>71</v>
      </c>
      <c r="B20" s="101" t="s">
        <v>469</v>
      </c>
      <c r="C20" s="104" t="s">
        <v>523</v>
      </c>
      <c r="D20" s="14">
        <v>0</v>
      </c>
      <c r="E20" s="29" t="s">
        <v>9</v>
      </c>
      <c r="F20" s="88" t="str">
        <f>HYPERLINK("http://ictvonline.org/taxonomyHistory.asp?taxnode_id=20162204","20162204")</f>
        <v>20162204</v>
      </c>
      <c r="G20" s="93">
        <v>1980</v>
      </c>
      <c r="H20" s="88" t="str">
        <f>HYPERLINK("https://www.ncbi.nlm.nih.gov/pubmed/7410899", "7410899")</f>
        <v>7410899</v>
      </c>
      <c r="I20" s="91" t="s">
        <v>453</v>
      </c>
      <c r="J20" s="7">
        <v>0</v>
      </c>
      <c r="K20" s="7">
        <v>0</v>
      </c>
      <c r="L20" s="15">
        <v>1</v>
      </c>
      <c r="M20" s="7">
        <v>0</v>
      </c>
      <c r="N20" s="7">
        <v>0</v>
      </c>
      <c r="O20" s="9">
        <v>0</v>
      </c>
      <c r="P20" s="9">
        <v>0</v>
      </c>
      <c r="Q20" s="7">
        <v>0</v>
      </c>
      <c r="R20" s="10">
        <v>0</v>
      </c>
      <c r="S20" s="81">
        <v>27120472</v>
      </c>
      <c r="T20" s="79"/>
      <c r="U20" s="21" t="s">
        <v>24</v>
      </c>
      <c r="V20" s="26">
        <v>1</v>
      </c>
      <c r="W20" s="12" t="s">
        <v>7</v>
      </c>
      <c r="X20" s="32">
        <v>0</v>
      </c>
      <c r="Y20" s="32">
        <v>0</v>
      </c>
      <c r="Z20" s="12">
        <v>1</v>
      </c>
      <c r="AA20" s="32">
        <v>0</v>
      </c>
      <c r="AB20" s="32">
        <v>0</v>
      </c>
      <c r="AC20" s="32">
        <v>0</v>
      </c>
      <c r="AD20" s="73" t="s">
        <v>351</v>
      </c>
      <c r="AE20" s="83"/>
      <c r="AK20" s="31"/>
      <c r="AL20" s="33"/>
      <c r="AM20" s="33"/>
      <c r="AN20" s="49"/>
    </row>
    <row r="21" spans="1:40" x14ac:dyDescent="0.25">
      <c r="A21" s="100" t="s">
        <v>152</v>
      </c>
      <c r="B21" s="101" t="s">
        <v>470</v>
      </c>
      <c r="C21" s="104" t="s">
        <v>523</v>
      </c>
      <c r="D21" s="50">
        <v>0</v>
      </c>
      <c r="E21" s="29" t="s">
        <v>9</v>
      </c>
      <c r="F21" s="88" t="str">
        <f>HYPERLINK("http://ictvonline.org/taxonomyHistory.asp?taxnode_id=20162207","20162207")</f>
        <v>20162207</v>
      </c>
      <c r="G21" s="93">
        <v>1998</v>
      </c>
      <c r="H21" s="88" t="str">
        <f>HYPERLINK("https://www.ncbi.nlm.nih.gov/pubmed/9502467", "9502467")</f>
        <v>9502467</v>
      </c>
      <c r="I21" s="91" t="s">
        <v>453</v>
      </c>
      <c r="J21" s="59">
        <v>0</v>
      </c>
      <c r="K21" s="71" t="s">
        <v>197</v>
      </c>
      <c r="L21" s="71" t="s">
        <v>197</v>
      </c>
      <c r="M21" s="59">
        <v>0</v>
      </c>
      <c r="N21" s="59">
        <v>0</v>
      </c>
      <c r="O21" s="61">
        <v>0</v>
      </c>
      <c r="P21" s="61">
        <v>0</v>
      </c>
      <c r="Q21" s="59">
        <v>0</v>
      </c>
      <c r="R21" s="71" t="s">
        <v>197</v>
      </c>
      <c r="S21" s="81">
        <v>6283714</v>
      </c>
      <c r="T21" s="80"/>
      <c r="U21" s="11">
        <v>2</v>
      </c>
      <c r="V21" s="24">
        <v>0</v>
      </c>
      <c r="W21" s="12" t="s">
        <v>7</v>
      </c>
      <c r="X21" s="32">
        <v>0</v>
      </c>
      <c r="Y21" s="32">
        <v>0</v>
      </c>
      <c r="Z21" s="12">
        <v>1</v>
      </c>
      <c r="AA21" s="57">
        <v>0</v>
      </c>
      <c r="AB21" s="52">
        <v>1</v>
      </c>
      <c r="AC21" s="52">
        <v>1</v>
      </c>
      <c r="AD21" s="84" t="s">
        <v>378</v>
      </c>
      <c r="AE21" s="82"/>
      <c r="AK21" s="31"/>
      <c r="AL21" s="33"/>
      <c r="AM21" s="33"/>
      <c r="AN21" s="49"/>
    </row>
    <row r="22" spans="1:40" x14ac:dyDescent="0.25">
      <c r="A22" s="100" t="s">
        <v>151</v>
      </c>
      <c r="B22" s="101" t="s">
        <v>471</v>
      </c>
      <c r="C22" s="104" t="s">
        <v>524</v>
      </c>
      <c r="D22" s="13">
        <v>1</v>
      </c>
      <c r="E22" s="29" t="s">
        <v>9</v>
      </c>
      <c r="F22" s="88" t="str">
        <f>HYPERLINK("http://ictvonline.org/taxonomyHistory.asp?taxnode_id=20161200","20161200")</f>
        <v>20161200</v>
      </c>
      <c r="G22" s="93">
        <v>2007</v>
      </c>
      <c r="H22" s="88" t="str">
        <f>HYPERLINK("https://www.ncbi.nlm.nih.gov/pubmed/17447647", "17447647")</f>
        <v>17447647</v>
      </c>
      <c r="I22" s="92" t="s">
        <v>454</v>
      </c>
      <c r="J22" s="7">
        <v>0</v>
      </c>
      <c r="K22" s="7">
        <v>0</v>
      </c>
      <c r="L22" s="71" t="s">
        <v>197</v>
      </c>
      <c r="M22" s="7">
        <v>0</v>
      </c>
      <c r="N22" s="7">
        <v>0</v>
      </c>
      <c r="O22" s="9">
        <v>0</v>
      </c>
      <c r="P22" s="9">
        <v>0</v>
      </c>
      <c r="Q22" s="7">
        <v>0</v>
      </c>
      <c r="R22" s="10">
        <v>0</v>
      </c>
      <c r="S22" s="78">
        <v>22320357</v>
      </c>
      <c r="T22" s="79"/>
      <c r="U22" s="11">
        <v>2</v>
      </c>
      <c r="V22" s="24">
        <v>0</v>
      </c>
      <c r="W22" s="12" t="s">
        <v>7</v>
      </c>
      <c r="X22" s="32">
        <v>0</v>
      </c>
      <c r="Y22" s="32">
        <v>0</v>
      </c>
      <c r="Z22" s="12">
        <v>1</v>
      </c>
      <c r="AA22" s="32">
        <v>0</v>
      </c>
      <c r="AB22" s="32">
        <v>0</v>
      </c>
      <c r="AC22" s="32">
        <v>0</v>
      </c>
      <c r="AD22" s="73">
        <v>22320357</v>
      </c>
      <c r="AE22" s="84">
        <v>28549438</v>
      </c>
      <c r="AK22" s="31"/>
      <c r="AL22" s="33"/>
      <c r="AM22" s="33"/>
      <c r="AN22" s="49"/>
    </row>
    <row r="23" spans="1:40" x14ac:dyDescent="0.25">
      <c r="A23" s="100" t="s">
        <v>33</v>
      </c>
      <c r="B23" s="101" t="s">
        <v>471</v>
      </c>
      <c r="C23" s="104" t="s">
        <v>524</v>
      </c>
      <c r="D23" s="13">
        <v>1</v>
      </c>
      <c r="E23" s="29" t="s">
        <v>9</v>
      </c>
      <c r="F23" s="88" t="str">
        <f>HYPERLINK("http://ictvonline.org/taxonomyHistory.asp?taxnode_id=20161203","20161203")</f>
        <v>20161203</v>
      </c>
      <c r="G23" s="93">
        <v>1966</v>
      </c>
      <c r="H23" s="88" t="str">
        <f>HYPERLINK("https://www.ncbi.nlm.nih.gov/pubmed/4285768", "4285768")</f>
        <v>4285768</v>
      </c>
      <c r="I23" s="91" t="s">
        <v>453</v>
      </c>
      <c r="J23" s="7">
        <v>0</v>
      </c>
      <c r="K23" s="17">
        <v>1</v>
      </c>
      <c r="L23" s="8">
        <v>0</v>
      </c>
      <c r="M23" s="7">
        <v>0</v>
      </c>
      <c r="N23" s="7">
        <v>0</v>
      </c>
      <c r="O23" s="17">
        <v>1</v>
      </c>
      <c r="P23" s="9">
        <v>0</v>
      </c>
      <c r="Q23" s="7">
        <v>0</v>
      </c>
      <c r="R23" s="10">
        <v>0</v>
      </c>
      <c r="S23" s="81">
        <v>26556276</v>
      </c>
      <c r="T23" s="79"/>
      <c r="U23" s="27" t="s">
        <v>8</v>
      </c>
      <c r="V23" s="26">
        <v>1</v>
      </c>
      <c r="W23" s="32" t="s">
        <v>150</v>
      </c>
      <c r="X23" s="12">
        <v>1</v>
      </c>
      <c r="Y23" s="32">
        <v>0</v>
      </c>
      <c r="Z23" s="32">
        <v>0</v>
      </c>
      <c r="AA23" s="32">
        <v>0</v>
      </c>
      <c r="AB23" s="32">
        <v>0</v>
      </c>
      <c r="AC23" s="32">
        <v>0</v>
      </c>
      <c r="AD23" s="73" t="s">
        <v>282</v>
      </c>
      <c r="AE23" s="83"/>
      <c r="AK23" s="31"/>
      <c r="AL23" s="33"/>
      <c r="AM23" s="33"/>
      <c r="AN23" s="49"/>
    </row>
    <row r="24" spans="1:40" x14ac:dyDescent="0.25">
      <c r="A24" s="100" t="s">
        <v>35</v>
      </c>
      <c r="B24" s="101" t="s">
        <v>471</v>
      </c>
      <c r="C24" s="104" t="s">
        <v>524</v>
      </c>
      <c r="D24" s="13">
        <v>1</v>
      </c>
      <c r="E24" s="29" t="s">
        <v>9</v>
      </c>
      <c r="F24" s="88" t="str">
        <f>HYPERLINK("http://ictvonline.org/taxonomyHistory.asp?taxnode_id=20161204","20161204")</f>
        <v>20161204</v>
      </c>
      <c r="G24" s="93">
        <v>2004</v>
      </c>
      <c r="H24" s="88" t="str">
        <f>HYPERLINK("https://www.ncbi.nlm.nih.gov/pubmed/15073334", "15073334")</f>
        <v>15073334</v>
      </c>
      <c r="I24" s="91" t="s">
        <v>453</v>
      </c>
      <c r="J24" s="7">
        <v>0</v>
      </c>
      <c r="K24" s="17">
        <v>1</v>
      </c>
      <c r="L24" s="8">
        <v>0</v>
      </c>
      <c r="M24" s="7">
        <v>0</v>
      </c>
      <c r="N24" s="7">
        <v>0</v>
      </c>
      <c r="O24" s="17">
        <v>1</v>
      </c>
      <c r="P24" s="9">
        <v>0</v>
      </c>
      <c r="Q24" s="7">
        <v>0</v>
      </c>
      <c r="R24" s="10">
        <v>0</v>
      </c>
      <c r="S24" s="78" t="s">
        <v>283</v>
      </c>
      <c r="T24" s="79"/>
      <c r="U24" s="27" t="s">
        <v>8</v>
      </c>
      <c r="V24" s="26">
        <v>1</v>
      </c>
      <c r="W24" s="32" t="s">
        <v>150</v>
      </c>
      <c r="X24" s="12">
        <v>1</v>
      </c>
      <c r="Y24" s="32">
        <v>0</v>
      </c>
      <c r="Z24" s="32">
        <v>0</v>
      </c>
      <c r="AA24" s="32">
        <v>0</v>
      </c>
      <c r="AB24" s="32">
        <v>0</v>
      </c>
      <c r="AC24" s="32">
        <v>0</v>
      </c>
      <c r="AD24" s="73" t="s">
        <v>283</v>
      </c>
      <c r="AE24" s="83"/>
      <c r="AK24" s="31"/>
      <c r="AL24" s="33"/>
      <c r="AM24" s="33"/>
      <c r="AN24" s="49"/>
    </row>
    <row r="25" spans="1:40" x14ac:dyDescent="0.25">
      <c r="A25" s="100" t="s">
        <v>95</v>
      </c>
      <c r="B25" s="101" t="s">
        <v>472</v>
      </c>
      <c r="C25" s="104" t="s">
        <v>524</v>
      </c>
      <c r="D25" s="13">
        <v>1</v>
      </c>
      <c r="E25" s="29" t="s">
        <v>9</v>
      </c>
      <c r="F25" s="88" t="str">
        <f>HYPERLINK("http://ictvonline.org/taxonomyHistory.asp?taxnode_id=20161212","20161212")</f>
        <v>20161212</v>
      </c>
      <c r="G25" s="93">
        <v>1967</v>
      </c>
      <c r="H25" s="88" t="str">
        <f>HYPERLINK("https://www.ncbi.nlm.nih.gov/pubmed/5231356", "5231356")</f>
        <v>5231356</v>
      </c>
      <c r="I25" s="91" t="s">
        <v>453</v>
      </c>
      <c r="J25" s="7">
        <v>0</v>
      </c>
      <c r="K25" s="17">
        <v>1</v>
      </c>
      <c r="L25" s="8">
        <v>0</v>
      </c>
      <c r="M25" s="7">
        <v>0</v>
      </c>
      <c r="N25" s="7">
        <v>0</v>
      </c>
      <c r="O25" s="17">
        <v>1</v>
      </c>
      <c r="P25" s="9">
        <v>0</v>
      </c>
      <c r="Q25" s="7">
        <v>0</v>
      </c>
      <c r="R25" s="10">
        <v>0</v>
      </c>
      <c r="S25" s="81">
        <v>28549438</v>
      </c>
      <c r="T25" s="79"/>
      <c r="U25" s="21" t="s">
        <v>24</v>
      </c>
      <c r="V25" s="26">
        <v>1</v>
      </c>
      <c r="W25" s="12" t="s">
        <v>7</v>
      </c>
      <c r="X25" s="32">
        <v>0</v>
      </c>
      <c r="Y25" s="32">
        <v>0</v>
      </c>
      <c r="Z25" s="12">
        <v>1</v>
      </c>
      <c r="AA25" s="32">
        <v>0</v>
      </c>
      <c r="AB25" s="32">
        <v>0</v>
      </c>
      <c r="AC25" s="32">
        <v>0</v>
      </c>
      <c r="AD25" s="73">
        <v>22362949</v>
      </c>
      <c r="AE25" s="84">
        <v>28549438</v>
      </c>
      <c r="AK25" s="31"/>
      <c r="AL25" s="33"/>
      <c r="AM25" s="33"/>
      <c r="AN25" s="33"/>
    </row>
    <row r="26" spans="1:40" x14ac:dyDescent="0.25">
      <c r="A26" s="100" t="s">
        <v>34</v>
      </c>
      <c r="B26" s="101" t="s">
        <v>472</v>
      </c>
      <c r="C26" s="104" t="s">
        <v>524</v>
      </c>
      <c r="D26" s="13">
        <v>1</v>
      </c>
      <c r="E26" s="29" t="s">
        <v>9</v>
      </c>
      <c r="F26" s="88" t="str">
        <f>HYPERLINK("http://ictvonline.org/taxonomyHistory.asp?taxnode_id=20161214","20161214")</f>
        <v>20161214</v>
      </c>
      <c r="G26" s="93">
        <v>2005</v>
      </c>
      <c r="H26" s="88" t="str">
        <f>HYPERLINK("https://www.ncbi.nlm.nih.gov/pubmed/15613317", "15613317")</f>
        <v>15613317</v>
      </c>
      <c r="I26" s="91" t="s">
        <v>453</v>
      </c>
      <c r="J26" s="7">
        <v>0</v>
      </c>
      <c r="K26" s="17">
        <v>1</v>
      </c>
      <c r="L26" s="8">
        <v>0</v>
      </c>
      <c r="M26" s="7">
        <v>0</v>
      </c>
      <c r="N26" s="7">
        <v>0</v>
      </c>
      <c r="O26" s="17">
        <v>1</v>
      </c>
      <c r="P26" s="9">
        <v>0</v>
      </c>
      <c r="Q26" s="7">
        <v>0</v>
      </c>
      <c r="R26" s="10">
        <v>0</v>
      </c>
      <c r="S26" s="78" t="s">
        <v>284</v>
      </c>
      <c r="T26" s="79"/>
      <c r="U26" s="27" t="s">
        <v>8</v>
      </c>
      <c r="V26" s="26">
        <v>1</v>
      </c>
      <c r="W26" s="32" t="s">
        <v>150</v>
      </c>
      <c r="X26" s="12">
        <v>1</v>
      </c>
      <c r="Y26" s="32">
        <v>0</v>
      </c>
      <c r="Z26" s="32">
        <v>0</v>
      </c>
      <c r="AA26" s="32">
        <v>0</v>
      </c>
      <c r="AB26" s="32">
        <v>0</v>
      </c>
      <c r="AC26" s="32">
        <v>0</v>
      </c>
      <c r="AD26" s="73" t="s">
        <v>284</v>
      </c>
      <c r="AE26" s="83"/>
      <c r="AK26" s="31"/>
      <c r="AL26" s="33"/>
      <c r="AM26" s="33"/>
    </row>
    <row r="27" spans="1:40" x14ac:dyDescent="0.25">
      <c r="A27" s="101" t="s">
        <v>195</v>
      </c>
      <c r="B27" s="101" t="s">
        <v>472</v>
      </c>
      <c r="C27" s="104" t="s">
        <v>524</v>
      </c>
      <c r="D27" s="13">
        <v>1</v>
      </c>
      <c r="E27" s="29" t="s">
        <v>9</v>
      </c>
      <c r="F27" s="88" t="str">
        <f>HYPERLINK("http://ictvonline.org/taxonomyHistory.asp?taxnode_id=20161215","20161215")</f>
        <v>20161215</v>
      </c>
      <c r="G27" s="93">
        <v>2012</v>
      </c>
      <c r="H27" s="88" t="str">
        <f>HYPERLINK("https://www.ncbi.nlm.nih.gov/pubmed/23075143", "23075143")</f>
        <v>23075143</v>
      </c>
      <c r="I27" s="91" t="s">
        <v>453</v>
      </c>
      <c r="J27" s="7">
        <v>0</v>
      </c>
      <c r="K27" s="15">
        <v>1</v>
      </c>
      <c r="L27" s="67">
        <v>0</v>
      </c>
      <c r="M27" s="7">
        <v>0</v>
      </c>
      <c r="N27" s="7">
        <v>0</v>
      </c>
      <c r="O27" s="67">
        <v>0</v>
      </c>
      <c r="P27" s="9">
        <v>0</v>
      </c>
      <c r="Q27" s="9">
        <v>0</v>
      </c>
      <c r="R27" s="18">
        <v>1</v>
      </c>
      <c r="S27" s="78" t="s">
        <v>385</v>
      </c>
      <c r="T27" s="79"/>
      <c r="U27" s="63">
        <v>3</v>
      </c>
      <c r="V27" s="26">
        <v>1</v>
      </c>
      <c r="W27" s="12" t="s">
        <v>7</v>
      </c>
      <c r="X27" s="32">
        <v>0</v>
      </c>
      <c r="Y27" s="32">
        <v>0</v>
      </c>
      <c r="Z27" s="12">
        <v>1</v>
      </c>
      <c r="AA27" s="32">
        <v>0</v>
      </c>
      <c r="AB27" s="32">
        <v>0</v>
      </c>
      <c r="AC27" s="32">
        <v>0</v>
      </c>
      <c r="AD27" s="73" t="s">
        <v>385</v>
      </c>
      <c r="AE27" s="83"/>
      <c r="AK27" s="31"/>
      <c r="AL27" s="33"/>
      <c r="AM27" s="33"/>
    </row>
    <row r="28" spans="1:40" x14ac:dyDescent="0.25">
      <c r="A28" s="100" t="s">
        <v>148</v>
      </c>
      <c r="B28" s="101" t="s">
        <v>472</v>
      </c>
      <c r="C28" s="104" t="s">
        <v>524</v>
      </c>
      <c r="D28" s="13">
        <v>1</v>
      </c>
      <c r="E28" s="29" t="s">
        <v>9</v>
      </c>
      <c r="F28" s="88" t="str">
        <f>HYPERLINK("http://ictvonline.org/taxonomyHistory.asp?taxnode_id=20161219","20161219")</f>
        <v>20161219</v>
      </c>
      <c r="G28" s="93">
        <v>2003</v>
      </c>
      <c r="H28" s="88" t="str">
        <f>HYPERLINK("https://www.ncbi.nlm.nih.gov/pubmed/12711465", "12711465")</f>
        <v>12711465</v>
      </c>
      <c r="I28" s="91" t="s">
        <v>453</v>
      </c>
      <c r="J28" s="7">
        <v>0</v>
      </c>
      <c r="K28" s="17">
        <v>1</v>
      </c>
      <c r="L28" s="8">
        <v>0</v>
      </c>
      <c r="M28" s="7">
        <v>0</v>
      </c>
      <c r="N28" s="7">
        <v>0</v>
      </c>
      <c r="O28" s="9">
        <v>0</v>
      </c>
      <c r="P28" s="9">
        <v>0</v>
      </c>
      <c r="Q28" s="7">
        <v>0</v>
      </c>
      <c r="R28" s="10">
        <v>0</v>
      </c>
      <c r="S28" s="81">
        <v>15018126</v>
      </c>
      <c r="T28" s="79"/>
      <c r="U28" s="26" t="s">
        <v>24</v>
      </c>
      <c r="V28" s="26">
        <v>1</v>
      </c>
      <c r="W28" s="12" t="s">
        <v>7</v>
      </c>
      <c r="X28" s="32">
        <v>0</v>
      </c>
      <c r="Y28" s="32">
        <v>0</v>
      </c>
      <c r="Z28" s="12">
        <v>1</v>
      </c>
      <c r="AA28" s="32">
        <v>0</v>
      </c>
      <c r="AB28" s="32">
        <v>0</v>
      </c>
      <c r="AC28" s="32">
        <v>0</v>
      </c>
      <c r="AD28" s="73" t="s">
        <v>352</v>
      </c>
      <c r="AE28" s="83"/>
      <c r="AK28" s="31"/>
      <c r="AL28" s="33"/>
      <c r="AM28" s="33"/>
    </row>
    <row r="29" spans="1:40" x14ac:dyDescent="0.25">
      <c r="A29" s="100" t="s">
        <v>42</v>
      </c>
      <c r="B29" s="101" t="s">
        <v>473</v>
      </c>
      <c r="C29" s="104" t="s">
        <v>524</v>
      </c>
      <c r="D29" s="13">
        <v>1</v>
      </c>
      <c r="E29" s="29" t="s">
        <v>9</v>
      </c>
      <c r="F29" s="88" t="str">
        <f>HYPERLINK("http://ictvonline.org/taxonomyHistory.asp?taxnode_id=20161240","20161240")</f>
        <v>20161240</v>
      </c>
      <c r="G29" s="93">
        <v>1984</v>
      </c>
      <c r="H29" s="88" t="str">
        <f>HYPERLINK("https://www.ncbi.nlm.nih.gov/pubmed/6143978", "6143978")</f>
        <v>6143978</v>
      </c>
      <c r="I29" s="91" t="s">
        <v>453</v>
      </c>
      <c r="J29" s="7">
        <v>0</v>
      </c>
      <c r="K29" s="7">
        <v>0</v>
      </c>
      <c r="L29" s="17">
        <v>1</v>
      </c>
      <c r="M29" s="7">
        <v>0</v>
      </c>
      <c r="N29" s="7">
        <v>0</v>
      </c>
      <c r="O29" s="9">
        <v>0</v>
      </c>
      <c r="P29" s="9">
        <v>0</v>
      </c>
      <c r="Q29" s="7">
        <v>0</v>
      </c>
      <c r="R29" s="10">
        <v>0</v>
      </c>
      <c r="S29" s="78" t="s">
        <v>288</v>
      </c>
      <c r="T29" s="79"/>
      <c r="U29" s="27" t="s">
        <v>8</v>
      </c>
      <c r="V29" s="26">
        <v>1</v>
      </c>
      <c r="W29" s="32" t="s">
        <v>150</v>
      </c>
      <c r="X29" s="12">
        <v>1</v>
      </c>
      <c r="Y29" s="32">
        <v>0</v>
      </c>
      <c r="Z29" s="32">
        <v>0</v>
      </c>
      <c r="AA29" s="32">
        <v>0</v>
      </c>
      <c r="AB29" s="32">
        <v>0</v>
      </c>
      <c r="AC29" s="32">
        <v>0</v>
      </c>
      <c r="AD29" s="73" t="s">
        <v>288</v>
      </c>
      <c r="AE29" s="83"/>
      <c r="AK29" s="31"/>
      <c r="AL29" s="33"/>
      <c r="AM29" s="33"/>
    </row>
    <row r="30" spans="1:40" x14ac:dyDescent="0.25">
      <c r="A30" s="101" t="s">
        <v>20</v>
      </c>
      <c r="B30" s="104" t="s">
        <v>474</v>
      </c>
      <c r="C30" s="104" t="s">
        <v>525</v>
      </c>
      <c r="D30" s="13">
        <v>1</v>
      </c>
      <c r="E30" s="28" t="s">
        <v>10</v>
      </c>
      <c r="F30" s="88" t="str">
        <f>HYPERLINK("http://ictvonline.org/taxonomyHistory.asp?taxnode_id=20160996","20160996")</f>
        <v>20160996</v>
      </c>
      <c r="G30" s="94">
        <v>2008</v>
      </c>
      <c r="H30" s="88" t="str">
        <f>HYPERLINK("https://www.ncbi.nlm.nih.gov/pubmed/19023410", "19023410")</f>
        <v>19023410</v>
      </c>
      <c r="I30" s="91" t="s">
        <v>453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17">
        <v>1</v>
      </c>
      <c r="Q30" s="7">
        <v>0</v>
      </c>
      <c r="R30" s="18">
        <v>1</v>
      </c>
      <c r="S30" s="78" t="s">
        <v>397</v>
      </c>
      <c r="T30" s="79"/>
      <c r="U30" s="35">
        <v>3</v>
      </c>
      <c r="V30" s="21">
        <v>1</v>
      </c>
      <c r="W30" s="52" t="s">
        <v>7</v>
      </c>
      <c r="X30" s="55">
        <v>0</v>
      </c>
      <c r="Y30" s="55">
        <v>0</v>
      </c>
      <c r="Z30" s="56">
        <v>1</v>
      </c>
      <c r="AA30" s="55">
        <v>0</v>
      </c>
      <c r="AB30" s="55">
        <v>0</v>
      </c>
      <c r="AC30" s="55">
        <v>0</v>
      </c>
      <c r="AD30" s="73" t="s">
        <v>397</v>
      </c>
      <c r="AE30" s="82"/>
      <c r="AK30" s="31"/>
      <c r="AL30" s="33"/>
      <c r="AM30" s="33"/>
      <c r="AN30" s="33"/>
    </row>
    <row r="31" spans="1:40" x14ac:dyDescent="0.25">
      <c r="A31" s="100" t="s">
        <v>64</v>
      </c>
      <c r="B31" s="101" t="s">
        <v>474</v>
      </c>
      <c r="C31" s="104" t="s">
        <v>525</v>
      </c>
      <c r="D31" s="13">
        <v>1</v>
      </c>
      <c r="E31" s="29" t="s">
        <v>10</v>
      </c>
      <c r="F31" s="88" t="str">
        <f>HYPERLINK("http://ictvonline.org/taxonomyHistory.asp?taxnode_id=20160997","20160997")</f>
        <v>20160997</v>
      </c>
      <c r="G31" s="93">
        <v>1991</v>
      </c>
      <c r="H31" s="88" t="str">
        <f>HYPERLINK("https://www.ncbi.nlm.nih.gov/pubmed/1671441", "1671441")</f>
        <v>1671441</v>
      </c>
      <c r="I31" s="91" t="s">
        <v>453</v>
      </c>
      <c r="J31" s="7">
        <v>0</v>
      </c>
      <c r="K31" s="7">
        <v>0</v>
      </c>
      <c r="L31" s="8">
        <v>0</v>
      </c>
      <c r="M31" s="7">
        <v>0</v>
      </c>
      <c r="N31" s="7">
        <v>0</v>
      </c>
      <c r="O31" s="9">
        <v>0</v>
      </c>
      <c r="P31" s="17">
        <v>1</v>
      </c>
      <c r="Q31" s="7">
        <v>0</v>
      </c>
      <c r="R31" s="18">
        <v>1</v>
      </c>
      <c r="S31" s="81">
        <v>10024977</v>
      </c>
      <c r="T31" s="79"/>
      <c r="U31" s="24">
        <v>2</v>
      </c>
      <c r="V31" s="24">
        <v>0</v>
      </c>
      <c r="W31" s="12" t="s">
        <v>7</v>
      </c>
      <c r="X31" s="32">
        <v>0</v>
      </c>
      <c r="Y31" s="12">
        <v>1</v>
      </c>
      <c r="Z31" s="12">
        <v>1</v>
      </c>
      <c r="AA31" s="32">
        <v>0</v>
      </c>
      <c r="AB31" s="32">
        <v>0</v>
      </c>
      <c r="AC31" s="32">
        <v>0</v>
      </c>
      <c r="AD31" s="73" t="s">
        <v>338</v>
      </c>
      <c r="AE31" s="73" t="s">
        <v>314</v>
      </c>
      <c r="AK31" s="31"/>
      <c r="AL31" s="33"/>
      <c r="AM31" s="33"/>
    </row>
    <row r="32" spans="1:40" x14ac:dyDescent="0.25">
      <c r="A32" s="100" t="s">
        <v>75</v>
      </c>
      <c r="B32" s="101" t="s">
        <v>474</v>
      </c>
      <c r="C32" s="104" t="s">
        <v>525</v>
      </c>
      <c r="D32" s="13">
        <v>1</v>
      </c>
      <c r="E32" s="29" t="s">
        <v>10</v>
      </c>
      <c r="F32" s="88" t="str">
        <f>HYPERLINK("http://ictvonline.org/taxonomyHistory.asp?taxnode_id=20160998","20160998")</f>
        <v>20160998</v>
      </c>
      <c r="G32" s="93">
        <v>1977</v>
      </c>
      <c r="H32" s="88" t="str">
        <f>HYPERLINK("https://www.ncbi.nlm.nih.gov/pubmed/65662", "65662")</f>
        <v>65662</v>
      </c>
      <c r="I32" s="91" t="s">
        <v>453</v>
      </c>
      <c r="J32" s="7">
        <v>0</v>
      </c>
      <c r="K32" s="7">
        <v>0</v>
      </c>
      <c r="L32" s="8">
        <v>0</v>
      </c>
      <c r="M32" s="7">
        <v>0</v>
      </c>
      <c r="N32" s="7">
        <v>0</v>
      </c>
      <c r="O32" s="17">
        <v>1</v>
      </c>
      <c r="P32" s="17">
        <v>1</v>
      </c>
      <c r="Q32" s="7">
        <v>0</v>
      </c>
      <c r="R32" s="18">
        <v>1</v>
      </c>
      <c r="S32" s="78" t="s">
        <v>314</v>
      </c>
      <c r="T32" s="79"/>
      <c r="U32" s="25">
        <v>3</v>
      </c>
      <c r="V32" s="26">
        <v>1</v>
      </c>
      <c r="W32" s="12" t="s">
        <v>7</v>
      </c>
      <c r="X32" s="32">
        <v>0</v>
      </c>
      <c r="Y32" s="12">
        <v>1</v>
      </c>
      <c r="Z32" s="12">
        <v>1</v>
      </c>
      <c r="AA32" s="32">
        <v>0</v>
      </c>
      <c r="AB32" s="32">
        <v>0</v>
      </c>
      <c r="AC32" s="32">
        <v>0</v>
      </c>
      <c r="AD32" s="73" t="s">
        <v>314</v>
      </c>
      <c r="AE32" s="73" t="s">
        <v>359</v>
      </c>
      <c r="AK32" s="29"/>
      <c r="AL32" s="33"/>
      <c r="AM32" s="33"/>
    </row>
    <row r="33" spans="1:40" x14ac:dyDescent="0.25">
      <c r="A33" s="100" t="s">
        <v>76</v>
      </c>
      <c r="B33" s="101" t="s">
        <v>474</v>
      </c>
      <c r="C33" s="104" t="s">
        <v>525</v>
      </c>
      <c r="D33" s="13">
        <v>1</v>
      </c>
      <c r="E33" s="29" t="s">
        <v>10</v>
      </c>
      <c r="F33" s="88" t="str">
        <f>HYPERLINK("http://ictvonline.org/taxonomyHistory.asp?taxnode_id=20160999","20160999")</f>
        <v>20160999</v>
      </c>
      <c r="G33" s="93">
        <v>1995</v>
      </c>
      <c r="H33" s="88" t="str">
        <f>HYPERLINK("https://www.ncbi.nlm.nih.gov/pubmed/7746057", "7746057")</f>
        <v>7746057</v>
      </c>
      <c r="I33" s="91" t="s">
        <v>453</v>
      </c>
      <c r="J33" s="7">
        <v>0</v>
      </c>
      <c r="K33" s="7">
        <v>0</v>
      </c>
      <c r="L33" s="8">
        <v>0</v>
      </c>
      <c r="M33" s="7">
        <v>0</v>
      </c>
      <c r="N33" s="7">
        <v>0</v>
      </c>
      <c r="O33" s="17">
        <v>1</v>
      </c>
      <c r="P33" s="17">
        <v>1</v>
      </c>
      <c r="Q33" s="7">
        <v>0</v>
      </c>
      <c r="R33" s="18">
        <v>1</v>
      </c>
      <c r="S33" s="78" t="s">
        <v>314</v>
      </c>
      <c r="T33" s="79"/>
      <c r="U33" s="24">
        <v>2</v>
      </c>
      <c r="V33" s="24">
        <v>0</v>
      </c>
      <c r="W33" s="12" t="s">
        <v>7</v>
      </c>
      <c r="X33" s="32">
        <v>0</v>
      </c>
      <c r="Y33" s="12">
        <v>1</v>
      </c>
      <c r="Z33" s="12">
        <v>1</v>
      </c>
      <c r="AA33" s="32">
        <v>0</v>
      </c>
      <c r="AB33" s="32">
        <v>0</v>
      </c>
      <c r="AC33" s="32">
        <v>0</v>
      </c>
      <c r="AD33" s="73" t="s">
        <v>314</v>
      </c>
      <c r="AE33" s="73" t="s">
        <v>359</v>
      </c>
      <c r="AK33" s="31"/>
      <c r="AL33" s="33"/>
      <c r="AM33" s="33"/>
    </row>
    <row r="34" spans="1:40" x14ac:dyDescent="0.25">
      <c r="A34" s="100" t="s">
        <v>116</v>
      </c>
      <c r="B34" s="101" t="s">
        <v>474</v>
      </c>
      <c r="C34" s="104" t="s">
        <v>525</v>
      </c>
      <c r="D34" s="13">
        <v>1</v>
      </c>
      <c r="E34" s="29" t="s">
        <v>10</v>
      </c>
      <c r="F34" s="88" t="str">
        <f>HYPERLINK("http://ictvonline.org/taxonomyHistory.asp?taxnode_id=20161000","20161000")</f>
        <v>20161000</v>
      </c>
      <c r="G34" s="93">
        <v>1977</v>
      </c>
      <c r="H34" s="88" t="str">
        <f>HYPERLINK("https://www.ncbi.nlm.nih.gov/pubmed/65661", "65661")</f>
        <v>65661</v>
      </c>
      <c r="I34" s="91" t="s">
        <v>453</v>
      </c>
      <c r="J34" s="7">
        <v>0</v>
      </c>
      <c r="K34" s="7">
        <v>0</v>
      </c>
      <c r="L34" s="8">
        <v>0</v>
      </c>
      <c r="M34" s="15">
        <v>1</v>
      </c>
      <c r="N34" s="7">
        <v>0</v>
      </c>
      <c r="O34" s="15">
        <v>1</v>
      </c>
      <c r="P34" s="15">
        <v>1</v>
      </c>
      <c r="Q34" s="15">
        <v>1</v>
      </c>
      <c r="R34" s="16">
        <v>1</v>
      </c>
      <c r="S34" s="78" t="s">
        <v>314</v>
      </c>
      <c r="T34" s="79"/>
      <c r="U34" s="26" t="s">
        <v>24</v>
      </c>
      <c r="V34" s="26">
        <v>1</v>
      </c>
      <c r="W34" s="12" t="s">
        <v>7</v>
      </c>
      <c r="X34" s="32">
        <v>0</v>
      </c>
      <c r="Y34" s="12">
        <v>1</v>
      </c>
      <c r="Z34" s="12">
        <v>1</v>
      </c>
      <c r="AA34" s="32">
        <v>0</v>
      </c>
      <c r="AB34" s="32">
        <v>0</v>
      </c>
      <c r="AC34" s="32">
        <v>0</v>
      </c>
      <c r="AD34" s="73" t="s">
        <v>314</v>
      </c>
      <c r="AE34" s="73" t="s">
        <v>359</v>
      </c>
      <c r="AK34" s="31"/>
      <c r="AL34" s="33"/>
      <c r="AM34" s="33"/>
    </row>
    <row r="35" spans="1:40" x14ac:dyDescent="0.25">
      <c r="A35" s="100" t="s">
        <v>132</v>
      </c>
      <c r="B35" s="101" t="s">
        <v>475</v>
      </c>
      <c r="C35" s="104" t="s">
        <v>525</v>
      </c>
      <c r="D35" s="13">
        <v>1</v>
      </c>
      <c r="E35" s="29" t="s">
        <v>10</v>
      </c>
      <c r="F35" s="88" t="str">
        <f>HYPERLINK("http://ictvonline.org/taxonomyHistory.asp?taxnode_id=20161002","20161002")</f>
        <v>20161002</v>
      </c>
      <c r="G35" s="93">
        <v>1968</v>
      </c>
      <c r="H35" s="88" t="str">
        <f>HYPERLINK("https://www.ncbi.nlm.nih.gov/pubmed/4974179", "4974179")</f>
        <v>4974179</v>
      </c>
      <c r="I35" s="91" t="s">
        <v>453</v>
      </c>
      <c r="J35" s="7">
        <v>0</v>
      </c>
      <c r="K35" s="7">
        <v>0</v>
      </c>
      <c r="L35" s="8">
        <v>0</v>
      </c>
      <c r="M35" s="17">
        <v>1</v>
      </c>
      <c r="N35" s="7">
        <v>0</v>
      </c>
      <c r="O35" s="17">
        <v>1</v>
      </c>
      <c r="P35" s="17">
        <v>1</v>
      </c>
      <c r="Q35" s="17">
        <v>1</v>
      </c>
      <c r="R35" s="18">
        <v>1</v>
      </c>
      <c r="S35" s="78" t="s">
        <v>314</v>
      </c>
      <c r="T35" s="78"/>
      <c r="U35" s="25">
        <v>3</v>
      </c>
      <c r="V35" s="26">
        <v>1</v>
      </c>
      <c r="W35" s="12" t="s">
        <v>7</v>
      </c>
      <c r="X35" s="32">
        <v>0</v>
      </c>
      <c r="Y35" s="12">
        <v>1</v>
      </c>
      <c r="Z35" s="12">
        <v>1</v>
      </c>
      <c r="AA35" s="32">
        <v>0</v>
      </c>
      <c r="AB35" s="32">
        <v>0</v>
      </c>
      <c r="AC35" s="32">
        <v>0</v>
      </c>
      <c r="AD35" s="73" t="s">
        <v>314</v>
      </c>
      <c r="AE35" s="84" t="s">
        <v>315</v>
      </c>
      <c r="AK35" s="31"/>
      <c r="AL35" s="33"/>
      <c r="AM35" s="33"/>
    </row>
    <row r="36" spans="1:40" x14ac:dyDescent="0.25">
      <c r="A36" s="100" t="s">
        <v>11</v>
      </c>
      <c r="B36" s="101" t="s">
        <v>476</v>
      </c>
      <c r="C36" s="104" t="s">
        <v>526</v>
      </c>
      <c r="D36" s="13">
        <v>1</v>
      </c>
      <c r="E36" s="29" t="s">
        <v>9</v>
      </c>
      <c r="F36" s="88" t="str">
        <f>HYPERLINK("http://ictvonline.org/taxonomyHistory.asp?taxnode_id=20162428","20162428")</f>
        <v>20162428</v>
      </c>
      <c r="G36" s="93">
        <v>1971</v>
      </c>
      <c r="H36" s="88" t="str">
        <f>HYPERLINK("https://www.ncbi.nlm.nih.gov/pubmed/5107116", "5107116")</f>
        <v>5107116</v>
      </c>
      <c r="I36" s="91" t="s">
        <v>453</v>
      </c>
      <c r="J36" s="15">
        <v>1</v>
      </c>
      <c r="K36" s="7">
        <v>0</v>
      </c>
      <c r="L36" s="8">
        <v>0</v>
      </c>
      <c r="M36" s="7">
        <v>0</v>
      </c>
      <c r="N36" s="7">
        <v>0</v>
      </c>
      <c r="O36" s="9">
        <v>0</v>
      </c>
      <c r="P36" s="9">
        <v>0</v>
      </c>
      <c r="Q36" s="7">
        <v>0</v>
      </c>
      <c r="R36" s="10">
        <v>0</v>
      </c>
      <c r="S36" s="81">
        <v>6293325</v>
      </c>
      <c r="T36" s="79"/>
      <c r="U36" s="24">
        <v>2</v>
      </c>
      <c r="V36" s="24">
        <v>0</v>
      </c>
      <c r="W36" s="12" t="s">
        <v>7</v>
      </c>
      <c r="X36" s="32">
        <v>0</v>
      </c>
      <c r="Y36" s="32">
        <v>0</v>
      </c>
      <c r="Z36" s="12">
        <v>1</v>
      </c>
      <c r="AA36" s="32">
        <v>0</v>
      </c>
      <c r="AB36" s="32">
        <v>0</v>
      </c>
      <c r="AC36" s="32">
        <v>0</v>
      </c>
      <c r="AD36" s="84">
        <v>6293325</v>
      </c>
      <c r="AE36" s="83"/>
      <c r="AK36" s="31"/>
      <c r="AL36" s="33"/>
      <c r="AM36" s="33"/>
    </row>
    <row r="37" spans="1:40" x14ac:dyDescent="0.25">
      <c r="A37" s="99" t="s">
        <v>102</v>
      </c>
      <c r="B37" s="104" t="s">
        <v>476</v>
      </c>
      <c r="C37" s="104" t="s">
        <v>526</v>
      </c>
      <c r="D37" s="13">
        <v>1</v>
      </c>
      <c r="E37" s="49" t="s">
        <v>9</v>
      </c>
      <c r="F37" s="88" t="str">
        <f>HYPERLINK("http://ictvonline.org/taxonomyHistory.asp?taxnode_id=20162429","20162429")</f>
        <v>20162429</v>
      </c>
      <c r="G37" s="93">
        <v>2009</v>
      </c>
      <c r="H37" s="88" t="str">
        <f>HYPERLINK("https://www.ncbi.nlm.nih.gov/pubmed/19570951", "19570951")</f>
        <v>19570951</v>
      </c>
      <c r="I37" s="92" t="s">
        <v>454</v>
      </c>
      <c r="J37" s="15">
        <v>1</v>
      </c>
      <c r="K37" s="7">
        <v>0</v>
      </c>
      <c r="L37" s="8">
        <v>0</v>
      </c>
      <c r="M37" s="7">
        <v>0</v>
      </c>
      <c r="N37" s="7">
        <v>0</v>
      </c>
      <c r="O37" s="9">
        <v>0</v>
      </c>
      <c r="P37" s="9">
        <v>0</v>
      </c>
      <c r="Q37" s="7">
        <v>0</v>
      </c>
      <c r="R37" s="10">
        <v>0</v>
      </c>
      <c r="S37" s="81">
        <v>24056604</v>
      </c>
      <c r="T37" s="79"/>
      <c r="U37" s="24">
        <v>2</v>
      </c>
      <c r="V37" s="24">
        <v>0</v>
      </c>
      <c r="W37" s="12" t="s">
        <v>7</v>
      </c>
      <c r="X37" s="32">
        <v>0</v>
      </c>
      <c r="Y37" s="32">
        <v>0</v>
      </c>
      <c r="Z37" s="32">
        <v>0</v>
      </c>
      <c r="AA37" s="12">
        <v>1</v>
      </c>
      <c r="AB37" s="32">
        <v>0</v>
      </c>
      <c r="AC37" s="32">
        <v>0</v>
      </c>
      <c r="AD37" s="73">
        <v>22486922</v>
      </c>
      <c r="AE37" s="83"/>
      <c r="AK37" s="31"/>
      <c r="AL37" s="33"/>
      <c r="AM37" s="33"/>
      <c r="AN37" s="33"/>
    </row>
    <row r="38" spans="1:40" x14ac:dyDescent="0.25">
      <c r="A38" s="100" t="s">
        <v>17</v>
      </c>
      <c r="B38" s="101" t="s">
        <v>476</v>
      </c>
      <c r="C38" s="104" t="s">
        <v>526</v>
      </c>
      <c r="D38" s="13">
        <v>1</v>
      </c>
      <c r="E38" s="29" t="s">
        <v>9</v>
      </c>
      <c r="F38" s="88" t="str">
        <f>HYPERLINK("http://ictvonline.org/taxonomyHistory.asp?taxnode_id=20162430","20162430")</f>
        <v>20162430</v>
      </c>
      <c r="G38" s="93">
        <v>1959</v>
      </c>
      <c r="H38" s="88" t="str">
        <f>HYPERLINK("https://www.ncbi.nlm.nih.gov/pubmed/13832180", "13832180")</f>
        <v>13832180</v>
      </c>
      <c r="I38" s="91" t="s">
        <v>453</v>
      </c>
      <c r="J38" s="15">
        <v>1</v>
      </c>
      <c r="K38" s="7">
        <v>0</v>
      </c>
      <c r="L38" s="8">
        <v>0</v>
      </c>
      <c r="M38" s="7">
        <v>0</v>
      </c>
      <c r="N38" s="7">
        <v>0</v>
      </c>
      <c r="O38" s="9">
        <v>0</v>
      </c>
      <c r="P38" s="9">
        <v>0</v>
      </c>
      <c r="Q38" s="7">
        <v>0</v>
      </c>
      <c r="R38" s="10">
        <v>0</v>
      </c>
      <c r="S38" s="81">
        <v>6261449</v>
      </c>
      <c r="T38" s="79"/>
      <c r="U38" s="24">
        <v>2</v>
      </c>
      <c r="V38" s="24">
        <v>0</v>
      </c>
      <c r="W38" s="12" t="s">
        <v>7</v>
      </c>
      <c r="X38" s="32">
        <v>0</v>
      </c>
      <c r="Y38" s="32">
        <v>0</v>
      </c>
      <c r="Z38" s="12">
        <v>1</v>
      </c>
      <c r="AA38" s="32">
        <v>0</v>
      </c>
      <c r="AB38" s="32">
        <v>0</v>
      </c>
      <c r="AC38" s="32">
        <v>0</v>
      </c>
      <c r="AD38" s="73">
        <v>6300226</v>
      </c>
      <c r="AE38" s="83"/>
      <c r="AK38" s="31"/>
      <c r="AL38" s="33"/>
      <c r="AM38" s="33"/>
      <c r="AN38" s="33"/>
    </row>
    <row r="39" spans="1:40" x14ac:dyDescent="0.25">
      <c r="A39" s="102" t="s">
        <v>113</v>
      </c>
      <c r="B39" s="107" t="s">
        <v>476</v>
      </c>
      <c r="C39" s="104" t="s">
        <v>526</v>
      </c>
      <c r="D39" s="13">
        <v>1</v>
      </c>
      <c r="E39" s="49" t="s">
        <v>9</v>
      </c>
      <c r="F39" s="88" t="str">
        <f>HYPERLINK("http://ictvonline.org/taxonomyHistory.asp?taxnode_id=20162433","20162433")</f>
        <v>20162433</v>
      </c>
      <c r="G39" s="93">
        <v>2011</v>
      </c>
      <c r="H39" s="88" t="str">
        <f>HYPERLINK("https://www.ncbi.nlm.nih.gov/pubmed/21860907", "21860907")</f>
        <v>21860907</v>
      </c>
      <c r="I39" s="91" t="s">
        <v>453</v>
      </c>
      <c r="J39" s="15">
        <v>1</v>
      </c>
      <c r="K39" s="7">
        <v>0</v>
      </c>
      <c r="L39" s="7">
        <v>0</v>
      </c>
      <c r="M39" s="7">
        <v>0</v>
      </c>
      <c r="N39" s="7">
        <v>0</v>
      </c>
      <c r="O39" s="9">
        <v>0</v>
      </c>
      <c r="P39" s="9">
        <v>0</v>
      </c>
      <c r="Q39" s="7">
        <v>0</v>
      </c>
      <c r="R39" s="10">
        <v>0</v>
      </c>
      <c r="S39" s="78" t="s">
        <v>398</v>
      </c>
      <c r="T39" s="79"/>
      <c r="U39" s="24">
        <v>2</v>
      </c>
      <c r="V39" s="24">
        <v>0</v>
      </c>
      <c r="W39" s="51" t="s">
        <v>7</v>
      </c>
      <c r="X39" s="41">
        <v>0</v>
      </c>
      <c r="Y39" s="41">
        <v>0</v>
      </c>
      <c r="Z39" s="12">
        <v>1</v>
      </c>
      <c r="AA39" s="12">
        <v>1</v>
      </c>
      <c r="AB39" s="32">
        <v>0</v>
      </c>
      <c r="AC39" s="32">
        <v>0</v>
      </c>
      <c r="AD39" s="73" t="s">
        <v>398</v>
      </c>
      <c r="AE39" s="73">
        <v>11113383</v>
      </c>
      <c r="AK39" s="31"/>
      <c r="AL39" s="33"/>
      <c r="AM39" s="33"/>
      <c r="AN39" s="33"/>
    </row>
    <row r="40" spans="1:40" x14ac:dyDescent="0.25">
      <c r="A40" s="100" t="s">
        <v>23</v>
      </c>
      <c r="B40" s="101" t="s">
        <v>476</v>
      </c>
      <c r="C40" s="104" t="s">
        <v>526</v>
      </c>
      <c r="D40" s="13">
        <v>1</v>
      </c>
      <c r="E40" s="29" t="s">
        <v>9</v>
      </c>
      <c r="F40" s="88" t="str">
        <f>HYPERLINK("http://ictvonline.org/taxonomyHistory.asp?taxnode_id=20162437","20162437")</f>
        <v>20162437</v>
      </c>
      <c r="G40" s="93">
        <v>1907</v>
      </c>
      <c r="H40" s="88" t="str">
        <f>HYPERLINK("https://academic.oup.com/jid/article-abstract/4/3/440/2193098", "Available from external site")</f>
        <v>Available from external site</v>
      </c>
      <c r="I40" s="91" t="s">
        <v>453</v>
      </c>
      <c r="J40" s="15">
        <v>1</v>
      </c>
      <c r="K40" s="7">
        <v>0</v>
      </c>
      <c r="L40" s="8">
        <v>0</v>
      </c>
      <c r="M40" s="7">
        <v>0</v>
      </c>
      <c r="N40" s="7">
        <v>0</v>
      </c>
      <c r="O40" s="9">
        <v>0</v>
      </c>
      <c r="P40" s="9">
        <v>0</v>
      </c>
      <c r="Q40" s="15">
        <v>1</v>
      </c>
      <c r="R40" s="10">
        <v>0</v>
      </c>
      <c r="S40" s="78" t="s">
        <v>434</v>
      </c>
      <c r="T40" s="79"/>
      <c r="U40" s="21" t="s">
        <v>24</v>
      </c>
      <c r="V40" s="26">
        <v>1</v>
      </c>
      <c r="W40" s="32" t="s">
        <v>150</v>
      </c>
      <c r="X40" s="32">
        <v>0</v>
      </c>
      <c r="Y40" s="12">
        <v>1</v>
      </c>
      <c r="Z40" s="32">
        <v>0</v>
      </c>
      <c r="AA40" s="32">
        <v>0</v>
      </c>
      <c r="AB40" s="32">
        <v>0</v>
      </c>
      <c r="AC40" s="32">
        <v>0</v>
      </c>
      <c r="AD40" s="73" t="s">
        <v>230</v>
      </c>
      <c r="AE40" s="73" t="s">
        <v>231</v>
      </c>
      <c r="AK40" s="29"/>
      <c r="AL40" s="33"/>
      <c r="AM40" s="33"/>
    </row>
    <row r="41" spans="1:40" x14ac:dyDescent="0.25">
      <c r="A41" s="104" t="s">
        <v>108</v>
      </c>
      <c r="B41" s="104" t="s">
        <v>476</v>
      </c>
      <c r="C41" s="104" t="s">
        <v>526</v>
      </c>
      <c r="D41" s="13">
        <v>1</v>
      </c>
      <c r="E41" s="49" t="s">
        <v>9</v>
      </c>
      <c r="F41" s="88" t="str">
        <f>HYPERLINK("http://ictvonline.org/taxonomyHistory.asp?taxnode_id=20162438","20162438")</f>
        <v>20162438</v>
      </c>
      <c r="G41" s="93">
        <v>1985</v>
      </c>
      <c r="H41" s="88" t="str">
        <f>HYPERLINK("https://www.ncbi.nlm.nih.gov/pubmed/3007952", "3007952")</f>
        <v>3007952</v>
      </c>
      <c r="I41" s="92" t="s">
        <v>454</v>
      </c>
      <c r="J41" s="15">
        <v>1</v>
      </c>
      <c r="K41" s="7">
        <v>0</v>
      </c>
      <c r="L41" s="8">
        <v>0</v>
      </c>
      <c r="M41" s="7">
        <v>0</v>
      </c>
      <c r="N41" s="7">
        <v>0</v>
      </c>
      <c r="O41" s="9">
        <v>0</v>
      </c>
      <c r="P41" s="9">
        <v>0</v>
      </c>
      <c r="Q41" s="7">
        <v>0</v>
      </c>
      <c r="R41" s="10">
        <v>0</v>
      </c>
      <c r="S41" s="78" t="s">
        <v>240</v>
      </c>
      <c r="T41" s="79"/>
      <c r="U41" s="24">
        <v>2</v>
      </c>
      <c r="V41" s="24">
        <v>0</v>
      </c>
      <c r="W41" s="12" t="s">
        <v>7</v>
      </c>
      <c r="X41" s="32">
        <v>0</v>
      </c>
      <c r="Y41" s="32">
        <v>0</v>
      </c>
      <c r="Z41" s="56">
        <v>1</v>
      </c>
      <c r="AA41" s="32">
        <v>0</v>
      </c>
      <c r="AB41" s="32">
        <v>0</v>
      </c>
      <c r="AC41" s="32">
        <v>0</v>
      </c>
      <c r="AD41" s="73" t="s">
        <v>240</v>
      </c>
      <c r="AE41" s="83"/>
      <c r="AK41" s="31"/>
      <c r="AL41" s="33"/>
      <c r="AM41" s="33"/>
    </row>
    <row r="42" spans="1:40" x14ac:dyDescent="0.25">
      <c r="A42" s="99" t="s">
        <v>104</v>
      </c>
      <c r="B42" s="104" t="s">
        <v>476</v>
      </c>
      <c r="C42" s="104" t="s">
        <v>526</v>
      </c>
      <c r="D42" s="13">
        <v>1</v>
      </c>
      <c r="E42" s="49" t="s">
        <v>9</v>
      </c>
      <c r="F42" s="88" t="str">
        <f>HYPERLINK("http://ictvonline.org/taxonomyHistory.asp?taxnode_id=20162440","20162440")</f>
        <v>20162440</v>
      </c>
      <c r="G42" s="93">
        <v>1991</v>
      </c>
      <c r="H42" s="88" t="str">
        <f>HYPERLINK("https://www.ncbi.nlm.nih.gov/pubmed/1657626", "1657626")</f>
        <v>1657626</v>
      </c>
      <c r="I42" s="92" t="s">
        <v>454</v>
      </c>
      <c r="J42" s="15">
        <v>1</v>
      </c>
      <c r="K42" s="7">
        <v>0</v>
      </c>
      <c r="L42" s="8">
        <v>0</v>
      </c>
      <c r="M42" s="7">
        <v>0</v>
      </c>
      <c r="N42" s="7">
        <v>0</v>
      </c>
      <c r="O42" s="9">
        <v>0</v>
      </c>
      <c r="P42" s="9">
        <v>0</v>
      </c>
      <c r="Q42" s="7">
        <v>0</v>
      </c>
      <c r="R42" s="10">
        <v>0</v>
      </c>
      <c r="S42" s="78" t="s">
        <v>240</v>
      </c>
      <c r="T42" s="79"/>
      <c r="U42" s="24">
        <v>2</v>
      </c>
      <c r="V42" s="24">
        <v>0</v>
      </c>
      <c r="W42" s="12" t="s">
        <v>7</v>
      </c>
      <c r="X42" s="32">
        <v>0</v>
      </c>
      <c r="Y42" s="32">
        <v>0</v>
      </c>
      <c r="Z42" s="32">
        <v>0</v>
      </c>
      <c r="AA42" s="56">
        <v>1</v>
      </c>
      <c r="AB42" s="32">
        <v>0</v>
      </c>
      <c r="AC42" s="32">
        <v>0</v>
      </c>
      <c r="AD42" s="73" t="s">
        <v>240</v>
      </c>
      <c r="AE42" s="83"/>
      <c r="AK42" s="31"/>
      <c r="AL42" s="33"/>
      <c r="AM42" s="33"/>
    </row>
    <row r="43" spans="1:40" x14ac:dyDescent="0.25">
      <c r="A43" s="100" t="s">
        <v>43</v>
      </c>
      <c r="B43" s="101" t="s">
        <v>476</v>
      </c>
      <c r="C43" s="104" t="s">
        <v>526</v>
      </c>
      <c r="D43" s="13">
        <v>1</v>
      </c>
      <c r="E43" s="29" t="s">
        <v>9</v>
      </c>
      <c r="F43" s="88" t="str">
        <f>HYPERLINK("http://ictvonline.org/taxonomyHistory.asp?taxnode_id=20162441","20162441")</f>
        <v>20162441</v>
      </c>
      <c r="G43" s="93">
        <v>1947</v>
      </c>
      <c r="H43" s="88" t="str">
        <f>HYPERLINK("https://www.ncbi.nlm.nih.gov/pubmed/20285157", "20285157")</f>
        <v>20285157</v>
      </c>
      <c r="I43" s="91" t="s">
        <v>453</v>
      </c>
      <c r="J43" s="17">
        <v>1</v>
      </c>
      <c r="K43" s="7">
        <v>0</v>
      </c>
      <c r="L43" s="8">
        <v>0</v>
      </c>
      <c r="M43" s="7">
        <v>0</v>
      </c>
      <c r="N43" s="7">
        <v>0</v>
      </c>
      <c r="O43" s="9">
        <v>0</v>
      </c>
      <c r="P43" s="9">
        <v>0</v>
      </c>
      <c r="Q43" s="7">
        <v>0</v>
      </c>
      <c r="R43" s="10">
        <v>0</v>
      </c>
      <c r="S43" s="81">
        <v>23875051</v>
      </c>
      <c r="T43" s="79"/>
      <c r="U43" s="24">
        <v>2</v>
      </c>
      <c r="V43" s="24">
        <v>0</v>
      </c>
      <c r="W43" s="12" t="s">
        <v>7</v>
      </c>
      <c r="X43" s="32">
        <v>0</v>
      </c>
      <c r="Y43" s="32">
        <v>0</v>
      </c>
      <c r="Z43" s="12">
        <v>1</v>
      </c>
      <c r="AA43" s="12">
        <v>1</v>
      </c>
      <c r="AB43" s="32">
        <v>0</v>
      </c>
      <c r="AC43" s="32">
        <v>0</v>
      </c>
      <c r="AD43" s="73" t="s">
        <v>289</v>
      </c>
      <c r="AE43" s="73">
        <v>11113383</v>
      </c>
      <c r="AK43" s="31"/>
      <c r="AL43" s="33"/>
      <c r="AM43" s="33"/>
    </row>
    <row r="44" spans="1:40" x14ac:dyDescent="0.25">
      <c r="A44" s="100" t="s">
        <v>47</v>
      </c>
      <c r="B44" s="101" t="s">
        <v>476</v>
      </c>
      <c r="C44" s="104" t="s">
        <v>526</v>
      </c>
      <c r="D44" s="13">
        <v>1</v>
      </c>
      <c r="E44" s="29" t="s">
        <v>9</v>
      </c>
      <c r="F44" s="88" t="str">
        <f>HYPERLINK("http://ictvonline.org/taxonomyHistory.asp?taxnode_id=20162443","20162443")</f>
        <v>20162443</v>
      </c>
      <c r="G44" s="93">
        <v>1933</v>
      </c>
      <c r="H44" s="88" t="str">
        <f>HYPERLINK("http://onlinelibrary.wiley.com/doi/10.1111/j.1440-1819.1933.tb02410.x/abstract", "Available from external site")</f>
        <v>Available from external site</v>
      </c>
      <c r="I44" s="91" t="s">
        <v>453</v>
      </c>
      <c r="J44" s="19">
        <v>1</v>
      </c>
      <c r="K44" s="7">
        <v>0</v>
      </c>
      <c r="L44" s="8">
        <v>0</v>
      </c>
      <c r="M44" s="7">
        <v>0</v>
      </c>
      <c r="N44" s="7">
        <v>0</v>
      </c>
      <c r="O44" s="9">
        <v>0</v>
      </c>
      <c r="P44" s="9">
        <v>0</v>
      </c>
      <c r="Q44" s="15">
        <v>1</v>
      </c>
      <c r="R44" s="10">
        <v>0</v>
      </c>
      <c r="S44" s="81">
        <v>19786116</v>
      </c>
      <c r="T44" s="79"/>
      <c r="U44" s="25">
        <v>3</v>
      </c>
      <c r="V44" s="26">
        <v>1</v>
      </c>
      <c r="W44" s="12" t="s">
        <v>7</v>
      </c>
      <c r="X44" s="32">
        <v>0</v>
      </c>
      <c r="Y44" s="12">
        <v>1</v>
      </c>
      <c r="Z44" s="12">
        <v>1</v>
      </c>
      <c r="AA44" s="12">
        <v>1</v>
      </c>
      <c r="AB44" s="52">
        <v>1</v>
      </c>
      <c r="AC44" s="32">
        <v>0</v>
      </c>
      <c r="AD44" s="73" t="s">
        <v>298</v>
      </c>
      <c r="AE44" s="73" t="s">
        <v>299</v>
      </c>
      <c r="AK44" s="29"/>
      <c r="AL44" s="33"/>
      <c r="AM44" s="33"/>
    </row>
    <row r="45" spans="1:40" x14ac:dyDescent="0.25">
      <c r="A45" s="100" t="s">
        <v>48</v>
      </c>
      <c r="B45" s="101" t="s">
        <v>476</v>
      </c>
      <c r="C45" s="104" t="s">
        <v>526</v>
      </c>
      <c r="D45" s="13">
        <v>1</v>
      </c>
      <c r="E45" s="29" t="s">
        <v>9</v>
      </c>
      <c r="F45" s="88" t="str">
        <f>HYPERLINK("http://ictvonline.org/taxonomyHistory.asp?taxnode_id=20162448","20162448")</f>
        <v>20162448</v>
      </c>
      <c r="G45" s="93">
        <v>1985</v>
      </c>
      <c r="H45" s="88" t="str">
        <f>HYPERLINK("https://www.ncbi.nlm.nih.gov/pubmed/3007952", "3007952")</f>
        <v>3007952</v>
      </c>
      <c r="I45" s="92" t="s">
        <v>454</v>
      </c>
      <c r="J45" s="15">
        <v>1</v>
      </c>
      <c r="K45" s="7">
        <v>0</v>
      </c>
      <c r="L45" s="8">
        <v>0</v>
      </c>
      <c r="M45" s="7">
        <v>0</v>
      </c>
      <c r="N45" s="7">
        <v>0</v>
      </c>
      <c r="O45" s="9">
        <v>0</v>
      </c>
      <c r="P45" s="9">
        <v>0</v>
      </c>
      <c r="Q45" s="7">
        <v>0</v>
      </c>
      <c r="R45" s="10">
        <v>0</v>
      </c>
      <c r="S45" s="78" t="s">
        <v>302</v>
      </c>
      <c r="T45" s="79"/>
      <c r="U45" s="24">
        <v>2</v>
      </c>
      <c r="V45" s="24">
        <v>0</v>
      </c>
      <c r="W45" s="12" t="s">
        <v>7</v>
      </c>
      <c r="X45" s="32">
        <v>0</v>
      </c>
      <c r="Y45" s="32">
        <v>0</v>
      </c>
      <c r="Z45" s="12">
        <v>1</v>
      </c>
      <c r="AA45" s="32">
        <v>0</v>
      </c>
      <c r="AB45" s="32">
        <v>0</v>
      </c>
      <c r="AC45" s="32">
        <v>0</v>
      </c>
      <c r="AD45" s="73" t="s">
        <v>302</v>
      </c>
      <c r="AE45" s="83"/>
      <c r="AK45" s="31"/>
      <c r="AL45" s="33"/>
      <c r="AM45" s="33"/>
    </row>
    <row r="46" spans="1:40" x14ac:dyDescent="0.25">
      <c r="A46" s="100" t="s">
        <v>49</v>
      </c>
      <c r="B46" s="101" t="s">
        <v>476</v>
      </c>
      <c r="C46" s="104" t="s">
        <v>526</v>
      </c>
      <c r="D46" s="13">
        <v>1</v>
      </c>
      <c r="E46" s="29" t="s">
        <v>9</v>
      </c>
      <c r="F46" s="88" t="str">
        <f>HYPERLINK("http://ictvonline.org/taxonomyHistory.asp?taxnode_id=20162450","20162450")</f>
        <v>20162450</v>
      </c>
      <c r="G46" s="93">
        <v>1957</v>
      </c>
      <c r="H46" s="88" t="str">
        <f>HYPERLINK("https://www.ncbi.nlm.nih.gov/pubmed/13448774", "13448774")</f>
        <v>13448774</v>
      </c>
      <c r="I46" s="91" t="s">
        <v>453</v>
      </c>
      <c r="J46" s="15">
        <v>1</v>
      </c>
      <c r="K46" s="7">
        <v>0</v>
      </c>
      <c r="L46" s="8">
        <v>0</v>
      </c>
      <c r="M46" s="7">
        <v>0</v>
      </c>
      <c r="N46" s="7">
        <v>0</v>
      </c>
      <c r="O46" s="9">
        <v>0</v>
      </c>
      <c r="P46" s="9">
        <v>0</v>
      </c>
      <c r="Q46" s="7">
        <v>0</v>
      </c>
      <c r="R46" s="10">
        <v>0</v>
      </c>
      <c r="S46" s="78" t="s">
        <v>303</v>
      </c>
      <c r="T46" s="81"/>
      <c r="U46" s="24">
        <v>2</v>
      </c>
      <c r="V46" s="24">
        <v>0</v>
      </c>
      <c r="W46" s="12" t="s">
        <v>7</v>
      </c>
      <c r="X46" s="32">
        <v>0</v>
      </c>
      <c r="Y46" s="12">
        <v>1</v>
      </c>
      <c r="Z46" s="12">
        <v>1</v>
      </c>
      <c r="AA46" s="32">
        <v>0</v>
      </c>
      <c r="AB46" s="32">
        <v>0</v>
      </c>
      <c r="AC46" s="32">
        <v>0</v>
      </c>
      <c r="AD46" s="73" t="s">
        <v>303</v>
      </c>
      <c r="AE46" s="84"/>
      <c r="AK46" s="31"/>
      <c r="AL46" s="33"/>
      <c r="AM46" s="33"/>
    </row>
    <row r="47" spans="1:40" x14ac:dyDescent="0.25">
      <c r="A47" s="99" t="s">
        <v>98</v>
      </c>
      <c r="B47" s="104" t="s">
        <v>476</v>
      </c>
      <c r="C47" s="104" t="s">
        <v>526</v>
      </c>
      <c r="D47" s="13">
        <v>1</v>
      </c>
      <c r="E47" s="49" t="s">
        <v>9</v>
      </c>
      <c r="F47" s="88" t="str">
        <f>HYPERLINK("http://ictvonline.org/taxonomyHistory.asp?taxnode_id=20162451","20162451")</f>
        <v>20162451</v>
      </c>
      <c r="G47" s="93">
        <v>1956</v>
      </c>
      <c r="H47" s="88" t="str">
        <f>HYPERLINK("https://www.ncbi.nlm.nih.gov/pubmed/13369466", "13369466")</f>
        <v>13369466</v>
      </c>
      <c r="I47" s="92" t="s">
        <v>454</v>
      </c>
      <c r="J47" s="15">
        <v>1</v>
      </c>
      <c r="K47" s="7">
        <v>0</v>
      </c>
      <c r="L47" s="8">
        <v>0</v>
      </c>
      <c r="M47" s="7">
        <v>0</v>
      </c>
      <c r="N47" s="7">
        <v>0</v>
      </c>
      <c r="O47" s="9">
        <v>0</v>
      </c>
      <c r="P47" s="9">
        <v>0</v>
      </c>
      <c r="Q47" s="7">
        <v>0</v>
      </c>
      <c r="R47" s="10">
        <v>0</v>
      </c>
      <c r="S47" s="81">
        <v>22984545</v>
      </c>
      <c r="T47" s="78" t="s">
        <v>240</v>
      </c>
      <c r="U47" s="24">
        <v>2</v>
      </c>
      <c r="V47" s="24">
        <v>0</v>
      </c>
      <c r="W47" s="12" t="s">
        <v>7</v>
      </c>
      <c r="X47" s="32">
        <v>0</v>
      </c>
      <c r="Y47" s="32">
        <v>0</v>
      </c>
      <c r="Z47" s="12">
        <v>1</v>
      </c>
      <c r="AA47" s="32">
        <v>0</v>
      </c>
      <c r="AB47" s="32">
        <v>0</v>
      </c>
      <c r="AC47" s="32">
        <v>0</v>
      </c>
      <c r="AD47" s="84">
        <v>180846</v>
      </c>
      <c r="AE47" s="73" t="s">
        <v>240</v>
      </c>
      <c r="AK47" s="31"/>
      <c r="AL47" s="33"/>
      <c r="AM47" s="33"/>
    </row>
    <row r="48" spans="1:40" x14ac:dyDescent="0.25">
      <c r="A48" s="100" t="s">
        <v>51</v>
      </c>
      <c r="B48" s="101" t="s">
        <v>476</v>
      </c>
      <c r="C48" s="104" t="s">
        <v>526</v>
      </c>
      <c r="D48" s="13">
        <v>1</v>
      </c>
      <c r="E48" s="29" t="s">
        <v>9</v>
      </c>
      <c r="F48" s="88" t="str">
        <f>HYPERLINK("http://ictvonline.org/taxonomyHistory.asp?taxnode_id=20162452","20162452")</f>
        <v>20162452</v>
      </c>
      <c r="G48" s="93">
        <v>1934</v>
      </c>
      <c r="H48" s="88" t="str">
        <f>HYPERLINK("https://www.ncbi.nlm.nih.gov/pubmed/19870271", "19870271")</f>
        <v>19870271</v>
      </c>
      <c r="I48" s="91" t="s">
        <v>453</v>
      </c>
      <c r="J48" s="17">
        <v>1</v>
      </c>
      <c r="K48" s="7">
        <v>0</v>
      </c>
      <c r="L48" s="8">
        <v>0</v>
      </c>
      <c r="M48" s="7">
        <v>0</v>
      </c>
      <c r="N48" s="7">
        <v>0</v>
      </c>
      <c r="O48" s="9">
        <v>0</v>
      </c>
      <c r="P48" s="17">
        <v>1</v>
      </c>
      <c r="Q48" s="7">
        <v>0</v>
      </c>
      <c r="R48" s="18">
        <v>1</v>
      </c>
      <c r="S48" s="81">
        <v>24552787</v>
      </c>
      <c r="T48" s="78" t="s">
        <v>306</v>
      </c>
      <c r="U48" s="24">
        <v>2</v>
      </c>
      <c r="V48" s="24">
        <v>0</v>
      </c>
      <c r="W48" s="12" t="s">
        <v>7</v>
      </c>
      <c r="X48" s="32">
        <v>0</v>
      </c>
      <c r="Y48" s="32">
        <v>0</v>
      </c>
      <c r="Z48" s="12">
        <v>1</v>
      </c>
      <c r="AA48" s="12">
        <v>1</v>
      </c>
      <c r="AB48" s="32">
        <v>0</v>
      </c>
      <c r="AC48" s="32">
        <v>0</v>
      </c>
      <c r="AD48" s="84">
        <v>24552787</v>
      </c>
      <c r="AE48" s="73" t="s">
        <v>306</v>
      </c>
      <c r="AK48" s="31"/>
      <c r="AL48" s="33"/>
      <c r="AM48" s="33"/>
    </row>
    <row r="49" spans="1:39" x14ac:dyDescent="0.25">
      <c r="A49" s="100" t="s">
        <v>54</v>
      </c>
      <c r="B49" s="101" t="s">
        <v>476</v>
      </c>
      <c r="C49" s="104" t="s">
        <v>526</v>
      </c>
      <c r="D49" s="13">
        <v>1</v>
      </c>
      <c r="E49" s="29" t="s">
        <v>9</v>
      </c>
      <c r="F49" s="88" t="str">
        <f>HYPERLINK("http://ictvonline.org/taxonomyHistory.asp?taxnode_id=20162456","20162456")</f>
        <v>20162456</v>
      </c>
      <c r="G49" s="93">
        <v>1952</v>
      </c>
      <c r="H49" s="88" t="str">
        <f>HYPERLINK("https://www.ncbi.nlm.nih.gov/pubmed/14909902", "14909902")</f>
        <v>14909902</v>
      </c>
      <c r="I49" s="91" t="s">
        <v>453</v>
      </c>
      <c r="J49" s="17">
        <v>1</v>
      </c>
      <c r="K49" s="7">
        <v>0</v>
      </c>
      <c r="L49" s="8">
        <v>0</v>
      </c>
      <c r="M49" s="7">
        <v>0</v>
      </c>
      <c r="N49" s="7">
        <v>0</v>
      </c>
      <c r="O49" s="9">
        <v>0</v>
      </c>
      <c r="P49" s="9">
        <v>0</v>
      </c>
      <c r="Q49" s="7">
        <v>0</v>
      </c>
      <c r="R49" s="10">
        <v>0</v>
      </c>
      <c r="S49" s="78" t="s">
        <v>318</v>
      </c>
      <c r="T49" s="79"/>
      <c r="U49" s="24">
        <v>2</v>
      </c>
      <c r="V49" s="24">
        <v>0</v>
      </c>
      <c r="W49" s="12" t="s">
        <v>7</v>
      </c>
      <c r="X49" s="32">
        <v>0</v>
      </c>
      <c r="Y49" s="32">
        <v>0</v>
      </c>
      <c r="Z49" s="12">
        <v>1</v>
      </c>
      <c r="AA49" s="12">
        <v>1</v>
      </c>
      <c r="AB49" s="32">
        <v>0</v>
      </c>
      <c r="AC49" s="32">
        <v>0</v>
      </c>
      <c r="AD49" s="73" t="s">
        <v>318</v>
      </c>
      <c r="AE49" s="83"/>
      <c r="AK49" s="29"/>
      <c r="AL49" s="33"/>
      <c r="AM49" s="33"/>
    </row>
    <row r="50" spans="1:39" x14ac:dyDescent="0.25">
      <c r="A50" s="100" t="s">
        <v>56</v>
      </c>
      <c r="B50" s="101" t="s">
        <v>476</v>
      </c>
      <c r="C50" s="104" t="s">
        <v>526</v>
      </c>
      <c r="D50" s="13">
        <v>1</v>
      </c>
      <c r="E50" s="29" t="s">
        <v>9</v>
      </c>
      <c r="F50" s="88" t="str">
        <f>HYPERLINK("http://ictvonline.org/taxonomyHistory.asp?taxnode_id=20162457","20162457")</f>
        <v>20162457</v>
      </c>
      <c r="G50" s="93">
        <v>1952</v>
      </c>
      <c r="H50" s="88" t="str">
        <f>HYPERLINK("https://www.ncbi.nlm.nih.gov/pubmed/14946416", "14946416")</f>
        <v>14946416</v>
      </c>
      <c r="I50" s="92" t="s">
        <v>454</v>
      </c>
      <c r="J50" s="17">
        <v>1</v>
      </c>
      <c r="K50" s="7">
        <v>0</v>
      </c>
      <c r="L50" s="8">
        <v>0</v>
      </c>
      <c r="M50" s="7">
        <v>0</v>
      </c>
      <c r="N50" s="7">
        <v>0</v>
      </c>
      <c r="O50" s="9">
        <v>0</v>
      </c>
      <c r="P50" s="9">
        <v>0</v>
      </c>
      <c r="Q50" s="7">
        <v>0</v>
      </c>
      <c r="R50" s="10">
        <v>0</v>
      </c>
      <c r="S50" s="78" t="s">
        <v>413</v>
      </c>
      <c r="T50" s="79"/>
      <c r="U50" s="24">
        <v>2</v>
      </c>
      <c r="V50" s="24">
        <v>0</v>
      </c>
      <c r="W50" s="52" t="s">
        <v>7</v>
      </c>
      <c r="X50" s="32">
        <v>0</v>
      </c>
      <c r="Y50" s="55">
        <v>0</v>
      </c>
      <c r="Z50" s="56">
        <v>1</v>
      </c>
      <c r="AA50" s="56">
        <v>1</v>
      </c>
      <c r="AB50" s="32">
        <v>0</v>
      </c>
      <c r="AC50" s="32">
        <v>0</v>
      </c>
      <c r="AD50" s="73" t="s">
        <v>322</v>
      </c>
      <c r="AE50" s="83"/>
      <c r="AK50" s="31"/>
      <c r="AL50" s="33"/>
      <c r="AM50" s="33"/>
    </row>
    <row r="51" spans="1:39" x14ac:dyDescent="0.25">
      <c r="A51" s="100" t="s">
        <v>147</v>
      </c>
      <c r="B51" s="101" t="s">
        <v>476</v>
      </c>
      <c r="C51" s="104" t="s">
        <v>526</v>
      </c>
      <c r="D51" s="13">
        <v>1</v>
      </c>
      <c r="E51" s="29" t="s">
        <v>9</v>
      </c>
      <c r="F51" s="88" t="str">
        <f>HYPERLINK("http://ictvonline.org/taxonomyHistory.asp?taxnode_id=20162458","20162458")</f>
        <v>20162458</v>
      </c>
      <c r="G51" s="93">
        <v>1947</v>
      </c>
      <c r="H51" s="88" t="str">
        <f>HYPERLINK("https://www.ncbi.nlm.nih.gov/pubmed/18910918", "18910918")</f>
        <v>18910918</v>
      </c>
      <c r="I51" s="91" t="s">
        <v>453</v>
      </c>
      <c r="J51" s="15">
        <v>1</v>
      </c>
      <c r="K51" s="15">
        <v>1</v>
      </c>
      <c r="L51" s="8">
        <v>0</v>
      </c>
      <c r="M51" s="7">
        <v>0</v>
      </c>
      <c r="N51" s="7">
        <v>0</v>
      </c>
      <c r="O51" s="9">
        <v>0</v>
      </c>
      <c r="P51" s="9">
        <v>0</v>
      </c>
      <c r="Q51" s="7">
        <v>0</v>
      </c>
      <c r="R51" s="10">
        <v>0</v>
      </c>
      <c r="S51" s="78" t="s">
        <v>323</v>
      </c>
      <c r="T51" s="79"/>
      <c r="U51" s="24">
        <v>2</v>
      </c>
      <c r="V51" s="24">
        <v>0</v>
      </c>
      <c r="W51" s="12" t="s">
        <v>7</v>
      </c>
      <c r="X51" s="32">
        <v>0</v>
      </c>
      <c r="Y51" s="32">
        <v>0</v>
      </c>
      <c r="Z51" s="12">
        <v>1</v>
      </c>
      <c r="AA51" s="55">
        <v>0</v>
      </c>
      <c r="AB51" s="32">
        <v>0</v>
      </c>
      <c r="AC51" s="32">
        <v>0</v>
      </c>
      <c r="AD51" s="73" t="s">
        <v>323</v>
      </c>
      <c r="AE51" s="83"/>
      <c r="AK51" s="31"/>
      <c r="AL51" s="33"/>
      <c r="AM51" s="33"/>
    </row>
    <row r="52" spans="1:39" x14ac:dyDescent="0.25">
      <c r="A52" s="100" t="s">
        <v>60</v>
      </c>
      <c r="B52" s="101" t="s">
        <v>476</v>
      </c>
      <c r="C52" s="104" t="s">
        <v>526</v>
      </c>
      <c r="D52" s="13">
        <v>1</v>
      </c>
      <c r="E52" s="29" t="s">
        <v>9</v>
      </c>
      <c r="F52" s="88" t="str">
        <f>HYPERLINK("http://ictvonline.org/taxonomyHistory.asp?taxnode_id=20162460","20162460")</f>
        <v>20162460</v>
      </c>
      <c r="G52" s="93">
        <v>1959</v>
      </c>
      <c r="H52" s="88" t="str">
        <f>HYPERLINK("https://www.ncbi.nlm.nih.gov/pubmed/13652010", "13652010")</f>
        <v>13652010</v>
      </c>
      <c r="I52" s="91" t="s">
        <v>453</v>
      </c>
      <c r="J52" s="20">
        <v>1</v>
      </c>
      <c r="K52" s="7">
        <v>0</v>
      </c>
      <c r="L52" s="8">
        <v>0</v>
      </c>
      <c r="M52" s="7">
        <v>0</v>
      </c>
      <c r="N52" s="7">
        <v>0</v>
      </c>
      <c r="O52" s="9">
        <v>0</v>
      </c>
      <c r="P52" s="9">
        <v>0</v>
      </c>
      <c r="Q52" s="7">
        <v>0</v>
      </c>
      <c r="R52" s="10">
        <v>0</v>
      </c>
      <c r="S52" s="81">
        <v>20434750</v>
      </c>
      <c r="T52" s="79"/>
      <c r="U52" s="24">
        <v>2</v>
      </c>
      <c r="V52" s="24">
        <v>0</v>
      </c>
      <c r="W52" s="12" t="s">
        <v>7</v>
      </c>
      <c r="X52" s="32">
        <v>0</v>
      </c>
      <c r="Y52" s="32">
        <v>0</v>
      </c>
      <c r="Z52" s="12">
        <v>1</v>
      </c>
      <c r="AA52" s="12">
        <v>1</v>
      </c>
      <c r="AB52" s="52">
        <v>1</v>
      </c>
      <c r="AC52" s="32">
        <v>0</v>
      </c>
      <c r="AD52" s="73" t="s">
        <v>333</v>
      </c>
      <c r="AE52" s="83"/>
      <c r="AK52" s="31"/>
      <c r="AL52" s="33"/>
      <c r="AM52" s="33"/>
    </row>
    <row r="53" spans="1:39" x14ac:dyDescent="0.25">
      <c r="A53" s="100" t="s">
        <v>65</v>
      </c>
      <c r="B53" s="101" t="s">
        <v>476</v>
      </c>
      <c r="C53" s="104" t="s">
        <v>526</v>
      </c>
      <c r="D53" s="13">
        <v>1</v>
      </c>
      <c r="E53" s="29" t="s">
        <v>9</v>
      </c>
      <c r="F53" s="88" t="str">
        <f>HYPERLINK("http://ictvonline.org/taxonomyHistory.asp?taxnode_id=20162461","20162461")</f>
        <v>20162461</v>
      </c>
      <c r="G53" s="93">
        <v>1962</v>
      </c>
      <c r="H53" s="88" t="str">
        <f>HYPERLINK("https://www.ncbi.nlm.nih.gov/pubmed/13918297", "13918297")</f>
        <v>13918297</v>
      </c>
      <c r="I53" s="92" t="s">
        <v>454</v>
      </c>
      <c r="J53" s="7">
        <v>0</v>
      </c>
      <c r="K53" s="17">
        <v>1</v>
      </c>
      <c r="L53" s="8">
        <v>0</v>
      </c>
      <c r="M53" s="7">
        <v>0</v>
      </c>
      <c r="N53" s="7">
        <v>0</v>
      </c>
      <c r="O53" s="9">
        <v>0</v>
      </c>
      <c r="P53" s="9">
        <v>0</v>
      </c>
      <c r="Q53" s="7">
        <v>0</v>
      </c>
      <c r="R53" s="10">
        <v>0</v>
      </c>
      <c r="S53" s="78" t="s">
        <v>341</v>
      </c>
      <c r="T53" s="79"/>
      <c r="U53" s="24">
        <v>2</v>
      </c>
      <c r="V53" s="24">
        <v>0</v>
      </c>
      <c r="W53" s="12" t="s">
        <v>7</v>
      </c>
      <c r="X53" s="32">
        <v>0</v>
      </c>
      <c r="Y53" s="32">
        <v>0</v>
      </c>
      <c r="Z53" s="12">
        <v>1</v>
      </c>
      <c r="AA53" s="32">
        <v>0</v>
      </c>
      <c r="AB53" s="32">
        <v>0</v>
      </c>
      <c r="AC53" s="32">
        <v>0</v>
      </c>
      <c r="AD53" s="73" t="s">
        <v>341</v>
      </c>
      <c r="AE53" s="83"/>
      <c r="AK53" s="31"/>
      <c r="AL53" s="33"/>
      <c r="AM53" s="33"/>
    </row>
    <row r="54" spans="1:39" x14ac:dyDescent="0.25">
      <c r="A54" s="100" t="s">
        <v>149</v>
      </c>
      <c r="B54" s="101" t="s">
        <v>476</v>
      </c>
      <c r="C54" s="104" t="s">
        <v>526</v>
      </c>
      <c r="D54" s="13">
        <v>1</v>
      </c>
      <c r="E54" s="29" t="s">
        <v>9</v>
      </c>
      <c r="F54" s="88" t="str">
        <f>HYPERLINK("http://ictvonline.org/taxonomyHistory.asp?taxnode_id=20162468","20162468")</f>
        <v>20162468</v>
      </c>
      <c r="G54" s="93">
        <v>1933</v>
      </c>
      <c r="H54" s="88" t="str">
        <f>HYPERLINK("https://www.ncbi.nlm.nih.gov/pubmed/17752093", "17752093")</f>
        <v>17752093</v>
      </c>
      <c r="I54" s="91" t="s">
        <v>453</v>
      </c>
      <c r="J54" s="15">
        <v>1</v>
      </c>
      <c r="K54" s="7">
        <v>0</v>
      </c>
      <c r="L54" s="8">
        <v>0</v>
      </c>
      <c r="M54" s="7">
        <v>0</v>
      </c>
      <c r="N54" s="7">
        <v>0</v>
      </c>
      <c r="O54" s="9">
        <v>0</v>
      </c>
      <c r="P54" s="9">
        <v>0</v>
      </c>
      <c r="Q54" s="7">
        <v>0</v>
      </c>
      <c r="R54" s="10">
        <v>0</v>
      </c>
      <c r="S54" s="81">
        <v>23474474</v>
      </c>
      <c r="T54" s="78" t="s">
        <v>358</v>
      </c>
      <c r="U54" s="24">
        <v>2</v>
      </c>
      <c r="V54" s="24">
        <v>0</v>
      </c>
      <c r="W54" s="12" t="s">
        <v>7</v>
      </c>
      <c r="X54" s="32">
        <v>0</v>
      </c>
      <c r="Y54" s="12">
        <v>1</v>
      </c>
      <c r="Z54" s="12">
        <v>1</v>
      </c>
      <c r="AA54" s="12">
        <v>1</v>
      </c>
      <c r="AB54" s="52">
        <v>1</v>
      </c>
      <c r="AC54" s="32">
        <v>0</v>
      </c>
      <c r="AD54" s="73" t="s">
        <v>357</v>
      </c>
      <c r="AE54" s="84">
        <v>23474474</v>
      </c>
      <c r="AK54" s="29"/>
      <c r="AL54" s="33"/>
      <c r="AM54" s="33"/>
    </row>
    <row r="55" spans="1:39" x14ac:dyDescent="0.25">
      <c r="A55" s="99" t="s">
        <v>103</v>
      </c>
      <c r="B55" s="104" t="s">
        <v>476</v>
      </c>
      <c r="C55" s="104" t="s">
        <v>526</v>
      </c>
      <c r="D55" s="13">
        <v>1</v>
      </c>
      <c r="E55" s="49" t="s">
        <v>9</v>
      </c>
      <c r="F55" s="88" t="str">
        <f>HYPERLINK("http://ictvonline.org/taxonomyHistory.asp?taxnode_id=20162469","20162469")</f>
        <v>20162469</v>
      </c>
      <c r="G55" s="93">
        <v>1975</v>
      </c>
      <c r="H55" s="88" t="str">
        <f>HYPERLINK("https://www.ncbi.nlm.nih.gov/pubmed/809868", "809868")</f>
        <v>809868</v>
      </c>
      <c r="I55" s="91" t="s">
        <v>453</v>
      </c>
      <c r="J55" s="15">
        <v>1</v>
      </c>
      <c r="K55" s="7">
        <v>0</v>
      </c>
      <c r="L55" s="8">
        <v>0</v>
      </c>
      <c r="M55" s="7">
        <v>0</v>
      </c>
      <c r="N55" s="7">
        <v>0</v>
      </c>
      <c r="O55" s="9">
        <v>0</v>
      </c>
      <c r="P55" s="9">
        <v>0</v>
      </c>
      <c r="Q55" s="7">
        <v>0</v>
      </c>
      <c r="R55" s="10">
        <v>0</v>
      </c>
      <c r="S55" s="78" t="s">
        <v>361</v>
      </c>
      <c r="T55" s="79"/>
      <c r="U55" s="24">
        <v>2</v>
      </c>
      <c r="V55" s="24">
        <v>0</v>
      </c>
      <c r="W55" s="12" t="s">
        <v>7</v>
      </c>
      <c r="X55" s="32">
        <v>0</v>
      </c>
      <c r="Y55" s="32">
        <v>0</v>
      </c>
      <c r="Z55" s="32">
        <v>0</v>
      </c>
      <c r="AA55" s="12">
        <v>1</v>
      </c>
      <c r="AB55" s="32">
        <v>0</v>
      </c>
      <c r="AC55" s="32">
        <v>0</v>
      </c>
      <c r="AD55" s="73" t="s">
        <v>361</v>
      </c>
      <c r="AE55" s="83"/>
      <c r="AK55" s="31"/>
      <c r="AL55" s="33"/>
      <c r="AM55" s="33"/>
    </row>
    <row r="56" spans="1:39" s="49" customFormat="1" x14ac:dyDescent="0.25">
      <c r="A56" s="101" t="s">
        <v>78</v>
      </c>
      <c r="B56" s="101" t="s">
        <v>476</v>
      </c>
      <c r="C56" s="104" t="s">
        <v>526</v>
      </c>
      <c r="D56" s="13">
        <v>1</v>
      </c>
      <c r="E56" s="29" t="s">
        <v>9</v>
      </c>
      <c r="F56" s="88" t="str">
        <f>HYPERLINK("http://ictvonline.org/taxonomyHistory.asp?taxnode_id=20162470","20162470")</f>
        <v>20162470</v>
      </c>
      <c r="G56" s="93">
        <v>1938</v>
      </c>
      <c r="H56" s="88" t="str">
        <f>HYPERLINK("http://eurekamag.com/research/026/110/026110650.php", "Available from external site")</f>
        <v>Available from external site</v>
      </c>
      <c r="I56" s="91" t="s">
        <v>453</v>
      </c>
      <c r="J56" s="15">
        <v>1</v>
      </c>
      <c r="K56" s="7">
        <v>0</v>
      </c>
      <c r="L56" s="8">
        <v>0</v>
      </c>
      <c r="M56" s="7">
        <v>0</v>
      </c>
      <c r="N56" s="7">
        <v>0</v>
      </c>
      <c r="O56" s="9">
        <v>0</v>
      </c>
      <c r="P56" s="9">
        <v>0</v>
      </c>
      <c r="Q56" s="7">
        <v>0</v>
      </c>
      <c r="R56" s="10">
        <v>0</v>
      </c>
      <c r="S56" s="81">
        <v>18240970</v>
      </c>
      <c r="T56" s="79"/>
      <c r="U56" s="24">
        <v>2</v>
      </c>
      <c r="V56" s="24">
        <v>0</v>
      </c>
      <c r="W56" s="12" t="s">
        <v>7</v>
      </c>
      <c r="X56" s="32">
        <v>0</v>
      </c>
      <c r="Y56" s="12">
        <v>1</v>
      </c>
      <c r="Z56" s="12">
        <v>1</v>
      </c>
      <c r="AA56" s="12">
        <v>1</v>
      </c>
      <c r="AB56" s="32">
        <v>0</v>
      </c>
      <c r="AC56" s="32">
        <v>0</v>
      </c>
      <c r="AD56" s="73" t="s">
        <v>365</v>
      </c>
      <c r="AE56" s="73" t="s">
        <v>366</v>
      </c>
      <c r="AK56" s="31"/>
      <c r="AL56" s="33"/>
      <c r="AM56" s="33"/>
    </row>
    <row r="57" spans="1:39" x14ac:dyDescent="0.25">
      <c r="A57" s="104" t="s">
        <v>109</v>
      </c>
      <c r="B57" s="104" t="s">
        <v>476</v>
      </c>
      <c r="C57" s="104" t="s">
        <v>526</v>
      </c>
      <c r="D57" s="13">
        <v>1</v>
      </c>
      <c r="E57" s="49" t="s">
        <v>9</v>
      </c>
      <c r="F57" s="88" t="str">
        <f>HYPERLINK("http://ictvonline.org/taxonomyHistory.asp?taxnode_id=20162472","20162472")</f>
        <v>20162472</v>
      </c>
      <c r="G57" s="93">
        <v>1952</v>
      </c>
      <c r="H57" s="88" t="str">
        <f>HYPERLINK("https://www.ncbi.nlm.nih.gov/pubmed/13005679", "13005679")</f>
        <v>13005679</v>
      </c>
      <c r="I57" s="92" t="s">
        <v>454</v>
      </c>
      <c r="J57" s="15">
        <v>1</v>
      </c>
      <c r="K57" s="7">
        <v>0</v>
      </c>
      <c r="L57" s="8">
        <v>0</v>
      </c>
      <c r="M57" s="7">
        <v>0</v>
      </c>
      <c r="N57" s="7">
        <v>0</v>
      </c>
      <c r="O57" s="9">
        <v>0</v>
      </c>
      <c r="P57" s="9">
        <v>0</v>
      </c>
      <c r="Q57" s="7">
        <v>0</v>
      </c>
      <c r="R57" s="10">
        <v>0</v>
      </c>
      <c r="S57" s="81">
        <v>1659238</v>
      </c>
      <c r="T57" s="79"/>
      <c r="U57" s="24">
        <v>2</v>
      </c>
      <c r="V57" s="24">
        <v>0</v>
      </c>
      <c r="W57" s="12" t="s">
        <v>7</v>
      </c>
      <c r="X57" s="32">
        <v>0</v>
      </c>
      <c r="Y57" s="32">
        <v>0</v>
      </c>
      <c r="Z57" s="12">
        <v>1</v>
      </c>
      <c r="AA57" s="32">
        <v>0</v>
      </c>
      <c r="AB57" s="32">
        <v>0</v>
      </c>
      <c r="AC57" s="32">
        <v>0</v>
      </c>
      <c r="AD57" s="73" t="s">
        <v>371</v>
      </c>
      <c r="AE57" s="83"/>
      <c r="AK57" s="31"/>
      <c r="AL57" s="33"/>
      <c r="AM57" s="33"/>
    </row>
    <row r="58" spans="1:39" x14ac:dyDescent="0.25">
      <c r="A58" s="101" t="s">
        <v>79</v>
      </c>
      <c r="B58" s="101" t="s">
        <v>476</v>
      </c>
      <c r="C58" s="104" t="s">
        <v>526</v>
      </c>
      <c r="D58" s="13">
        <v>1</v>
      </c>
      <c r="E58" s="29" t="s">
        <v>9</v>
      </c>
      <c r="F58" s="88" t="str">
        <f>HYPERLINK("http://ictvonline.org/taxonomyHistory.asp?taxnode_id=20162473","20162473")</f>
        <v>20162473</v>
      </c>
      <c r="G58" s="93">
        <v>2009</v>
      </c>
      <c r="H58" s="88" t="str">
        <f>HYPERLINK("https://www.ncbi.nlm.nih.gov/pubmed/20070936", "20070936")</f>
        <v>20070936</v>
      </c>
      <c r="I58" s="91" t="s">
        <v>453</v>
      </c>
      <c r="J58" s="15">
        <v>1</v>
      </c>
      <c r="K58" s="7">
        <v>0</v>
      </c>
      <c r="L58" s="8">
        <v>0</v>
      </c>
      <c r="M58" s="7">
        <v>0</v>
      </c>
      <c r="N58" s="15">
        <v>1</v>
      </c>
      <c r="O58" s="9">
        <v>0</v>
      </c>
      <c r="P58" s="9">
        <v>0</v>
      </c>
      <c r="Q58" s="7">
        <v>0</v>
      </c>
      <c r="R58" s="10">
        <v>0</v>
      </c>
      <c r="S58" s="78" t="s">
        <v>372</v>
      </c>
      <c r="T58" s="79"/>
      <c r="U58" s="25">
        <v>3</v>
      </c>
      <c r="V58" s="26">
        <v>1</v>
      </c>
      <c r="W58" s="12" t="s">
        <v>7</v>
      </c>
      <c r="X58" s="32">
        <v>0</v>
      </c>
      <c r="Y58" s="32">
        <v>0</v>
      </c>
      <c r="Z58" s="12">
        <v>1</v>
      </c>
      <c r="AA58" s="12">
        <v>1</v>
      </c>
      <c r="AB58" s="32">
        <v>0</v>
      </c>
      <c r="AC58" s="32">
        <v>0</v>
      </c>
      <c r="AD58" s="73" t="s">
        <v>372</v>
      </c>
      <c r="AE58" s="73" t="s">
        <v>373</v>
      </c>
      <c r="AK58" s="29"/>
      <c r="AL58" s="33"/>
      <c r="AM58" s="33"/>
    </row>
    <row r="59" spans="1:39" x14ac:dyDescent="0.25">
      <c r="A59" s="100" t="s">
        <v>81</v>
      </c>
      <c r="B59" s="101" t="s">
        <v>476</v>
      </c>
      <c r="C59" s="104" t="s">
        <v>526</v>
      </c>
      <c r="D59" s="13">
        <v>1</v>
      </c>
      <c r="E59" s="29" t="s">
        <v>9</v>
      </c>
      <c r="F59" s="88" t="str">
        <f>HYPERLINK("http://ictvonline.org/taxonomyHistory.asp?taxnode_id=20162474","20162474")</f>
        <v>20162474</v>
      </c>
      <c r="G59" s="93">
        <v>1957</v>
      </c>
      <c r="H59" s="88" t="str">
        <f>HYPERLINK("https://www.ncbi.nlm.nih.gov/pubmed/13506709", "13506709")</f>
        <v>13506709</v>
      </c>
      <c r="I59" s="91" t="s">
        <v>453</v>
      </c>
      <c r="J59" s="15">
        <v>1</v>
      </c>
      <c r="K59" s="7">
        <v>0</v>
      </c>
      <c r="L59" s="8">
        <v>0</v>
      </c>
      <c r="M59" s="7">
        <v>0</v>
      </c>
      <c r="N59" s="7">
        <v>0</v>
      </c>
      <c r="O59" s="9">
        <v>0</v>
      </c>
      <c r="P59" s="9">
        <v>0</v>
      </c>
      <c r="Q59" s="7">
        <v>0</v>
      </c>
      <c r="R59" s="10">
        <v>0</v>
      </c>
      <c r="S59" s="81">
        <v>15958020</v>
      </c>
      <c r="T59" s="79"/>
      <c r="U59" s="24">
        <v>2</v>
      </c>
      <c r="V59" s="24">
        <v>0</v>
      </c>
      <c r="W59" s="12" t="s">
        <v>7</v>
      </c>
      <c r="X59" s="32">
        <v>0</v>
      </c>
      <c r="Y59" s="32">
        <v>0</v>
      </c>
      <c r="Z59" s="12">
        <v>1</v>
      </c>
      <c r="AA59" s="32">
        <v>0</v>
      </c>
      <c r="AB59" s="32">
        <v>0</v>
      </c>
      <c r="AC59" s="32">
        <v>0</v>
      </c>
      <c r="AD59" s="73" t="s">
        <v>373</v>
      </c>
      <c r="AE59" s="83"/>
      <c r="AK59" s="31"/>
      <c r="AL59" s="33"/>
      <c r="AM59" s="33"/>
    </row>
    <row r="60" spans="1:39" x14ac:dyDescent="0.25">
      <c r="A60" s="100" t="s">
        <v>82</v>
      </c>
      <c r="B60" s="101" t="s">
        <v>476</v>
      </c>
      <c r="C60" s="104" t="s">
        <v>526</v>
      </c>
      <c r="D60" s="13">
        <v>1</v>
      </c>
      <c r="E60" s="29" t="s">
        <v>9</v>
      </c>
      <c r="F60" s="88" t="str">
        <f>HYPERLINK("http://ictvonline.org/taxonomyHistory.asp?taxnode_id=20162475","20162475")</f>
        <v>20162475</v>
      </c>
      <c r="G60" s="93">
        <v>1940</v>
      </c>
      <c r="H60" s="88" t="str">
        <f>HYPERLINK("http://www.ajtmh.org/content/journals/10.4269/ajtmh.1940.s1-20.471", "Available from external site")</f>
        <v>Available from external site</v>
      </c>
      <c r="I60" s="91" t="s">
        <v>453</v>
      </c>
      <c r="J60" s="15">
        <v>1</v>
      </c>
      <c r="K60" s="7">
        <v>0</v>
      </c>
      <c r="L60" s="8">
        <v>0</v>
      </c>
      <c r="M60" s="7">
        <v>0</v>
      </c>
      <c r="N60" s="7">
        <v>0</v>
      </c>
      <c r="O60" s="9">
        <v>0</v>
      </c>
      <c r="P60" s="9">
        <v>0</v>
      </c>
      <c r="Q60" s="15">
        <v>1</v>
      </c>
      <c r="R60" s="10">
        <v>0</v>
      </c>
      <c r="S60" s="81">
        <v>17332186</v>
      </c>
      <c r="T60" s="81"/>
      <c r="U60" s="25">
        <v>3</v>
      </c>
      <c r="V60" s="26">
        <v>1</v>
      </c>
      <c r="W60" s="12" t="s">
        <v>7</v>
      </c>
      <c r="X60" s="32">
        <v>0</v>
      </c>
      <c r="Y60" s="12">
        <v>1</v>
      </c>
      <c r="Z60" s="12">
        <v>1</v>
      </c>
      <c r="AA60" s="12">
        <v>1</v>
      </c>
      <c r="AB60" s="52">
        <v>1</v>
      </c>
      <c r="AC60" s="32">
        <v>0</v>
      </c>
      <c r="AD60" s="73" t="s">
        <v>379</v>
      </c>
      <c r="AE60" s="83"/>
      <c r="AK60" s="31"/>
      <c r="AL60" s="33"/>
      <c r="AM60" s="33"/>
    </row>
    <row r="61" spans="1:39" x14ac:dyDescent="0.25">
      <c r="A61" s="100" t="s">
        <v>85</v>
      </c>
      <c r="B61" s="101" t="s">
        <v>476</v>
      </c>
      <c r="C61" s="104" t="s">
        <v>526</v>
      </c>
      <c r="D61" s="13">
        <v>1</v>
      </c>
      <c r="E61" s="29" t="s">
        <v>9</v>
      </c>
      <c r="F61" s="88" t="str">
        <f>HYPERLINK("http://ictvonline.org/taxonomyHistory.asp?taxnode_id=20162477","20162477")</f>
        <v>20162477</v>
      </c>
      <c r="G61" s="93">
        <v>1901</v>
      </c>
      <c r="H61" s="88" t="str">
        <f>HYPERLINK("https://jamanetwork.com/journals/jama/article-abstract/469979", "Available from external site")</f>
        <v>Available from external site</v>
      </c>
      <c r="I61" s="91" t="s">
        <v>453</v>
      </c>
      <c r="J61" s="15">
        <v>1</v>
      </c>
      <c r="K61" s="7">
        <v>0</v>
      </c>
      <c r="L61" s="8">
        <v>0</v>
      </c>
      <c r="M61" s="7">
        <v>0</v>
      </c>
      <c r="N61" s="7">
        <v>0</v>
      </c>
      <c r="O61" s="9">
        <v>0</v>
      </c>
      <c r="P61" s="9">
        <v>0</v>
      </c>
      <c r="Q61" s="7">
        <v>0</v>
      </c>
      <c r="R61" s="10">
        <v>0</v>
      </c>
      <c r="S61" s="81">
        <v>25672346</v>
      </c>
      <c r="T61" s="78" t="s">
        <v>358</v>
      </c>
      <c r="U61" s="26" t="s">
        <v>24</v>
      </c>
      <c r="V61" s="26">
        <v>1</v>
      </c>
      <c r="W61" s="12" t="s">
        <v>7</v>
      </c>
      <c r="X61" s="32">
        <v>0</v>
      </c>
      <c r="Y61" s="12">
        <v>1</v>
      </c>
      <c r="Z61" s="12">
        <v>1</v>
      </c>
      <c r="AA61" s="32">
        <v>0</v>
      </c>
      <c r="AB61" s="32">
        <v>0</v>
      </c>
      <c r="AC61" s="32">
        <v>0</v>
      </c>
      <c r="AD61" s="73" t="s">
        <v>230</v>
      </c>
      <c r="AE61" s="73" t="s">
        <v>358</v>
      </c>
      <c r="AK61" s="31"/>
      <c r="AL61" s="33"/>
      <c r="AM61" s="33"/>
    </row>
    <row r="62" spans="1:39" x14ac:dyDescent="0.25">
      <c r="A62" s="100" t="s">
        <v>86</v>
      </c>
      <c r="B62" s="101" t="s">
        <v>476</v>
      </c>
      <c r="C62" s="104" t="s">
        <v>526</v>
      </c>
      <c r="D62" s="13">
        <v>1</v>
      </c>
      <c r="E62" s="29" t="s">
        <v>9</v>
      </c>
      <c r="F62" s="88" t="str">
        <f>HYPERLINK("http://ictvonline.org/taxonomyHistory.asp?taxnode_id=20162479","20162479")</f>
        <v>20162479</v>
      </c>
      <c r="G62" s="93">
        <v>1954</v>
      </c>
      <c r="H62" s="88" t="str">
        <f>HYPERLINK("https://www.ncbi.nlm.nih.gov/pubmed/13157159", "13157159")</f>
        <v>13157159</v>
      </c>
      <c r="I62" s="91" t="s">
        <v>453</v>
      </c>
      <c r="J62" s="15">
        <v>1</v>
      </c>
      <c r="K62" s="7">
        <v>0</v>
      </c>
      <c r="L62" s="8">
        <v>0</v>
      </c>
      <c r="M62" s="15">
        <v>1</v>
      </c>
      <c r="N62" s="7">
        <v>0</v>
      </c>
      <c r="O62" s="9">
        <v>0</v>
      </c>
      <c r="P62" s="9">
        <v>0</v>
      </c>
      <c r="Q62" s="15">
        <v>1</v>
      </c>
      <c r="R62" s="10">
        <v>0</v>
      </c>
      <c r="S62" s="78" t="s">
        <v>380</v>
      </c>
      <c r="T62" s="79"/>
      <c r="U62" s="26" t="s">
        <v>24</v>
      </c>
      <c r="V62" s="26">
        <v>1</v>
      </c>
      <c r="W62" s="12" t="s">
        <v>7</v>
      </c>
      <c r="X62" s="32">
        <v>0</v>
      </c>
      <c r="Y62" s="12">
        <v>1</v>
      </c>
      <c r="Z62" s="12">
        <v>1</v>
      </c>
      <c r="AA62" s="32">
        <v>0</v>
      </c>
      <c r="AB62" s="32">
        <v>0</v>
      </c>
      <c r="AC62" s="32">
        <v>0</v>
      </c>
      <c r="AD62" s="73" t="s">
        <v>380</v>
      </c>
      <c r="AE62" s="83"/>
      <c r="AK62" s="31"/>
      <c r="AL62" s="33"/>
      <c r="AM62" s="33"/>
    </row>
    <row r="63" spans="1:39" x14ac:dyDescent="0.25">
      <c r="A63" s="100" t="s">
        <v>275</v>
      </c>
      <c r="B63" s="101" t="s">
        <v>477</v>
      </c>
      <c r="C63" s="104" t="s">
        <v>526</v>
      </c>
      <c r="D63" s="13">
        <v>1</v>
      </c>
      <c r="E63" s="29" t="s">
        <v>9</v>
      </c>
      <c r="F63" s="88" t="str">
        <f>HYPERLINK("http://ictvonline.org/taxonomyHistory.asp?taxnode_id=20162481","20162481")</f>
        <v>20162481</v>
      </c>
      <c r="G63" s="93">
        <v>1989</v>
      </c>
      <c r="H63" s="88" t="str">
        <f>HYPERLINK("https://www.ncbi.nlm.nih.gov/pubmed/2523562", "2523562")</f>
        <v>2523562</v>
      </c>
      <c r="I63" s="91" t="s">
        <v>453</v>
      </c>
      <c r="J63" s="7">
        <v>0</v>
      </c>
      <c r="K63" s="7">
        <v>0</v>
      </c>
      <c r="L63" s="8">
        <v>0</v>
      </c>
      <c r="M63" s="17">
        <v>1</v>
      </c>
      <c r="N63" s="17">
        <v>1</v>
      </c>
      <c r="O63" s="9">
        <v>0</v>
      </c>
      <c r="P63" s="17">
        <v>1</v>
      </c>
      <c r="Q63" s="17">
        <v>1</v>
      </c>
      <c r="R63" s="18">
        <v>1</v>
      </c>
      <c r="S63" s="81">
        <v>26212868</v>
      </c>
      <c r="T63" s="81"/>
      <c r="U63" s="27" t="s">
        <v>8</v>
      </c>
      <c r="V63" s="26">
        <v>1</v>
      </c>
      <c r="W63" s="32" t="s">
        <v>150</v>
      </c>
      <c r="X63" s="12">
        <v>1</v>
      </c>
      <c r="Y63" s="32">
        <v>0</v>
      </c>
      <c r="Z63" s="32">
        <v>0</v>
      </c>
      <c r="AA63" s="32">
        <v>0</v>
      </c>
      <c r="AB63" s="32">
        <v>0</v>
      </c>
      <c r="AC63" s="32">
        <v>0</v>
      </c>
      <c r="AD63" s="73" t="s">
        <v>270</v>
      </c>
      <c r="AE63" s="73"/>
      <c r="AK63" s="31"/>
      <c r="AL63" s="33"/>
      <c r="AM63" s="33"/>
    </row>
    <row r="64" spans="1:39" x14ac:dyDescent="0.25">
      <c r="A64" s="100" t="s">
        <v>155</v>
      </c>
      <c r="B64" s="101" t="s">
        <v>478</v>
      </c>
      <c r="C64" s="104" t="s">
        <v>526</v>
      </c>
      <c r="D64" s="13">
        <v>1</v>
      </c>
      <c r="E64" s="29" t="s">
        <v>9</v>
      </c>
      <c r="F64" s="88" t="str">
        <f>HYPERLINK("http://ictvonline.org/taxonomyHistory.asp?taxnode_id=20162483","20162483")</f>
        <v>20162483</v>
      </c>
      <c r="G64" s="93">
        <v>1995</v>
      </c>
      <c r="H64" s="88" t="str">
        <f>HYPERLINK("https://www.ncbi.nlm.nih.gov/pubmed/7475605", "7475605")</f>
        <v>7475605</v>
      </c>
      <c r="I64" s="91" t="s">
        <v>453</v>
      </c>
      <c r="J64" s="59">
        <v>0</v>
      </c>
      <c r="K64" s="59">
        <v>0</v>
      </c>
      <c r="L64" s="61">
        <v>0</v>
      </c>
      <c r="M64" s="60">
        <v>1</v>
      </c>
      <c r="N64" s="60">
        <v>1</v>
      </c>
      <c r="O64" s="61">
        <v>0</v>
      </c>
      <c r="P64" s="61">
        <v>0</v>
      </c>
      <c r="Q64" s="60">
        <v>1</v>
      </c>
      <c r="R64" s="62">
        <v>1</v>
      </c>
      <c r="S64" s="81">
        <v>22752515</v>
      </c>
      <c r="T64" s="80"/>
      <c r="U64" s="27" t="s">
        <v>8</v>
      </c>
      <c r="V64" s="26">
        <v>1</v>
      </c>
      <c r="W64" s="32" t="s">
        <v>150</v>
      </c>
      <c r="X64" s="12">
        <v>1</v>
      </c>
      <c r="Y64" s="32">
        <v>0</v>
      </c>
      <c r="Z64" s="32">
        <v>0</v>
      </c>
      <c r="AA64" s="32">
        <v>0</v>
      </c>
      <c r="AB64" s="32">
        <v>0</v>
      </c>
      <c r="AC64" s="32">
        <v>0</v>
      </c>
      <c r="AD64" s="84">
        <v>22752515</v>
      </c>
      <c r="AE64" s="83"/>
      <c r="AK64" s="31"/>
      <c r="AL64" s="33"/>
      <c r="AM64" s="33"/>
    </row>
    <row r="65" spans="1:40" x14ac:dyDescent="0.25">
      <c r="A65" s="99" t="s">
        <v>105</v>
      </c>
      <c r="B65" s="101" t="s">
        <v>479</v>
      </c>
      <c r="C65" s="104" t="s">
        <v>526</v>
      </c>
      <c r="D65" s="13">
        <v>1</v>
      </c>
      <c r="E65" s="49" t="s">
        <v>9</v>
      </c>
      <c r="F65" s="88" t="str">
        <f>HYPERLINK("http://ictvonline.org/taxonomyHistory.asp?taxnode_id=20162487","20162487")</f>
        <v>20162487</v>
      </c>
      <c r="G65" s="93">
        <v>1988</v>
      </c>
      <c r="H65" s="88" t="str">
        <f>HYPERLINK("https://www.ncbi.nlm.nih.gov/pubmed/2898685", "2898685")</f>
        <v>2898685</v>
      </c>
      <c r="I65" s="91" t="s">
        <v>453</v>
      </c>
      <c r="J65" s="9">
        <v>0</v>
      </c>
      <c r="K65" s="72" t="s">
        <v>197</v>
      </c>
      <c r="L65" s="8">
        <v>0</v>
      </c>
      <c r="M65" s="7">
        <v>0</v>
      </c>
      <c r="N65" s="7">
        <v>0</v>
      </c>
      <c r="O65" s="70" t="s">
        <v>197</v>
      </c>
      <c r="P65" s="42">
        <v>0</v>
      </c>
      <c r="Q65" s="42">
        <v>0</v>
      </c>
      <c r="R65" s="72" t="s">
        <v>197</v>
      </c>
      <c r="S65" s="81">
        <v>19833455</v>
      </c>
      <c r="T65" s="79"/>
      <c r="U65" s="24">
        <v>2</v>
      </c>
      <c r="V65" s="24">
        <v>0</v>
      </c>
      <c r="W65" s="12" t="s">
        <v>7</v>
      </c>
      <c r="X65" s="32">
        <v>0</v>
      </c>
      <c r="Y65" s="32">
        <v>0</v>
      </c>
      <c r="Z65" s="12">
        <v>1</v>
      </c>
      <c r="AA65" s="32">
        <v>0</v>
      </c>
      <c r="AB65" s="32">
        <v>0</v>
      </c>
      <c r="AC65" s="32">
        <v>0</v>
      </c>
      <c r="AD65" s="73">
        <v>20638945</v>
      </c>
      <c r="AE65" s="83"/>
      <c r="AK65" s="31"/>
      <c r="AL65" s="33"/>
      <c r="AM65" s="33"/>
      <c r="AN65" s="33"/>
    </row>
    <row r="66" spans="1:40" x14ac:dyDescent="0.25">
      <c r="A66" s="100" t="s">
        <v>256</v>
      </c>
      <c r="B66" s="101" t="s">
        <v>480</v>
      </c>
      <c r="C66" s="104" t="s">
        <v>527</v>
      </c>
      <c r="D66" s="13">
        <v>1</v>
      </c>
      <c r="E66" s="29" t="s">
        <v>10</v>
      </c>
      <c r="F66" s="88" t="str">
        <f>HYPERLINK("http://ictvonline.org/taxonomyHistory.asp?taxnode_id=20162090","20162090")</f>
        <v>20162090</v>
      </c>
      <c r="G66" s="93">
        <v>1996</v>
      </c>
      <c r="H66" s="88" t="str">
        <f>HYPERLINK("https://www.ncbi.nlm.nih.gov/pubmed/8659118", "8659118")</f>
        <v>8659118</v>
      </c>
      <c r="I66" s="91" t="s">
        <v>453</v>
      </c>
      <c r="J66" s="7">
        <v>0</v>
      </c>
      <c r="K66" s="15">
        <v>1</v>
      </c>
      <c r="L66" s="8">
        <v>0</v>
      </c>
      <c r="M66" s="7">
        <v>0</v>
      </c>
      <c r="N66" s="7">
        <v>0</v>
      </c>
      <c r="O66" s="9">
        <v>0</v>
      </c>
      <c r="P66" s="9">
        <v>0</v>
      </c>
      <c r="Q66" s="7">
        <v>0</v>
      </c>
      <c r="R66" s="10">
        <v>0</v>
      </c>
      <c r="S66" s="81">
        <v>15479837</v>
      </c>
      <c r="T66" s="79"/>
      <c r="U66" s="25">
        <v>3</v>
      </c>
      <c r="V66" s="26">
        <v>1</v>
      </c>
      <c r="W66" s="12" t="s">
        <v>7</v>
      </c>
      <c r="X66" s="32">
        <v>0</v>
      </c>
      <c r="Y66" s="32">
        <v>0</v>
      </c>
      <c r="Z66" s="12">
        <v>1</v>
      </c>
      <c r="AA66" s="32">
        <v>0</v>
      </c>
      <c r="AB66" s="32">
        <v>0</v>
      </c>
      <c r="AC66" s="32">
        <v>0</v>
      </c>
      <c r="AD66" s="84" t="s">
        <v>214</v>
      </c>
      <c r="AE66" s="83"/>
      <c r="AK66" s="31"/>
      <c r="AL66" s="33"/>
      <c r="AM66" s="33"/>
    </row>
    <row r="67" spans="1:40" x14ac:dyDescent="0.25">
      <c r="A67" s="100" t="s">
        <v>257</v>
      </c>
      <c r="B67" s="101" t="s">
        <v>480</v>
      </c>
      <c r="C67" s="104" t="s">
        <v>527</v>
      </c>
      <c r="D67" s="13">
        <v>1</v>
      </c>
      <c r="E67" s="29" t="s">
        <v>10</v>
      </c>
      <c r="F67" s="88" t="str">
        <f>HYPERLINK("http://ictvonline.org/taxonomyHistory.asp?taxnode_id=20162091","20162091")</f>
        <v>20162091</v>
      </c>
      <c r="G67" s="93">
        <v>1995</v>
      </c>
      <c r="H67" s="88" t="str">
        <f>HYPERLINK("https://www.ncbi.nlm.nih.gov/pubmed/7853545", "7853545")</f>
        <v>7853545</v>
      </c>
      <c r="I67" s="91" t="s">
        <v>453</v>
      </c>
      <c r="J67" s="7">
        <v>0</v>
      </c>
      <c r="K67" s="15">
        <v>1</v>
      </c>
      <c r="L67" s="8">
        <v>0</v>
      </c>
      <c r="M67" s="7">
        <v>0</v>
      </c>
      <c r="N67" s="7">
        <v>0</v>
      </c>
      <c r="O67" s="9">
        <v>0</v>
      </c>
      <c r="P67" s="9">
        <v>0</v>
      </c>
      <c r="Q67" s="7">
        <v>0</v>
      </c>
      <c r="R67" s="10">
        <v>0</v>
      </c>
      <c r="S67" s="78">
        <v>20836801</v>
      </c>
      <c r="T67" s="79"/>
      <c r="U67" s="24">
        <v>2</v>
      </c>
      <c r="V67" s="24">
        <v>0</v>
      </c>
      <c r="W67" s="12" t="s">
        <v>7</v>
      </c>
      <c r="X67" s="32">
        <v>0</v>
      </c>
      <c r="Y67" s="32">
        <v>0</v>
      </c>
      <c r="Z67" s="12">
        <v>1</v>
      </c>
      <c r="AA67" s="32">
        <v>0</v>
      </c>
      <c r="AB67" s="32">
        <v>0</v>
      </c>
      <c r="AC67" s="32">
        <v>0</v>
      </c>
      <c r="AD67" s="73">
        <v>20836801</v>
      </c>
      <c r="AE67" s="83"/>
      <c r="AK67" s="31"/>
      <c r="AL67" s="33"/>
      <c r="AM67" s="33"/>
      <c r="AN67" s="33"/>
    </row>
    <row r="68" spans="1:40" x14ac:dyDescent="0.25">
      <c r="A68" s="100" t="s">
        <v>258</v>
      </c>
      <c r="B68" s="101" t="s">
        <v>480</v>
      </c>
      <c r="C68" s="104" t="s">
        <v>527</v>
      </c>
      <c r="D68" s="13">
        <v>1</v>
      </c>
      <c r="E68" s="29" t="s">
        <v>10</v>
      </c>
      <c r="F68" s="88" t="str">
        <f>HYPERLINK("http://ictvonline.org/taxonomyHistory.asp?taxnode_id=20162092","20162092")</f>
        <v>20162092</v>
      </c>
      <c r="G68" s="93">
        <v>1995</v>
      </c>
      <c r="H68" s="88" t="str">
        <f>HYPERLINK("https://www.ncbi.nlm.nih.gov/pubmed/7618284", "7618284")</f>
        <v>7618284</v>
      </c>
      <c r="I68" s="91" t="s">
        <v>453</v>
      </c>
      <c r="J68" s="7">
        <v>0</v>
      </c>
      <c r="K68" s="15">
        <v>1</v>
      </c>
      <c r="L68" s="8">
        <v>0</v>
      </c>
      <c r="M68" s="7">
        <v>0</v>
      </c>
      <c r="N68" s="7">
        <v>0</v>
      </c>
      <c r="O68" s="9">
        <v>0</v>
      </c>
      <c r="P68" s="9">
        <v>0</v>
      </c>
      <c r="Q68" s="7">
        <v>0</v>
      </c>
      <c r="R68" s="10">
        <v>0</v>
      </c>
      <c r="S68" s="78" t="s">
        <v>431</v>
      </c>
      <c r="T68" s="79"/>
      <c r="U68" s="24">
        <v>2</v>
      </c>
      <c r="V68" s="24">
        <v>0</v>
      </c>
      <c r="W68" s="12" t="s">
        <v>7</v>
      </c>
      <c r="X68" s="32">
        <v>0</v>
      </c>
      <c r="Y68" s="32">
        <v>0</v>
      </c>
      <c r="Z68" s="12">
        <v>1</v>
      </c>
      <c r="AA68" s="32">
        <v>0</v>
      </c>
      <c r="AB68" s="32">
        <v>0</v>
      </c>
      <c r="AC68" s="32">
        <v>0</v>
      </c>
      <c r="AD68" s="73" t="s">
        <v>431</v>
      </c>
      <c r="AE68" s="83"/>
      <c r="AK68" s="31"/>
      <c r="AL68" s="33"/>
      <c r="AM68" s="33"/>
      <c r="AN68" s="33"/>
    </row>
    <row r="69" spans="1:40" x14ac:dyDescent="0.25">
      <c r="A69" s="100" t="s">
        <v>227</v>
      </c>
      <c r="B69" s="101" t="s">
        <v>480</v>
      </c>
      <c r="C69" s="104" t="s">
        <v>527</v>
      </c>
      <c r="D69" s="13">
        <v>1</v>
      </c>
      <c r="E69" s="29" t="s">
        <v>10</v>
      </c>
      <c r="F69" s="88" t="str">
        <f>HYPERLINK("http://ictvonline.org/taxonomyHistory.asp?taxnode_id=20164779","20164779")</f>
        <v>20164779</v>
      </c>
      <c r="G69" s="93">
        <v>2000</v>
      </c>
      <c r="H69" s="88" t="str">
        <f>HYPERLINK("https://www.ncbi.nlm.nih.gov/pubmed/11062031", "11062031")</f>
        <v>11062031</v>
      </c>
      <c r="I69" s="91" t="s">
        <v>453</v>
      </c>
      <c r="J69" s="7">
        <v>0</v>
      </c>
      <c r="K69" s="71" t="s">
        <v>197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18">
        <v>1</v>
      </c>
      <c r="S69" s="78" t="s">
        <v>399</v>
      </c>
      <c r="T69" s="79"/>
      <c r="U69" s="24">
        <v>2</v>
      </c>
      <c r="V69" s="24">
        <v>0</v>
      </c>
      <c r="W69" s="12" t="s">
        <v>7</v>
      </c>
      <c r="X69" s="32">
        <v>0</v>
      </c>
      <c r="Y69" s="41">
        <v>0</v>
      </c>
      <c r="Z69" s="12">
        <v>1</v>
      </c>
      <c r="AA69" s="32">
        <v>0</v>
      </c>
      <c r="AB69" s="32">
        <v>0</v>
      </c>
      <c r="AC69" s="32">
        <v>0</v>
      </c>
      <c r="AD69" s="73" t="s">
        <v>391</v>
      </c>
      <c r="AE69" s="83"/>
      <c r="AK69" s="31"/>
      <c r="AL69" s="33"/>
      <c r="AM69" s="33"/>
    </row>
    <row r="70" spans="1:40" x14ac:dyDescent="0.25">
      <c r="A70" s="100" t="s">
        <v>259</v>
      </c>
      <c r="B70" s="101" t="s">
        <v>480</v>
      </c>
      <c r="C70" s="104" t="s">
        <v>527</v>
      </c>
      <c r="D70" s="13">
        <v>1</v>
      </c>
      <c r="E70" s="29" t="s">
        <v>10</v>
      </c>
      <c r="F70" s="88" t="str">
        <f>HYPERLINK("http://ictvonline.org/taxonomyHistory.asp?taxnode_id=20162094","20162094")</f>
        <v>20162094</v>
      </c>
      <c r="G70" s="93">
        <v>1992</v>
      </c>
      <c r="H70" s="88" t="str">
        <f>HYPERLINK("https://www.ncbi.nlm.nih.gov/pubmed/1351508", "1351508")</f>
        <v>1351508</v>
      </c>
      <c r="I70" s="91" t="s">
        <v>453</v>
      </c>
      <c r="J70" s="7">
        <v>0</v>
      </c>
      <c r="K70" s="15">
        <v>1</v>
      </c>
      <c r="L70" s="8">
        <v>0</v>
      </c>
      <c r="M70" s="7">
        <v>0</v>
      </c>
      <c r="N70" s="7">
        <v>0</v>
      </c>
      <c r="O70" s="9">
        <v>0</v>
      </c>
      <c r="P70" s="9">
        <v>0</v>
      </c>
      <c r="Q70" s="7">
        <v>0</v>
      </c>
      <c r="R70" s="10">
        <v>0</v>
      </c>
      <c r="S70" s="78" t="s">
        <v>233</v>
      </c>
      <c r="T70" s="79"/>
      <c r="U70" s="24">
        <v>2</v>
      </c>
      <c r="V70" s="24">
        <v>0</v>
      </c>
      <c r="W70" s="12" t="s">
        <v>7</v>
      </c>
      <c r="X70" s="32">
        <v>0</v>
      </c>
      <c r="Y70" s="32">
        <v>0</v>
      </c>
      <c r="Z70" s="12">
        <v>1</v>
      </c>
      <c r="AA70" s="32">
        <v>0</v>
      </c>
      <c r="AB70" s="32">
        <v>0</v>
      </c>
      <c r="AC70" s="32">
        <v>0</v>
      </c>
      <c r="AD70" s="73" t="s">
        <v>233</v>
      </c>
      <c r="AE70" s="83"/>
      <c r="AK70" s="31"/>
      <c r="AL70" s="33"/>
      <c r="AM70" s="33"/>
    </row>
    <row r="71" spans="1:40" x14ac:dyDescent="0.25">
      <c r="A71" s="100" t="s">
        <v>212</v>
      </c>
      <c r="B71" s="101" t="s">
        <v>480</v>
      </c>
      <c r="C71" s="104" t="s">
        <v>527</v>
      </c>
      <c r="D71" s="13">
        <v>1</v>
      </c>
      <c r="E71" s="29" t="s">
        <v>10</v>
      </c>
      <c r="F71" s="88" t="str">
        <f>HYPERLINK("http://ictvonline.org/taxonomyHistory.asp?taxnode_id=20162096","20162096")</f>
        <v>20162096</v>
      </c>
      <c r="G71" s="93">
        <v>1978</v>
      </c>
      <c r="H71" s="88" t="str">
        <f>HYPERLINK("https://www.ncbi.nlm.nih.gov/pubmed/24670", "24670")</f>
        <v>24670</v>
      </c>
      <c r="I71" s="91" t="s">
        <v>453</v>
      </c>
      <c r="J71" s="7">
        <v>0</v>
      </c>
      <c r="K71" s="15">
        <v>1</v>
      </c>
      <c r="L71" s="8">
        <v>0</v>
      </c>
      <c r="M71" s="7">
        <v>0</v>
      </c>
      <c r="N71" s="7">
        <v>0</v>
      </c>
      <c r="O71" s="9">
        <v>0</v>
      </c>
      <c r="P71" s="9">
        <v>0</v>
      </c>
      <c r="Q71" s="7">
        <v>0</v>
      </c>
      <c r="R71" s="10">
        <v>0</v>
      </c>
      <c r="S71" s="85">
        <v>18305044</v>
      </c>
      <c r="T71" s="81"/>
      <c r="U71" s="24">
        <v>2</v>
      </c>
      <c r="V71" s="24">
        <v>0</v>
      </c>
      <c r="W71" s="12" t="s">
        <v>7</v>
      </c>
      <c r="X71" s="32">
        <v>0</v>
      </c>
      <c r="Y71" s="32">
        <v>0</v>
      </c>
      <c r="Z71" s="12">
        <v>1</v>
      </c>
      <c r="AA71" s="32">
        <v>0</v>
      </c>
      <c r="AB71" s="32">
        <v>0</v>
      </c>
      <c r="AC71" s="32">
        <v>0</v>
      </c>
      <c r="AD71" s="84" t="s">
        <v>269</v>
      </c>
      <c r="AE71" s="83"/>
      <c r="AK71" s="31"/>
      <c r="AL71" s="33"/>
      <c r="AM71" s="33"/>
    </row>
    <row r="72" spans="1:40" x14ac:dyDescent="0.25">
      <c r="A72" s="100" t="s">
        <v>260</v>
      </c>
      <c r="B72" s="101" t="s">
        <v>480</v>
      </c>
      <c r="C72" s="104" t="s">
        <v>527</v>
      </c>
      <c r="D72" s="13">
        <v>1</v>
      </c>
      <c r="E72" s="29" t="s">
        <v>10</v>
      </c>
      <c r="F72" s="88" t="str">
        <f>HYPERLINK("http://ictvonline.org/taxonomyHistory.asp?taxnode_id=20162099","20162099")</f>
        <v>20162099</v>
      </c>
      <c r="G72" s="93">
        <v>1997</v>
      </c>
      <c r="H72" s="88" t="str">
        <f>HYPERLINK("https://www.ncbi.nlm.nih.gov/pubmed/9375015", "9375015")</f>
        <v>9375015</v>
      </c>
      <c r="I72" s="91" t="s">
        <v>453</v>
      </c>
      <c r="J72" s="7">
        <v>0</v>
      </c>
      <c r="K72" s="15">
        <v>1</v>
      </c>
      <c r="L72" s="8">
        <v>0</v>
      </c>
      <c r="M72" s="7">
        <v>0</v>
      </c>
      <c r="N72" s="7">
        <v>0</v>
      </c>
      <c r="O72" s="9">
        <v>0</v>
      </c>
      <c r="P72" s="9">
        <v>0</v>
      </c>
      <c r="Q72" s="7">
        <v>0</v>
      </c>
      <c r="R72" s="10">
        <v>0</v>
      </c>
      <c r="S72" s="78" t="s">
        <v>304</v>
      </c>
      <c r="T72" s="79"/>
      <c r="U72" s="24">
        <v>2</v>
      </c>
      <c r="V72" s="24">
        <v>0</v>
      </c>
      <c r="W72" s="12" t="s">
        <v>7</v>
      </c>
      <c r="X72" s="32">
        <v>0</v>
      </c>
      <c r="Y72" s="32">
        <v>0</v>
      </c>
      <c r="Z72" s="12">
        <v>1</v>
      </c>
      <c r="AA72" s="32">
        <v>0</v>
      </c>
      <c r="AB72" s="32">
        <v>0</v>
      </c>
      <c r="AC72" s="32">
        <v>0</v>
      </c>
      <c r="AD72" s="73" t="s">
        <v>304</v>
      </c>
      <c r="AE72" s="83"/>
      <c r="AK72" s="31"/>
      <c r="AL72" s="33"/>
      <c r="AM72" s="33"/>
    </row>
    <row r="73" spans="1:40" x14ac:dyDescent="0.25">
      <c r="A73" s="100" t="s">
        <v>261</v>
      </c>
      <c r="B73" s="101" t="s">
        <v>480</v>
      </c>
      <c r="C73" s="104" t="s">
        <v>527</v>
      </c>
      <c r="D73" s="13">
        <v>1</v>
      </c>
      <c r="E73" s="29" t="s">
        <v>10</v>
      </c>
      <c r="F73" s="88" t="str">
        <f>HYPERLINK("http://ictvonline.org/taxonomyHistory.asp?taxnode_id=20162103","20162103")</f>
        <v>20162103</v>
      </c>
      <c r="G73" s="93">
        <v>1980</v>
      </c>
      <c r="H73" s="88" t="str">
        <f>HYPERLINK("https://www.ncbi.nlm.nih.gov/pubmed/6102587", "6102587")</f>
        <v>6102587</v>
      </c>
      <c r="I73" s="91" t="s">
        <v>453</v>
      </c>
      <c r="J73" s="7">
        <v>0</v>
      </c>
      <c r="K73" s="15">
        <v>1</v>
      </c>
      <c r="L73" s="8">
        <v>0</v>
      </c>
      <c r="M73" s="7">
        <v>0</v>
      </c>
      <c r="N73" s="7">
        <v>0</v>
      </c>
      <c r="O73" s="9">
        <v>0</v>
      </c>
      <c r="P73" s="9">
        <v>0</v>
      </c>
      <c r="Q73" s="7">
        <v>0</v>
      </c>
      <c r="R73" s="10">
        <v>0</v>
      </c>
      <c r="S73" s="78" t="s">
        <v>233</v>
      </c>
      <c r="T73" s="79"/>
      <c r="U73" s="24">
        <v>2</v>
      </c>
      <c r="V73" s="24">
        <v>0</v>
      </c>
      <c r="W73" s="12" t="s">
        <v>7</v>
      </c>
      <c r="X73" s="32">
        <v>0</v>
      </c>
      <c r="Y73" s="32">
        <v>0</v>
      </c>
      <c r="Z73" s="12">
        <v>1</v>
      </c>
      <c r="AA73" s="32">
        <v>0</v>
      </c>
      <c r="AB73" s="32">
        <v>0</v>
      </c>
      <c r="AC73" s="32">
        <v>0</v>
      </c>
      <c r="AD73" s="73" t="s">
        <v>233</v>
      </c>
      <c r="AE73" s="83"/>
      <c r="AK73" s="31"/>
      <c r="AL73" s="33"/>
      <c r="AM73" s="33"/>
    </row>
    <row r="74" spans="1:40" x14ac:dyDescent="0.25">
      <c r="A74" s="101" t="s">
        <v>262</v>
      </c>
      <c r="B74" s="101" t="s">
        <v>480</v>
      </c>
      <c r="C74" s="104" t="s">
        <v>527</v>
      </c>
      <c r="D74" s="13">
        <v>1</v>
      </c>
      <c r="E74" s="28" t="s">
        <v>10</v>
      </c>
      <c r="F74" s="88" t="str">
        <f>HYPERLINK("http://ictvonline.org/taxonomyHistory.asp?taxnode_id=20162107","20162107")</f>
        <v>20162107</v>
      </c>
      <c r="G74" s="94">
        <v>2010</v>
      </c>
      <c r="H74" s="88" t="str">
        <f>HYPERLINK("https://www.ncbi.nlm.nih.gov/pubmed/20187741", "20187741")</f>
        <v>20187741</v>
      </c>
      <c r="I74" s="92" t="s">
        <v>454</v>
      </c>
      <c r="J74" s="9">
        <v>0</v>
      </c>
      <c r="K74" s="15">
        <v>1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  <c r="R74" s="10">
        <v>0</v>
      </c>
      <c r="S74" s="78" t="s">
        <v>419</v>
      </c>
      <c r="T74" s="79"/>
      <c r="U74" s="11">
        <v>2</v>
      </c>
      <c r="V74" s="11">
        <v>0</v>
      </c>
      <c r="W74" s="12" t="s">
        <v>7</v>
      </c>
      <c r="X74" s="32">
        <v>0</v>
      </c>
      <c r="Y74" s="32">
        <v>0</v>
      </c>
      <c r="Z74" s="12">
        <v>1</v>
      </c>
      <c r="AA74" s="32">
        <v>0</v>
      </c>
      <c r="AB74" s="32">
        <v>0</v>
      </c>
      <c r="AC74" s="32">
        <v>0</v>
      </c>
      <c r="AD74" s="73" t="s">
        <v>419</v>
      </c>
      <c r="AE74" s="83"/>
      <c r="AK74" s="31"/>
      <c r="AL74" s="33"/>
      <c r="AM74" s="33"/>
    </row>
    <row r="75" spans="1:40" x14ac:dyDescent="0.25">
      <c r="A75" s="100" t="s">
        <v>263</v>
      </c>
      <c r="B75" s="101" t="s">
        <v>480</v>
      </c>
      <c r="C75" s="104" t="s">
        <v>527</v>
      </c>
      <c r="D75" s="13">
        <v>1</v>
      </c>
      <c r="E75" s="29" t="s">
        <v>10</v>
      </c>
      <c r="F75" s="88" t="str">
        <f>HYPERLINK("http://ictvonline.org/taxonomyHistory.asp?taxnode_id=20162108","20162108")</f>
        <v>20162108</v>
      </c>
      <c r="G75" s="93">
        <v>1982</v>
      </c>
      <c r="H75" s="88" t="str">
        <f>HYPERLINK("https://www.ncbi.nlm.nih.gov/pubmed/6128079", "6128079")</f>
        <v>6128079</v>
      </c>
      <c r="I75" s="91" t="s">
        <v>453</v>
      </c>
      <c r="J75" s="7">
        <v>0</v>
      </c>
      <c r="K75" s="15">
        <v>1</v>
      </c>
      <c r="L75" s="8">
        <v>0</v>
      </c>
      <c r="M75" s="7">
        <v>0</v>
      </c>
      <c r="N75" s="7">
        <v>0</v>
      </c>
      <c r="O75" s="9">
        <v>0</v>
      </c>
      <c r="P75" s="44">
        <v>0</v>
      </c>
      <c r="Q75" s="45">
        <v>0</v>
      </c>
      <c r="R75" s="10">
        <v>0</v>
      </c>
      <c r="S75" s="78" t="s">
        <v>433</v>
      </c>
      <c r="T75" s="79"/>
      <c r="U75" s="24">
        <v>2</v>
      </c>
      <c r="V75" s="24">
        <v>0</v>
      </c>
      <c r="W75" s="12" t="s">
        <v>7</v>
      </c>
      <c r="X75" s="32">
        <v>0</v>
      </c>
      <c r="Y75" s="32">
        <v>0</v>
      </c>
      <c r="Z75" s="12">
        <v>1</v>
      </c>
      <c r="AA75" s="32">
        <v>0</v>
      </c>
      <c r="AB75" s="32">
        <v>0</v>
      </c>
      <c r="AC75" s="32">
        <v>0</v>
      </c>
      <c r="AD75" s="73" t="s">
        <v>433</v>
      </c>
      <c r="AE75" s="83"/>
      <c r="AK75" s="31"/>
      <c r="AL75" s="33"/>
      <c r="AM75" s="33"/>
    </row>
    <row r="76" spans="1:40" x14ac:dyDescent="0.25">
      <c r="A76" s="100" t="s">
        <v>264</v>
      </c>
      <c r="B76" s="101" t="s">
        <v>480</v>
      </c>
      <c r="C76" s="104" t="s">
        <v>527</v>
      </c>
      <c r="D76" s="13">
        <v>1</v>
      </c>
      <c r="E76" s="29" t="s">
        <v>10</v>
      </c>
      <c r="F76" s="88" t="str">
        <f>HYPERLINK("http://ictvonline.org/taxonomyHistory.asp?taxnode_id=20162109","20162109")</f>
        <v>20162109</v>
      </c>
      <c r="G76" s="93">
        <v>1993</v>
      </c>
      <c r="H76" s="88" t="str">
        <f>HYPERLINK("https://www.ncbi.nlm.nih.gov/pubmed/8235615", "8235615")</f>
        <v>8235615</v>
      </c>
      <c r="I76" s="91" t="s">
        <v>453</v>
      </c>
      <c r="J76" s="7">
        <v>0</v>
      </c>
      <c r="K76" s="15">
        <v>1</v>
      </c>
      <c r="L76" s="8">
        <v>0</v>
      </c>
      <c r="M76" s="7">
        <v>0</v>
      </c>
      <c r="N76" s="7">
        <v>0</v>
      </c>
      <c r="O76" s="9">
        <v>0</v>
      </c>
      <c r="P76" s="44">
        <v>0</v>
      </c>
      <c r="Q76" s="45">
        <v>0</v>
      </c>
      <c r="R76" s="10">
        <v>0</v>
      </c>
      <c r="S76" s="78" t="s">
        <v>432</v>
      </c>
      <c r="T76" s="79"/>
      <c r="U76" s="24">
        <v>2</v>
      </c>
      <c r="V76" s="24">
        <v>0</v>
      </c>
      <c r="W76" s="12" t="s">
        <v>7</v>
      </c>
      <c r="X76" s="32">
        <v>0</v>
      </c>
      <c r="Y76" s="32">
        <v>0</v>
      </c>
      <c r="Z76" s="12">
        <v>1</v>
      </c>
      <c r="AA76" s="32">
        <v>0</v>
      </c>
      <c r="AB76" s="32">
        <v>0</v>
      </c>
      <c r="AC76" s="32">
        <v>0</v>
      </c>
      <c r="AD76" s="73" t="s">
        <v>432</v>
      </c>
      <c r="AE76" s="83"/>
      <c r="AK76" s="31"/>
      <c r="AL76" s="33"/>
      <c r="AM76" s="33"/>
      <c r="AN76" s="49"/>
    </row>
    <row r="77" spans="1:40" x14ac:dyDescent="0.25">
      <c r="A77" s="99" t="s">
        <v>265</v>
      </c>
      <c r="B77" s="101" t="s">
        <v>480</v>
      </c>
      <c r="C77" s="104" t="s">
        <v>527</v>
      </c>
      <c r="D77" s="13">
        <v>1</v>
      </c>
      <c r="E77" s="49" t="s">
        <v>10</v>
      </c>
      <c r="F77" s="88" t="str">
        <f>HYPERLINK("http://ictvonline.org/taxonomyHistory.asp?taxnode_id=20162110","20162110")</f>
        <v>20162110</v>
      </c>
      <c r="G77" s="93">
        <v>2006</v>
      </c>
      <c r="H77" s="88" t="str">
        <f>HYPERLINK("https://www.ncbi.nlm.nih.gov/pubmed/17124002", "17124002")</f>
        <v>17124002</v>
      </c>
      <c r="I77" s="92" t="s">
        <v>454</v>
      </c>
      <c r="J77" s="9">
        <v>0</v>
      </c>
      <c r="K77" s="71" t="s">
        <v>197</v>
      </c>
      <c r="L77" s="9">
        <v>0</v>
      </c>
      <c r="M77" s="9">
        <v>0</v>
      </c>
      <c r="N77" s="9">
        <v>0</v>
      </c>
      <c r="O77" s="9">
        <v>0</v>
      </c>
      <c r="P77" s="42">
        <v>0</v>
      </c>
      <c r="Q77" s="42">
        <v>0</v>
      </c>
      <c r="R77" s="1">
        <v>0</v>
      </c>
      <c r="S77" s="78" t="s">
        <v>425</v>
      </c>
      <c r="T77" s="79"/>
      <c r="U77" s="24">
        <v>2</v>
      </c>
      <c r="V77" s="24">
        <v>0</v>
      </c>
      <c r="W77" s="12" t="s">
        <v>7</v>
      </c>
      <c r="X77" s="32">
        <v>0</v>
      </c>
      <c r="Y77" s="32">
        <v>0</v>
      </c>
      <c r="Z77" s="12">
        <v>1</v>
      </c>
      <c r="AA77" s="32">
        <v>0</v>
      </c>
      <c r="AB77" s="32">
        <v>0</v>
      </c>
      <c r="AC77" s="32">
        <v>0</v>
      </c>
      <c r="AD77" s="73" t="s">
        <v>362</v>
      </c>
      <c r="AE77" s="83"/>
      <c r="AK77" s="31"/>
      <c r="AL77" s="33"/>
      <c r="AM77" s="33"/>
      <c r="AN77" s="49"/>
    </row>
    <row r="78" spans="1:40" x14ac:dyDescent="0.25">
      <c r="A78" s="102" t="s">
        <v>266</v>
      </c>
      <c r="B78" s="101" t="s">
        <v>480</v>
      </c>
      <c r="C78" s="104" t="s">
        <v>527</v>
      </c>
      <c r="D78" s="13">
        <v>1</v>
      </c>
      <c r="E78" s="49" t="s">
        <v>10</v>
      </c>
      <c r="F78" s="88" t="str">
        <f>HYPERLINK("http://ictvonline.org/taxonomyHistory.asp?taxnode_id=20162111","20162111")</f>
        <v>20162111</v>
      </c>
      <c r="G78" s="93">
        <v>2007</v>
      </c>
      <c r="H78" s="88" t="str">
        <f>HYPERLINK("https://www.ncbi.nlm.nih.gov/pubmed/17182762", "17182762")</f>
        <v>17182762</v>
      </c>
      <c r="I78" s="91" t="s">
        <v>453</v>
      </c>
      <c r="J78" s="7">
        <v>0</v>
      </c>
      <c r="K78" s="71" t="s">
        <v>197</v>
      </c>
      <c r="L78" s="7">
        <v>0</v>
      </c>
      <c r="M78" s="7">
        <v>0</v>
      </c>
      <c r="N78" s="9">
        <v>0</v>
      </c>
      <c r="O78" s="9">
        <v>0</v>
      </c>
      <c r="P78" s="44">
        <v>0</v>
      </c>
      <c r="Q78" s="44">
        <v>0</v>
      </c>
      <c r="R78" s="10">
        <v>0</v>
      </c>
      <c r="S78" s="78" t="s">
        <v>364</v>
      </c>
      <c r="T78" s="79"/>
      <c r="U78" s="24">
        <v>2</v>
      </c>
      <c r="V78" s="24">
        <v>0</v>
      </c>
      <c r="W78" s="51" t="s">
        <v>7</v>
      </c>
      <c r="X78" s="41">
        <v>0</v>
      </c>
      <c r="Y78" s="41">
        <v>0</v>
      </c>
      <c r="Z78" s="12">
        <v>1</v>
      </c>
      <c r="AA78" s="32">
        <v>0</v>
      </c>
      <c r="AB78" s="32">
        <v>0</v>
      </c>
      <c r="AC78" s="32">
        <v>0</v>
      </c>
      <c r="AD78" s="73" t="s">
        <v>364</v>
      </c>
      <c r="AE78" s="83"/>
      <c r="AK78" s="31"/>
      <c r="AL78" s="33"/>
      <c r="AM78" s="33"/>
    </row>
    <row r="79" spans="1:40" x14ac:dyDescent="0.25">
      <c r="A79" s="99" t="s">
        <v>267</v>
      </c>
      <c r="B79" s="101" t="s">
        <v>480</v>
      </c>
      <c r="C79" s="104" t="s">
        <v>527</v>
      </c>
      <c r="D79" s="13">
        <v>1</v>
      </c>
      <c r="E79" s="49" t="s">
        <v>10</v>
      </c>
      <c r="F79" s="88" t="str">
        <f>HYPERLINK("http://ictvonline.org/taxonomyHistory.asp?taxnode_id=20162113","20162113")</f>
        <v>20162113</v>
      </c>
      <c r="G79" s="93">
        <v>1996</v>
      </c>
      <c r="H79" s="88" t="str">
        <f>HYPERLINK("https://www.ncbi.nlm.nih.gov/pubmed/9000098", "9000098")</f>
        <v>9000098</v>
      </c>
      <c r="I79" s="91" t="s">
        <v>453</v>
      </c>
      <c r="J79" s="9">
        <v>0</v>
      </c>
      <c r="K79" s="71" t="s">
        <v>197</v>
      </c>
      <c r="L79" s="9">
        <v>0</v>
      </c>
      <c r="M79" s="9">
        <v>0</v>
      </c>
      <c r="N79" s="9">
        <v>0</v>
      </c>
      <c r="O79" s="9">
        <v>0</v>
      </c>
      <c r="P79" s="43">
        <v>1</v>
      </c>
      <c r="Q79" s="42">
        <v>0</v>
      </c>
      <c r="R79" s="16">
        <v>1</v>
      </c>
      <c r="S79" s="78" t="s">
        <v>370</v>
      </c>
      <c r="T79" s="79"/>
      <c r="U79" s="24">
        <v>2</v>
      </c>
      <c r="V79" s="24">
        <v>0</v>
      </c>
      <c r="W79" s="12" t="s">
        <v>7</v>
      </c>
      <c r="X79" s="32">
        <v>0</v>
      </c>
      <c r="Y79" s="32">
        <v>0</v>
      </c>
      <c r="Z79" s="12">
        <v>1</v>
      </c>
      <c r="AA79" s="32">
        <v>0</v>
      </c>
      <c r="AB79" s="32">
        <v>0</v>
      </c>
      <c r="AC79" s="32">
        <v>0</v>
      </c>
      <c r="AD79" s="73" t="s">
        <v>370</v>
      </c>
      <c r="AE79" s="83"/>
      <c r="AK79" s="29"/>
      <c r="AL79" s="33"/>
      <c r="AM79" s="33"/>
    </row>
    <row r="80" spans="1:40" x14ac:dyDescent="0.25">
      <c r="A80" s="100" t="s">
        <v>122</v>
      </c>
      <c r="B80" s="101" t="s">
        <v>481</v>
      </c>
      <c r="C80" s="104" t="s">
        <v>528</v>
      </c>
      <c r="D80" s="14">
        <v>0</v>
      </c>
      <c r="E80" s="29" t="s">
        <v>9</v>
      </c>
      <c r="F80" s="88" t="str">
        <f>HYPERLINK("http://ictvonline.org/taxonomyHistory.asp?taxnode_id=20162905","20162905")</f>
        <v>20162905</v>
      </c>
      <c r="G80" s="93">
        <v>1983</v>
      </c>
      <c r="H80" s="88" t="str">
        <f>HYPERLINK("https://www.ncbi.nlm.nih.gov/pubmed/6409836", "6409836")</f>
        <v>6409836</v>
      </c>
      <c r="I80" s="91" t="s">
        <v>453</v>
      </c>
      <c r="J80" s="7">
        <v>0</v>
      </c>
      <c r="K80" s="7">
        <v>0</v>
      </c>
      <c r="L80" s="17">
        <v>1</v>
      </c>
      <c r="M80" s="7">
        <v>0</v>
      </c>
      <c r="N80" s="7">
        <v>0</v>
      </c>
      <c r="O80" s="9">
        <v>0</v>
      </c>
      <c r="P80" s="9">
        <v>0</v>
      </c>
      <c r="Q80" s="17">
        <v>1</v>
      </c>
      <c r="R80" s="10">
        <v>0</v>
      </c>
      <c r="S80" s="78" t="s">
        <v>327</v>
      </c>
      <c r="T80" s="79"/>
      <c r="U80" s="21" t="s">
        <v>24</v>
      </c>
      <c r="V80" s="26">
        <v>1</v>
      </c>
      <c r="W80" s="12" t="s">
        <v>7</v>
      </c>
      <c r="X80" s="32">
        <v>0</v>
      </c>
      <c r="Y80" s="12">
        <v>1</v>
      </c>
      <c r="Z80" s="12">
        <v>1</v>
      </c>
      <c r="AA80" s="12">
        <v>1</v>
      </c>
      <c r="AB80" s="32">
        <v>0</v>
      </c>
      <c r="AC80" s="32">
        <v>0</v>
      </c>
      <c r="AD80" s="73" t="s">
        <v>327</v>
      </c>
      <c r="AE80" s="84" t="s">
        <v>328</v>
      </c>
      <c r="AK80" s="31"/>
      <c r="AL80" s="33"/>
      <c r="AM80" s="33"/>
    </row>
    <row r="81" spans="1:40" x14ac:dyDescent="0.25">
      <c r="A81" s="100" t="s">
        <v>234</v>
      </c>
      <c r="B81" s="101" t="s">
        <v>482</v>
      </c>
      <c r="C81" s="104" t="s">
        <v>529</v>
      </c>
      <c r="D81" s="13">
        <v>1</v>
      </c>
      <c r="E81" s="29" t="s">
        <v>10</v>
      </c>
      <c r="F81" s="88" t="str">
        <f>HYPERLINK("http://ictvonline.org/taxonomyHistory.asp?taxnode_id=20162115","20162115")</f>
        <v>20162115</v>
      </c>
      <c r="G81" s="93">
        <v>1967</v>
      </c>
      <c r="H81" s="88" t="str">
        <f>HYPERLINK("https://www.ncbi.nlm.nih.gov/pubmed/6040759", "6040759")</f>
        <v>6040759</v>
      </c>
      <c r="I81" s="91" t="s">
        <v>453</v>
      </c>
      <c r="J81" s="15">
        <v>1</v>
      </c>
      <c r="K81" s="7">
        <v>0</v>
      </c>
      <c r="L81" s="8">
        <v>0</v>
      </c>
      <c r="M81" s="7">
        <v>0</v>
      </c>
      <c r="N81" s="7">
        <v>0</v>
      </c>
      <c r="O81" s="9">
        <v>0</v>
      </c>
      <c r="P81" s="44">
        <v>0</v>
      </c>
      <c r="Q81" s="45">
        <v>0</v>
      </c>
      <c r="R81" s="10">
        <v>0</v>
      </c>
      <c r="S81" s="81">
        <v>22300969</v>
      </c>
      <c r="T81" s="81">
        <v>10747269</v>
      </c>
      <c r="U81" s="25">
        <v>3</v>
      </c>
      <c r="V81" s="26">
        <v>1</v>
      </c>
      <c r="W81" s="12" t="s">
        <v>7</v>
      </c>
      <c r="X81" s="32">
        <v>0</v>
      </c>
      <c r="Y81" s="32">
        <v>0</v>
      </c>
      <c r="Z81" s="12">
        <v>1</v>
      </c>
      <c r="AA81" s="12">
        <v>1</v>
      </c>
      <c r="AB81" s="32">
        <v>0</v>
      </c>
      <c r="AC81" s="32">
        <v>0</v>
      </c>
      <c r="AD81" s="73" t="s">
        <v>228</v>
      </c>
      <c r="AE81" s="73" t="s">
        <v>229</v>
      </c>
      <c r="AK81" s="29"/>
      <c r="AL81" s="33"/>
      <c r="AM81" s="33"/>
    </row>
    <row r="82" spans="1:40" x14ac:dyDescent="0.25">
      <c r="A82" s="101" t="s">
        <v>235</v>
      </c>
      <c r="B82" s="101" t="s">
        <v>482</v>
      </c>
      <c r="C82" s="104" t="s">
        <v>529</v>
      </c>
      <c r="D82" s="13">
        <v>1</v>
      </c>
      <c r="E82" s="29" t="s">
        <v>10</v>
      </c>
      <c r="F82" s="88" t="str">
        <f>HYPERLINK("http://ictvonline.org/taxonomyHistory.asp?taxnode_id=20162117","20162117")</f>
        <v>20162117</v>
      </c>
      <c r="G82" s="93">
        <v>1969</v>
      </c>
      <c r="H82" s="88" t="str">
        <f>HYPERLINK("https://www.ncbi.nlm.nih.gov/pubmed/5409104", "5409104")</f>
        <v>5409104</v>
      </c>
      <c r="I82" s="91" t="s">
        <v>453</v>
      </c>
      <c r="J82" s="15">
        <v>1</v>
      </c>
      <c r="K82" s="7">
        <v>0</v>
      </c>
      <c r="L82" s="8">
        <v>0</v>
      </c>
      <c r="M82" s="7">
        <v>0</v>
      </c>
      <c r="N82" s="7">
        <v>0</v>
      </c>
      <c r="O82" s="9">
        <v>0</v>
      </c>
      <c r="P82" s="44">
        <v>0</v>
      </c>
      <c r="Q82" s="45">
        <v>0</v>
      </c>
      <c r="R82" s="10">
        <v>0</v>
      </c>
      <c r="S82" s="78" t="s">
        <v>400</v>
      </c>
      <c r="T82" s="79"/>
      <c r="U82" s="24">
        <v>2</v>
      </c>
      <c r="V82" s="24">
        <v>0</v>
      </c>
      <c r="W82" s="12" t="s">
        <v>7</v>
      </c>
      <c r="X82" s="32">
        <v>0</v>
      </c>
      <c r="Y82" s="12">
        <v>1</v>
      </c>
      <c r="Z82" s="12">
        <v>1</v>
      </c>
      <c r="AA82" s="32">
        <v>0</v>
      </c>
      <c r="AB82" s="32">
        <v>0</v>
      </c>
      <c r="AC82" s="32">
        <v>0</v>
      </c>
      <c r="AD82" s="73" t="s">
        <v>401</v>
      </c>
      <c r="AE82" s="83"/>
      <c r="AK82" s="31"/>
      <c r="AL82" s="33"/>
      <c r="AM82" s="33"/>
    </row>
    <row r="83" spans="1:40" x14ac:dyDescent="0.25">
      <c r="A83" s="102" t="s">
        <v>236</v>
      </c>
      <c r="B83" s="101" t="s">
        <v>482</v>
      </c>
      <c r="C83" s="104" t="s">
        <v>529</v>
      </c>
      <c r="D83" s="13">
        <v>1</v>
      </c>
      <c r="E83" s="29" t="s">
        <v>10</v>
      </c>
      <c r="F83" s="88" t="str">
        <f>HYPERLINK("http://ictvonline.org/taxonomyHistory.asp?taxnode_id=20162121","20162121")</f>
        <v>20162121</v>
      </c>
      <c r="G83" s="93">
        <v>1989</v>
      </c>
      <c r="H83" s="88" t="str">
        <f>HYPERLINK("https://www.ncbi.nlm.nih.gov/pubmed/2570514", "2570514")</f>
        <v>2570514</v>
      </c>
      <c r="I83" s="91" t="s">
        <v>453</v>
      </c>
      <c r="J83" s="15">
        <v>1</v>
      </c>
      <c r="K83" s="7">
        <v>0</v>
      </c>
      <c r="L83" s="7">
        <v>0</v>
      </c>
      <c r="M83" s="7">
        <v>0</v>
      </c>
      <c r="N83" s="9">
        <v>0</v>
      </c>
      <c r="O83" s="9">
        <v>0</v>
      </c>
      <c r="P83" s="9">
        <v>0</v>
      </c>
      <c r="Q83" s="9">
        <v>0</v>
      </c>
      <c r="R83" s="10">
        <v>0</v>
      </c>
      <c r="S83" s="81" t="s">
        <v>363</v>
      </c>
      <c r="T83" s="79"/>
      <c r="U83" s="24">
        <v>2</v>
      </c>
      <c r="V83" s="24">
        <v>0</v>
      </c>
      <c r="W83" s="51" t="s">
        <v>7</v>
      </c>
      <c r="X83" s="41">
        <v>0</v>
      </c>
      <c r="Y83" s="41">
        <v>0</v>
      </c>
      <c r="Z83" s="12">
        <v>1</v>
      </c>
      <c r="AA83" s="57">
        <v>0</v>
      </c>
      <c r="AB83" s="32">
        <v>0</v>
      </c>
      <c r="AC83" s="32">
        <v>0</v>
      </c>
      <c r="AD83" s="84" t="s">
        <v>363</v>
      </c>
      <c r="AE83" s="83"/>
      <c r="AK83" s="31"/>
      <c r="AL83" s="33"/>
      <c r="AM83" s="33"/>
    </row>
    <row r="84" spans="1:40" x14ac:dyDescent="0.25">
      <c r="A84" s="100" t="s">
        <v>44</v>
      </c>
      <c r="B84" s="101" t="s">
        <v>483</v>
      </c>
      <c r="C84" s="104" t="s">
        <v>530</v>
      </c>
      <c r="D84" s="13">
        <v>1</v>
      </c>
      <c r="E84" s="29" t="s">
        <v>10</v>
      </c>
      <c r="F84" s="88" t="str">
        <f>HYPERLINK("http://ictvonline.org/taxonomyHistory.asp?taxnode_id=20163200","20163200")</f>
        <v>20163200</v>
      </c>
      <c r="G84" s="93">
        <v>1933</v>
      </c>
      <c r="H84" s="88" t="str">
        <f>HYPERLINK("http://www.sciencedirect.com/science/article/pii/S0140673600785412", "Available from external site")</f>
        <v>Available from external site</v>
      </c>
      <c r="I84" s="91" t="s">
        <v>453</v>
      </c>
      <c r="J84" s="7">
        <v>0</v>
      </c>
      <c r="K84" s="17">
        <v>1</v>
      </c>
      <c r="L84" s="8">
        <v>0</v>
      </c>
      <c r="M84" s="7">
        <v>0</v>
      </c>
      <c r="N84" s="7">
        <v>0</v>
      </c>
      <c r="O84" s="9">
        <v>0</v>
      </c>
      <c r="P84" s="9">
        <v>0</v>
      </c>
      <c r="Q84" s="17">
        <v>1</v>
      </c>
      <c r="R84" s="18">
        <v>1</v>
      </c>
      <c r="S84" s="81">
        <v>23746799</v>
      </c>
      <c r="T84" s="81">
        <v>28302313</v>
      </c>
      <c r="U84" s="26" t="s">
        <v>24</v>
      </c>
      <c r="V84" s="26">
        <v>1</v>
      </c>
      <c r="W84" s="12" t="s">
        <v>7</v>
      </c>
      <c r="X84" s="32">
        <v>0</v>
      </c>
      <c r="Y84" s="12">
        <v>1</v>
      </c>
      <c r="Z84" s="12">
        <v>1</v>
      </c>
      <c r="AA84" s="12">
        <v>1</v>
      </c>
      <c r="AB84" s="32">
        <v>0</v>
      </c>
      <c r="AC84" s="32">
        <v>0</v>
      </c>
      <c r="AD84" s="73" t="s">
        <v>438</v>
      </c>
      <c r="AE84" s="73" t="s">
        <v>291</v>
      </c>
      <c r="AK84" s="31"/>
      <c r="AL84" s="33"/>
      <c r="AM84" s="33"/>
      <c r="AN84" s="49"/>
    </row>
    <row r="85" spans="1:40" x14ac:dyDescent="0.25">
      <c r="A85" s="100" t="s">
        <v>45</v>
      </c>
      <c r="B85" s="101" t="s">
        <v>484</v>
      </c>
      <c r="C85" s="104" t="s">
        <v>530</v>
      </c>
      <c r="D85" s="13">
        <v>1</v>
      </c>
      <c r="E85" s="29" t="s">
        <v>10</v>
      </c>
      <c r="F85" s="88" t="str">
        <f>HYPERLINK("http://ictvonline.org/taxonomyHistory.asp?taxnode_id=20163202","20163202")</f>
        <v>20163202</v>
      </c>
      <c r="G85" s="93">
        <v>1940</v>
      </c>
      <c r="H85" s="88" t="str">
        <f>HYPERLINK("http://journals.sagepub.com/doi/abs/10.3181/00379727-45-11862P", "Available from external site")</f>
        <v>Available from external site</v>
      </c>
      <c r="I85" s="91" t="s">
        <v>453</v>
      </c>
      <c r="J85" s="7">
        <v>0</v>
      </c>
      <c r="K85" s="17">
        <v>1</v>
      </c>
      <c r="L85" s="8">
        <v>0</v>
      </c>
      <c r="M85" s="7">
        <v>0</v>
      </c>
      <c r="N85" s="7">
        <v>0</v>
      </c>
      <c r="O85" s="9">
        <v>0</v>
      </c>
      <c r="P85" s="9">
        <v>0</v>
      </c>
      <c r="Q85" s="7">
        <v>0</v>
      </c>
      <c r="R85" s="18">
        <v>1</v>
      </c>
      <c r="S85" s="81">
        <v>25268241</v>
      </c>
      <c r="T85" s="81">
        <v>28302313</v>
      </c>
      <c r="U85" s="26" t="s">
        <v>24</v>
      </c>
      <c r="V85" s="26">
        <v>1</v>
      </c>
      <c r="W85" s="52" t="s">
        <v>7</v>
      </c>
      <c r="X85" s="32">
        <v>0</v>
      </c>
      <c r="Y85" s="32">
        <v>0</v>
      </c>
      <c r="Z85" s="56">
        <v>1</v>
      </c>
      <c r="AA85" s="55">
        <v>0</v>
      </c>
      <c r="AB85" s="32">
        <v>0</v>
      </c>
      <c r="AC85" s="32">
        <v>0</v>
      </c>
      <c r="AD85" s="73" t="s">
        <v>292</v>
      </c>
      <c r="AE85" s="73" t="s">
        <v>293</v>
      </c>
      <c r="AK85" s="31"/>
      <c r="AL85" s="33"/>
      <c r="AM85" s="33"/>
      <c r="AN85" s="49"/>
    </row>
    <row r="86" spans="1:40" x14ac:dyDescent="0.25">
      <c r="A86" s="100" t="s">
        <v>46</v>
      </c>
      <c r="B86" s="101" t="s">
        <v>485</v>
      </c>
      <c r="C86" s="104" t="s">
        <v>530</v>
      </c>
      <c r="D86" s="13">
        <v>1</v>
      </c>
      <c r="E86" s="29" t="s">
        <v>10</v>
      </c>
      <c r="F86" s="88" t="str">
        <f>HYPERLINK("http://ictvonline.org/taxonomyHistory.asp?taxnode_id=20163204","20163204")</f>
        <v>20163204</v>
      </c>
      <c r="G86" s="93">
        <v>1950</v>
      </c>
      <c r="H86" s="88" t="str">
        <f>HYPERLINK("https://www.ncbi.nlm.nih.gov/pubmed/14787444", "14787444")</f>
        <v>14787444</v>
      </c>
      <c r="I86" s="91" t="s">
        <v>453</v>
      </c>
      <c r="J86" s="7">
        <v>0</v>
      </c>
      <c r="K86" s="17">
        <v>1</v>
      </c>
      <c r="L86" s="8">
        <v>0</v>
      </c>
      <c r="M86" s="7">
        <v>0</v>
      </c>
      <c r="N86" s="7">
        <v>0</v>
      </c>
      <c r="O86" s="9">
        <v>0</v>
      </c>
      <c r="P86" s="9">
        <v>0</v>
      </c>
      <c r="Q86" s="7">
        <v>0</v>
      </c>
      <c r="R86" s="18">
        <v>1</v>
      </c>
      <c r="S86" s="81">
        <v>23408893</v>
      </c>
      <c r="T86" s="81">
        <v>28302313</v>
      </c>
      <c r="U86" s="26" t="s">
        <v>24</v>
      </c>
      <c r="V86" s="26">
        <v>1</v>
      </c>
      <c r="W86" s="52" t="s">
        <v>7</v>
      </c>
      <c r="X86" s="57">
        <v>0</v>
      </c>
      <c r="Y86" s="57">
        <v>0</v>
      </c>
      <c r="Z86" s="56">
        <v>1</v>
      </c>
      <c r="AA86" s="55">
        <v>0</v>
      </c>
      <c r="AB86" s="32">
        <v>0</v>
      </c>
      <c r="AC86" s="32">
        <v>0</v>
      </c>
      <c r="AD86" s="73" t="s">
        <v>294</v>
      </c>
      <c r="AE86" s="73" t="s">
        <v>295</v>
      </c>
      <c r="AK86" s="31"/>
      <c r="AL86" s="33"/>
      <c r="AM86" s="33"/>
      <c r="AN86" s="49"/>
    </row>
    <row r="87" spans="1:40" x14ac:dyDescent="0.25">
      <c r="A87" s="100" t="s">
        <v>25</v>
      </c>
      <c r="B87" s="101" t="s">
        <v>486</v>
      </c>
      <c r="C87" s="104" t="s">
        <v>530</v>
      </c>
      <c r="D87" s="13">
        <v>1</v>
      </c>
      <c r="E87" s="29" t="s">
        <v>10</v>
      </c>
      <c r="F87" s="88" t="str">
        <f>HYPERLINK("http://ictvonline.org/taxonomyHistory.asp?taxnode_id=20163211","20163211")</f>
        <v>20163211</v>
      </c>
      <c r="G87" s="93">
        <v>1985</v>
      </c>
      <c r="H87" s="88" t="str">
        <f>HYPERLINK("https://www.ncbi.nlm.nih.gov/pubmed/2864836", "2864836")</f>
        <v>2864836</v>
      </c>
      <c r="I87" s="92" t="s">
        <v>454</v>
      </c>
      <c r="J87" s="15">
        <v>1</v>
      </c>
      <c r="K87" s="7">
        <v>0</v>
      </c>
      <c r="L87" s="8">
        <v>0</v>
      </c>
      <c r="M87" s="7">
        <v>0</v>
      </c>
      <c r="N87" s="7">
        <v>0</v>
      </c>
      <c r="O87" s="9">
        <v>0</v>
      </c>
      <c r="P87" s="9">
        <v>0</v>
      </c>
      <c r="Q87" s="7">
        <v>0</v>
      </c>
      <c r="R87" s="10">
        <v>0</v>
      </c>
      <c r="S87" s="78" t="s">
        <v>232</v>
      </c>
      <c r="T87" s="79"/>
      <c r="U87" s="24">
        <v>2</v>
      </c>
      <c r="V87" s="24">
        <v>0</v>
      </c>
      <c r="W87" s="12" t="s">
        <v>7</v>
      </c>
      <c r="X87" s="32">
        <v>0</v>
      </c>
      <c r="Y87" s="32">
        <v>0</v>
      </c>
      <c r="Z87" s="12">
        <v>1</v>
      </c>
      <c r="AA87" s="52">
        <v>1</v>
      </c>
      <c r="AB87" s="32">
        <v>0</v>
      </c>
      <c r="AC87" s="32">
        <v>0</v>
      </c>
      <c r="AD87" s="73" t="s">
        <v>232</v>
      </c>
      <c r="AE87" s="83"/>
      <c r="AK87" s="29"/>
      <c r="AL87" s="33"/>
      <c r="AM87" s="33"/>
      <c r="AN87" s="49"/>
    </row>
    <row r="88" spans="1:40" x14ac:dyDescent="0.25">
      <c r="A88" s="100" t="s">
        <v>77</v>
      </c>
      <c r="B88" s="101" t="s">
        <v>486</v>
      </c>
      <c r="C88" s="104" t="s">
        <v>530</v>
      </c>
      <c r="D88" s="13">
        <v>1</v>
      </c>
      <c r="E88" s="29" t="s">
        <v>10</v>
      </c>
      <c r="F88" s="88" t="str">
        <f>HYPERLINK("http://ictvonline.org/taxonomyHistory.asp?taxnode_id=20163212","20163212")</f>
        <v>20163212</v>
      </c>
      <c r="G88" s="93">
        <v>1969</v>
      </c>
      <c r="H88" s="88" t="str">
        <f>HYPERLINK("https://www.ncbi.nlm.nih.gov/pubmed/5409104", "5409104")</f>
        <v>5409104</v>
      </c>
      <c r="I88" s="91" t="s">
        <v>453</v>
      </c>
      <c r="J88" s="15">
        <v>1</v>
      </c>
      <c r="K88" s="7">
        <v>0</v>
      </c>
      <c r="L88" s="8">
        <v>0</v>
      </c>
      <c r="M88" s="7">
        <v>0</v>
      </c>
      <c r="N88" s="7">
        <v>0</v>
      </c>
      <c r="O88" s="9">
        <v>0</v>
      </c>
      <c r="P88" s="9">
        <v>0</v>
      </c>
      <c r="Q88" s="7">
        <v>0</v>
      </c>
      <c r="R88" s="10">
        <v>0</v>
      </c>
      <c r="S88" s="78" t="s">
        <v>232</v>
      </c>
      <c r="T88" s="79"/>
      <c r="U88" s="24">
        <v>2</v>
      </c>
      <c r="V88" s="24">
        <v>0</v>
      </c>
      <c r="W88" s="12" t="s">
        <v>7</v>
      </c>
      <c r="X88" s="32">
        <v>0</v>
      </c>
      <c r="Y88" s="32">
        <v>0</v>
      </c>
      <c r="Z88" s="12">
        <v>1</v>
      </c>
      <c r="AA88" s="32">
        <v>0</v>
      </c>
      <c r="AB88" s="32">
        <v>0</v>
      </c>
      <c r="AC88" s="32">
        <v>0</v>
      </c>
      <c r="AD88" s="73" t="s">
        <v>232</v>
      </c>
      <c r="AE88" s="83"/>
      <c r="AK88" s="31"/>
      <c r="AL88" s="33"/>
      <c r="AM88" s="33"/>
    </row>
    <row r="89" spans="1:40" x14ac:dyDescent="0.25">
      <c r="A89" s="100" t="s">
        <v>279</v>
      </c>
      <c r="B89" s="101" t="s">
        <v>487</v>
      </c>
      <c r="C89" s="104" t="s">
        <v>531</v>
      </c>
      <c r="D89" s="13">
        <v>1</v>
      </c>
      <c r="E89" s="29" t="s">
        <v>10</v>
      </c>
      <c r="F89" s="88" t="str">
        <f>HYPERLINK("http://ictvonline.org/taxonomyHistory.asp?taxnode_id=20161031","20161031")</f>
        <v>20161031</v>
      </c>
      <c r="G89" s="93">
        <v>1943</v>
      </c>
      <c r="H89" s="88" t="str">
        <f>HYPERLINK("https://www.cabdirect.org/cabdirect/abstract/19442700930", "Available from external site")</f>
        <v>Available from external site</v>
      </c>
      <c r="I89" s="91" t="s">
        <v>453</v>
      </c>
      <c r="J89" s="7">
        <v>0</v>
      </c>
      <c r="K89" s="7">
        <v>0</v>
      </c>
      <c r="L89" s="17">
        <v>1</v>
      </c>
      <c r="M89" s="7">
        <v>0</v>
      </c>
      <c r="N89" s="7">
        <v>0</v>
      </c>
      <c r="O89" s="17">
        <v>1</v>
      </c>
      <c r="P89" s="9">
        <v>0</v>
      </c>
      <c r="Q89" s="7">
        <v>0</v>
      </c>
      <c r="R89" s="18">
        <v>1</v>
      </c>
      <c r="S89" s="78" t="s">
        <v>382</v>
      </c>
      <c r="T89" s="79"/>
      <c r="U89" s="24">
        <v>2</v>
      </c>
      <c r="V89" s="24">
        <v>0</v>
      </c>
      <c r="W89" s="12" t="s">
        <v>7</v>
      </c>
      <c r="X89" s="32">
        <v>0</v>
      </c>
      <c r="Y89" s="32">
        <v>0</v>
      </c>
      <c r="Z89" s="32">
        <v>0</v>
      </c>
      <c r="AA89" s="12">
        <v>1</v>
      </c>
      <c r="AB89" s="32">
        <v>0</v>
      </c>
      <c r="AC89" s="32">
        <v>0</v>
      </c>
      <c r="AD89" s="73" t="s">
        <v>382</v>
      </c>
      <c r="AE89" s="83"/>
      <c r="AK89" s="31"/>
      <c r="AL89" s="33"/>
      <c r="AM89" s="33"/>
    </row>
    <row r="90" spans="1:40" x14ac:dyDescent="0.25">
      <c r="A90" s="100" t="s">
        <v>268</v>
      </c>
      <c r="B90" s="101" t="s">
        <v>488</v>
      </c>
      <c r="C90" s="104" t="s">
        <v>531</v>
      </c>
      <c r="D90" s="13">
        <v>1</v>
      </c>
      <c r="E90" s="29" t="s">
        <v>10</v>
      </c>
      <c r="F90" s="88" t="str">
        <f>HYPERLINK("http://ictvonline.org/taxonomyHistory.asp?taxnode_id=20161037","20161037")</f>
        <v>20161037</v>
      </c>
      <c r="G90" s="93">
        <v>1995</v>
      </c>
      <c r="H90" s="88" t="str">
        <f>HYPERLINK("https://www.ncbi.nlm.nih.gov/pubmed/9815409", "9815409")</f>
        <v>9815409</v>
      </c>
      <c r="I90" s="91" t="s">
        <v>453</v>
      </c>
      <c r="J90" s="7">
        <v>0</v>
      </c>
      <c r="K90" s="7">
        <v>0</v>
      </c>
      <c r="L90" s="8">
        <v>0</v>
      </c>
      <c r="M90" s="7">
        <v>0</v>
      </c>
      <c r="N90" s="7">
        <v>0</v>
      </c>
      <c r="O90" s="9">
        <v>0</v>
      </c>
      <c r="P90" s="9">
        <v>0</v>
      </c>
      <c r="Q90" s="7">
        <v>0</v>
      </c>
      <c r="R90" s="18">
        <v>1</v>
      </c>
      <c r="S90" s="78" t="s">
        <v>435</v>
      </c>
      <c r="T90" s="79"/>
      <c r="U90" s="24">
        <v>2</v>
      </c>
      <c r="V90" s="24">
        <v>0</v>
      </c>
      <c r="W90" s="12" t="s">
        <v>7</v>
      </c>
      <c r="X90" s="32">
        <v>0</v>
      </c>
      <c r="Y90" s="32">
        <v>0</v>
      </c>
      <c r="Z90" s="12">
        <v>1</v>
      </c>
      <c r="AA90" s="32">
        <v>0</v>
      </c>
      <c r="AB90" s="32">
        <v>0</v>
      </c>
      <c r="AC90" s="32">
        <v>0</v>
      </c>
      <c r="AD90" s="73" t="s">
        <v>435</v>
      </c>
      <c r="AE90" s="83"/>
      <c r="AK90" s="31"/>
      <c r="AL90" s="33"/>
      <c r="AM90" s="33"/>
    </row>
    <row r="91" spans="1:40" x14ac:dyDescent="0.25">
      <c r="A91" s="100" t="s">
        <v>277</v>
      </c>
      <c r="B91" s="101" t="s">
        <v>488</v>
      </c>
      <c r="C91" s="104" t="s">
        <v>531</v>
      </c>
      <c r="D91" s="13">
        <v>1</v>
      </c>
      <c r="E91" s="29" t="s">
        <v>10</v>
      </c>
      <c r="F91" s="88" t="str">
        <f>HYPERLINK("http://ictvonline.org/taxonomyHistory.asp?taxnode_id=20161039","20161039")</f>
        <v>20161039</v>
      </c>
      <c r="G91" s="93">
        <v>1999</v>
      </c>
      <c r="H91" s="88" t="str">
        <f>HYPERLINK("https://www.ncbi.nlm.nih.gov/pubmed/10482278", "10482278")</f>
        <v>10482278</v>
      </c>
      <c r="I91" s="91" t="s">
        <v>453</v>
      </c>
      <c r="J91" s="7">
        <v>0</v>
      </c>
      <c r="K91" s="17">
        <v>1</v>
      </c>
      <c r="L91" s="17">
        <v>1</v>
      </c>
      <c r="M91" s="7">
        <v>0</v>
      </c>
      <c r="N91" s="7">
        <v>0</v>
      </c>
      <c r="O91" s="9">
        <v>0</v>
      </c>
      <c r="P91" s="9">
        <v>0</v>
      </c>
      <c r="Q91" s="7">
        <v>0</v>
      </c>
      <c r="R91" s="18">
        <v>1</v>
      </c>
      <c r="S91" s="78" t="s">
        <v>320</v>
      </c>
      <c r="T91" s="78" t="s">
        <v>435</v>
      </c>
      <c r="U91" s="25">
        <v>3</v>
      </c>
      <c r="V91" s="26">
        <v>1</v>
      </c>
      <c r="W91" s="12" t="s">
        <v>7</v>
      </c>
      <c r="X91" s="32">
        <v>0</v>
      </c>
      <c r="Y91" s="32">
        <v>0</v>
      </c>
      <c r="Z91" s="12">
        <v>1</v>
      </c>
      <c r="AA91" s="32">
        <v>0</v>
      </c>
      <c r="AB91" s="32">
        <v>0</v>
      </c>
      <c r="AC91" s="32">
        <v>0</v>
      </c>
      <c r="AD91" s="73" t="s">
        <v>320</v>
      </c>
      <c r="AE91" s="73" t="s">
        <v>435</v>
      </c>
      <c r="AK91" s="31"/>
      <c r="AL91" s="33"/>
      <c r="AM91" s="33"/>
    </row>
    <row r="92" spans="1:40" x14ac:dyDescent="0.25">
      <c r="A92" s="105" t="s">
        <v>273</v>
      </c>
      <c r="B92" s="105" t="s">
        <v>489</v>
      </c>
      <c r="C92" s="104" t="s">
        <v>531</v>
      </c>
      <c r="D92" s="13">
        <v>1</v>
      </c>
      <c r="E92" s="29" t="s">
        <v>10</v>
      </c>
      <c r="F92" s="88" t="str">
        <f>HYPERLINK("http://ictvonline.org/taxonomyHistory.asp?taxnode_id=20161041","20161041")</f>
        <v>20161041</v>
      </c>
      <c r="G92" s="93">
        <v>1955</v>
      </c>
      <c r="H92" s="88" t="str">
        <f>HYPERLINK("https://www.ncbi.nlm.nih.gov/pubmed/13273120", "13273120")</f>
        <v>13273120</v>
      </c>
      <c r="I92" s="91" t="s">
        <v>453</v>
      </c>
      <c r="J92" s="7">
        <v>0</v>
      </c>
      <c r="K92" s="72" t="s">
        <v>197</v>
      </c>
      <c r="L92" s="7">
        <v>0</v>
      </c>
      <c r="M92" s="7">
        <v>0</v>
      </c>
      <c r="N92" s="7">
        <v>0</v>
      </c>
      <c r="O92" s="17">
        <v>1</v>
      </c>
      <c r="P92" s="9">
        <v>0</v>
      </c>
      <c r="Q92" s="7">
        <v>0</v>
      </c>
      <c r="R92" s="70" t="s">
        <v>197</v>
      </c>
      <c r="S92" s="78">
        <v>22214864</v>
      </c>
      <c r="T92" s="79"/>
      <c r="U92" s="24">
        <v>2</v>
      </c>
      <c r="V92" s="24">
        <v>0</v>
      </c>
      <c r="W92" s="51" t="s">
        <v>7</v>
      </c>
      <c r="X92" s="41">
        <v>0</v>
      </c>
      <c r="Y92" s="46">
        <v>1</v>
      </c>
      <c r="Z92" s="12">
        <v>1</v>
      </c>
      <c r="AA92" s="32">
        <v>0</v>
      </c>
      <c r="AB92" s="32">
        <v>0</v>
      </c>
      <c r="AC92" s="32">
        <v>0</v>
      </c>
      <c r="AD92" s="73">
        <v>22214864</v>
      </c>
      <c r="AE92" s="83"/>
      <c r="AK92" s="31"/>
      <c r="AL92" s="33"/>
      <c r="AM92" s="33"/>
    </row>
    <row r="93" spans="1:40" x14ac:dyDescent="0.25">
      <c r="A93" s="100" t="s">
        <v>276</v>
      </c>
      <c r="B93" s="101" t="s">
        <v>489</v>
      </c>
      <c r="C93" s="104" t="s">
        <v>531</v>
      </c>
      <c r="D93" s="13">
        <v>1</v>
      </c>
      <c r="E93" s="29" t="s">
        <v>10</v>
      </c>
      <c r="F93" s="88" t="str">
        <f>HYPERLINK("http://ictvonline.org/taxonomyHistory.asp?taxnode_id=20161044","20161044")</f>
        <v>20161044</v>
      </c>
      <c r="G93" s="93">
        <v>1911</v>
      </c>
      <c r="H93" s="88" t="str">
        <f>HYPERLINK("http://jamanetwork.com/journals/jama/article-abstract/448265", "Available from external site")</f>
        <v>Available from external site</v>
      </c>
      <c r="I93" s="91" t="s">
        <v>453</v>
      </c>
      <c r="J93" s="7">
        <v>0</v>
      </c>
      <c r="K93" s="17">
        <v>1</v>
      </c>
      <c r="L93" s="8">
        <v>0</v>
      </c>
      <c r="M93" s="7">
        <v>0</v>
      </c>
      <c r="N93" s="7">
        <v>0</v>
      </c>
      <c r="O93" s="9">
        <v>0</v>
      </c>
      <c r="P93" s="9">
        <v>0</v>
      </c>
      <c r="Q93" s="17">
        <v>1</v>
      </c>
      <c r="R93" s="18">
        <v>1</v>
      </c>
      <c r="S93" s="85">
        <v>18568081</v>
      </c>
      <c r="T93" s="81">
        <v>24929750</v>
      </c>
      <c r="U93" s="26" t="s">
        <v>24</v>
      </c>
      <c r="V93" s="26">
        <v>1</v>
      </c>
      <c r="W93" s="32" t="s">
        <v>150</v>
      </c>
      <c r="X93" s="32">
        <v>0</v>
      </c>
      <c r="Y93" s="12">
        <v>1</v>
      </c>
      <c r="Z93" s="32">
        <v>0</v>
      </c>
      <c r="AA93" s="32">
        <v>0</v>
      </c>
      <c r="AB93" s="32">
        <v>0</v>
      </c>
      <c r="AC93" s="32">
        <v>0</v>
      </c>
      <c r="AD93" s="84">
        <v>24929750</v>
      </c>
      <c r="AE93" s="84">
        <v>24501402</v>
      </c>
      <c r="AK93" s="31"/>
      <c r="AL93" s="33"/>
      <c r="AM93" s="33"/>
    </row>
    <row r="94" spans="1:40" x14ac:dyDescent="0.25">
      <c r="A94" s="100" t="s">
        <v>206</v>
      </c>
      <c r="B94" s="101" t="s">
        <v>490</v>
      </c>
      <c r="C94" s="104" t="s">
        <v>531</v>
      </c>
      <c r="D94" s="13">
        <v>1</v>
      </c>
      <c r="E94" s="29" t="s">
        <v>10</v>
      </c>
      <c r="F94" s="88" t="str">
        <f>HYPERLINK("http://ictvonline.org/taxonomyHistory.asp?taxnode_id=20161050","20161050")</f>
        <v>20161050</v>
      </c>
      <c r="G94" s="93">
        <v>1958</v>
      </c>
      <c r="H94" s="88" t="str">
        <f>HYPERLINK("https://www.ncbi.nlm.nih.gov/pubmed/13504446", "13504446")</f>
        <v>13504446</v>
      </c>
      <c r="I94" s="91" t="s">
        <v>453</v>
      </c>
      <c r="J94" s="7">
        <v>0</v>
      </c>
      <c r="K94" s="17">
        <v>1</v>
      </c>
      <c r="L94" s="8">
        <v>0</v>
      </c>
      <c r="M94" s="7">
        <v>0</v>
      </c>
      <c r="N94" s="7">
        <v>0</v>
      </c>
      <c r="O94" s="9">
        <v>0</v>
      </c>
      <c r="P94" s="9">
        <v>0</v>
      </c>
      <c r="Q94" s="7">
        <v>0</v>
      </c>
      <c r="R94" s="10">
        <v>0</v>
      </c>
      <c r="S94" s="78" t="s">
        <v>446</v>
      </c>
      <c r="T94" s="79"/>
      <c r="U94" s="26" t="s">
        <v>24</v>
      </c>
      <c r="V94" s="26">
        <v>1</v>
      </c>
      <c r="W94" s="32" t="s">
        <v>150</v>
      </c>
      <c r="X94" s="55">
        <v>0</v>
      </c>
      <c r="Y94" s="56">
        <v>1</v>
      </c>
      <c r="Z94" s="32">
        <v>0</v>
      </c>
      <c r="AA94" s="32">
        <v>0</v>
      </c>
      <c r="AB94" s="32">
        <v>0</v>
      </c>
      <c r="AC94" s="32">
        <v>0</v>
      </c>
      <c r="AD94" s="73" t="s">
        <v>445</v>
      </c>
      <c r="AE94" s="83"/>
      <c r="AK94" s="31"/>
      <c r="AL94" s="33"/>
      <c r="AM94" s="33"/>
    </row>
    <row r="95" spans="1:40" x14ac:dyDescent="0.25">
      <c r="A95" s="100" t="s">
        <v>207</v>
      </c>
      <c r="B95" s="101" t="s">
        <v>490</v>
      </c>
      <c r="C95" s="104" t="s">
        <v>531</v>
      </c>
      <c r="D95" s="13">
        <v>1</v>
      </c>
      <c r="E95" s="29" t="s">
        <v>10</v>
      </c>
      <c r="F95" s="88" t="str">
        <f>HYPERLINK("http://ictvonline.org/taxonomyHistory.asp?taxnode_id=20161051","20161051")</f>
        <v>20161051</v>
      </c>
      <c r="G95" s="93">
        <v>1958</v>
      </c>
      <c r="H95" s="88" t="str">
        <f>HYPERLINK("https://www.ncbi.nlm.nih.gov/pubmed/13504446", "13504446")</f>
        <v>13504446</v>
      </c>
      <c r="I95" s="91" t="s">
        <v>453</v>
      </c>
      <c r="J95" s="7">
        <v>0</v>
      </c>
      <c r="K95" s="17">
        <v>1</v>
      </c>
      <c r="L95" s="8">
        <v>0</v>
      </c>
      <c r="M95" s="7">
        <v>0</v>
      </c>
      <c r="N95" s="7">
        <v>0</v>
      </c>
      <c r="O95" s="9">
        <v>0</v>
      </c>
      <c r="P95" s="9">
        <v>0</v>
      </c>
      <c r="Q95" s="7">
        <v>0</v>
      </c>
      <c r="R95" s="10">
        <v>0</v>
      </c>
      <c r="S95" s="81" t="s">
        <v>383</v>
      </c>
      <c r="T95" s="79"/>
      <c r="U95" s="26" t="s">
        <v>24</v>
      </c>
      <c r="V95" s="26">
        <v>1</v>
      </c>
      <c r="W95" s="32" t="s">
        <v>150</v>
      </c>
      <c r="X95" s="55">
        <v>0</v>
      </c>
      <c r="Y95" s="56">
        <v>1</v>
      </c>
      <c r="Z95" s="32">
        <v>0</v>
      </c>
      <c r="AA95" s="32">
        <v>0</v>
      </c>
      <c r="AB95" s="32">
        <v>0</v>
      </c>
      <c r="AC95" s="32">
        <v>0</v>
      </c>
      <c r="AD95" s="84" t="s">
        <v>383</v>
      </c>
      <c r="AE95" s="83"/>
      <c r="AK95" s="31"/>
      <c r="AL95" s="33"/>
      <c r="AM95" s="33"/>
    </row>
    <row r="96" spans="1:40" x14ac:dyDescent="0.25">
      <c r="A96" s="100" t="s">
        <v>209</v>
      </c>
      <c r="B96" s="101" t="s">
        <v>491</v>
      </c>
      <c r="C96" s="104" t="s">
        <v>531</v>
      </c>
      <c r="D96" s="13">
        <v>1</v>
      </c>
      <c r="E96" s="29" t="s">
        <v>10</v>
      </c>
      <c r="F96" s="88" t="str">
        <f>HYPERLINK("http://ictvonline.org/taxonomyHistory.asp?taxnode_id=20161055","20161055")</f>
        <v>20161055</v>
      </c>
      <c r="G96" s="93">
        <v>1956</v>
      </c>
      <c r="H96" s="88" t="str">
        <f>HYPERLINK("https://www.ncbi.nlm.nih.gov/pubmed/13367330", "13367330")</f>
        <v>13367330</v>
      </c>
      <c r="I96" s="91" t="s">
        <v>453</v>
      </c>
      <c r="J96" s="7">
        <v>0</v>
      </c>
      <c r="K96" s="17">
        <v>1</v>
      </c>
      <c r="L96" s="8">
        <v>0</v>
      </c>
      <c r="M96" s="7">
        <v>0</v>
      </c>
      <c r="N96" s="7">
        <v>0</v>
      </c>
      <c r="O96" s="9">
        <v>0</v>
      </c>
      <c r="P96" s="9">
        <v>0</v>
      </c>
      <c r="Q96" s="7">
        <v>0</v>
      </c>
      <c r="R96" s="10">
        <v>0</v>
      </c>
      <c r="S96" s="81">
        <v>19386708</v>
      </c>
      <c r="T96" s="78" t="s">
        <v>408</v>
      </c>
      <c r="U96" s="26" t="s">
        <v>24</v>
      </c>
      <c r="V96" s="26">
        <v>1</v>
      </c>
      <c r="W96" s="32" t="s">
        <v>150</v>
      </c>
      <c r="X96" s="55">
        <v>0</v>
      </c>
      <c r="Y96" s="56">
        <v>1</v>
      </c>
      <c r="Z96" s="32">
        <v>0</v>
      </c>
      <c r="AA96" s="32">
        <v>0</v>
      </c>
      <c r="AB96" s="32">
        <v>0</v>
      </c>
      <c r="AC96" s="32">
        <v>0</v>
      </c>
      <c r="AD96" s="73" t="s">
        <v>407</v>
      </c>
      <c r="AE96" s="83"/>
      <c r="AK96" s="31"/>
      <c r="AL96" s="33"/>
      <c r="AM96" s="33"/>
    </row>
    <row r="97" spans="1:40" x14ac:dyDescent="0.25">
      <c r="A97" s="100" t="s">
        <v>208</v>
      </c>
      <c r="B97" s="101" t="s">
        <v>491</v>
      </c>
      <c r="C97" s="104" t="s">
        <v>531</v>
      </c>
      <c r="D97" s="13">
        <v>1</v>
      </c>
      <c r="E97" s="29" t="s">
        <v>10</v>
      </c>
      <c r="F97" s="88" t="str">
        <f>HYPERLINK("http://ictvonline.org/taxonomyHistory.asp?taxnode_id=20161056","20161056")</f>
        <v>20161056</v>
      </c>
      <c r="G97" s="93">
        <v>1960</v>
      </c>
      <c r="H97" s="88" t="str">
        <f>HYPERLINK("https://www.ncbi.nlm.nih.gov/pubmed/14407482", "14407482")</f>
        <v>14407482</v>
      </c>
      <c r="I97" s="91" t="s">
        <v>453</v>
      </c>
      <c r="J97" s="7">
        <v>0</v>
      </c>
      <c r="K97" s="17">
        <v>1</v>
      </c>
      <c r="L97" s="8">
        <v>0</v>
      </c>
      <c r="M97" s="7">
        <v>0</v>
      </c>
      <c r="N97" s="7">
        <v>0</v>
      </c>
      <c r="O97" s="9">
        <v>0</v>
      </c>
      <c r="P97" s="9">
        <v>0</v>
      </c>
      <c r="Q97" s="7">
        <v>0</v>
      </c>
      <c r="R97" s="10">
        <v>0</v>
      </c>
      <c r="S97" s="81">
        <v>19386708</v>
      </c>
      <c r="T97" s="78" t="s">
        <v>408</v>
      </c>
      <c r="U97" s="27" t="s">
        <v>8</v>
      </c>
      <c r="V97" s="26">
        <v>1</v>
      </c>
      <c r="W97" s="32" t="s">
        <v>150</v>
      </c>
      <c r="X97" s="12">
        <v>1</v>
      </c>
      <c r="Y97" s="32">
        <v>0</v>
      </c>
      <c r="Z97" s="32">
        <v>0</v>
      </c>
      <c r="AA97" s="32">
        <v>0</v>
      </c>
      <c r="AB97" s="32">
        <v>0</v>
      </c>
      <c r="AC97" s="32">
        <v>0</v>
      </c>
      <c r="AD97" s="73" t="s">
        <v>408</v>
      </c>
      <c r="AE97" s="83"/>
      <c r="AK97" s="31"/>
      <c r="AL97" s="33"/>
      <c r="AM97" s="33"/>
    </row>
    <row r="98" spans="1:40" x14ac:dyDescent="0.25">
      <c r="A98" s="99" t="s">
        <v>211</v>
      </c>
      <c r="B98" s="104" t="s">
        <v>491</v>
      </c>
      <c r="C98" s="104" t="s">
        <v>531</v>
      </c>
      <c r="D98" s="13">
        <v>1</v>
      </c>
      <c r="E98" s="49" t="s">
        <v>10</v>
      </c>
      <c r="F98" s="88" t="str">
        <f>HYPERLINK("http://ictvonline.org/taxonomyHistory.asp?taxnode_id=20161059","20161059")</f>
        <v>20161059</v>
      </c>
      <c r="G98" s="93">
        <v>1959</v>
      </c>
      <c r="H98" s="88" t="str">
        <f>HYPERLINK("https://www.ncbi.nlm.nih.gov/pubmed/13631261", "13631261")</f>
        <v>13631261</v>
      </c>
      <c r="I98" s="91" t="s">
        <v>453</v>
      </c>
      <c r="J98" s="61">
        <v>0</v>
      </c>
      <c r="K98" s="71" t="s">
        <v>197</v>
      </c>
      <c r="L98" s="61">
        <v>0</v>
      </c>
      <c r="M98" s="61">
        <v>0</v>
      </c>
      <c r="N98" s="61">
        <v>0</v>
      </c>
      <c r="O98" s="67">
        <v>0</v>
      </c>
      <c r="P98" s="42">
        <v>0</v>
      </c>
      <c r="Q98" s="42">
        <v>0</v>
      </c>
      <c r="R98" s="71" t="s">
        <v>197</v>
      </c>
      <c r="S98" s="81">
        <v>4291701</v>
      </c>
      <c r="T98" s="81">
        <v>26583313</v>
      </c>
      <c r="U98" s="24">
        <v>2</v>
      </c>
      <c r="V98" s="24">
        <v>0</v>
      </c>
      <c r="W98" s="12" t="s">
        <v>7</v>
      </c>
      <c r="X98" s="32">
        <v>0</v>
      </c>
      <c r="Y98" s="12">
        <v>1</v>
      </c>
      <c r="Z98" s="12">
        <v>1</v>
      </c>
      <c r="AA98" s="32">
        <v>0</v>
      </c>
      <c r="AB98" s="32">
        <v>0</v>
      </c>
      <c r="AC98" s="32">
        <v>0</v>
      </c>
      <c r="AD98" s="73" t="s">
        <v>313</v>
      </c>
      <c r="AE98" s="84">
        <v>26583313</v>
      </c>
      <c r="AK98" s="31"/>
      <c r="AL98" s="33"/>
      <c r="AM98" s="33"/>
    </row>
    <row r="99" spans="1:40" x14ac:dyDescent="0.25">
      <c r="A99" s="100" t="s">
        <v>274</v>
      </c>
      <c r="B99" s="101" t="s">
        <v>491</v>
      </c>
      <c r="C99" s="104" t="s">
        <v>531</v>
      </c>
      <c r="D99" s="13">
        <v>1</v>
      </c>
      <c r="E99" s="29" t="s">
        <v>10</v>
      </c>
      <c r="F99" s="88" t="str">
        <f>HYPERLINK("http://ictvonline.org/taxonomyHistory.asp?taxnode_id=20161058","20161058")</f>
        <v>20161058</v>
      </c>
      <c r="G99" s="93">
        <v>1934</v>
      </c>
      <c r="H99" s="88" t="str">
        <f>HYPERLINK("https://www.ncbi.nlm.nih.gov/pubmed/19870227", "19870227")</f>
        <v>19870227</v>
      </c>
      <c r="I99" s="91" t="s">
        <v>453</v>
      </c>
      <c r="J99" s="7">
        <v>0</v>
      </c>
      <c r="K99" s="7">
        <v>0</v>
      </c>
      <c r="L99" s="8">
        <v>0</v>
      </c>
      <c r="M99" s="7">
        <v>0</v>
      </c>
      <c r="N99" s="7">
        <v>0</v>
      </c>
      <c r="O99" s="9">
        <v>0</v>
      </c>
      <c r="P99" s="9">
        <v>0</v>
      </c>
      <c r="Q99" s="17">
        <v>1</v>
      </c>
      <c r="R99" s="18">
        <v>1</v>
      </c>
      <c r="S99" s="81">
        <v>28068914</v>
      </c>
      <c r="T99" s="79"/>
      <c r="U99" s="27" t="s">
        <v>8</v>
      </c>
      <c r="V99" s="26">
        <v>1</v>
      </c>
      <c r="W99" s="32" t="s">
        <v>150</v>
      </c>
      <c r="X99" s="12">
        <v>1</v>
      </c>
      <c r="Y99" s="32">
        <v>0</v>
      </c>
      <c r="Z99" s="32">
        <v>0</v>
      </c>
      <c r="AA99" s="32">
        <v>0</v>
      </c>
      <c r="AB99" s="32">
        <v>0</v>
      </c>
      <c r="AC99" s="32">
        <v>0</v>
      </c>
      <c r="AD99" s="73" t="s">
        <v>386</v>
      </c>
      <c r="AE99" s="83"/>
      <c r="AK99" s="29"/>
      <c r="AL99" s="33"/>
      <c r="AM99" s="33"/>
    </row>
    <row r="100" spans="1:40" x14ac:dyDescent="0.25">
      <c r="A100" s="99" t="s">
        <v>210</v>
      </c>
      <c r="B100" s="104" t="s">
        <v>491</v>
      </c>
      <c r="C100" s="104" t="s">
        <v>531</v>
      </c>
      <c r="D100" s="13">
        <v>1</v>
      </c>
      <c r="E100" s="49" t="s">
        <v>10</v>
      </c>
      <c r="F100" s="88" t="str">
        <f>HYPERLINK("http://ictvonline.org/taxonomyHistory.asp?taxnode_id=20161061","20161061")</f>
        <v>20161061</v>
      </c>
      <c r="G100" s="93">
        <v>1968</v>
      </c>
      <c r="H100" s="88" t="str">
        <f>HYPERLINK("https://www.jstage.jst.go.jp/article/jsv1958/18/6/18_6_495/_article", "Available from external site")</f>
        <v>Available from external site</v>
      </c>
      <c r="I100" s="92" t="s">
        <v>454</v>
      </c>
      <c r="J100" s="61">
        <v>0</v>
      </c>
      <c r="K100" s="71" t="s">
        <v>197</v>
      </c>
      <c r="L100" s="61">
        <v>0</v>
      </c>
      <c r="M100" s="61">
        <v>0</v>
      </c>
      <c r="N100" s="61">
        <v>0</v>
      </c>
      <c r="O100" s="67">
        <v>0</v>
      </c>
      <c r="P100" s="42">
        <v>0</v>
      </c>
      <c r="Q100" s="42">
        <v>0</v>
      </c>
      <c r="R100" s="71" t="s">
        <v>197</v>
      </c>
      <c r="S100" s="81">
        <v>2212992</v>
      </c>
      <c r="T100" s="80"/>
      <c r="U100" s="24">
        <v>2</v>
      </c>
      <c r="V100" s="24">
        <v>0</v>
      </c>
      <c r="W100" s="5" t="s">
        <v>196</v>
      </c>
      <c r="X100" s="32" t="s">
        <v>6</v>
      </c>
      <c r="Y100" s="32" t="s">
        <v>6</v>
      </c>
      <c r="Z100" s="32" t="s">
        <v>6</v>
      </c>
      <c r="AA100" s="32" t="s">
        <v>6</v>
      </c>
      <c r="AB100" s="32" t="s">
        <v>6</v>
      </c>
      <c r="AC100" s="32" t="s">
        <v>6</v>
      </c>
      <c r="AD100" s="84">
        <v>2212992</v>
      </c>
      <c r="AE100" s="83"/>
      <c r="AK100" s="31"/>
      <c r="AL100" s="33"/>
      <c r="AM100" s="33"/>
    </row>
    <row r="101" spans="1:40" x14ac:dyDescent="0.25">
      <c r="A101" s="100" t="s">
        <v>203</v>
      </c>
      <c r="B101" s="101" t="s">
        <v>491</v>
      </c>
      <c r="C101" s="104" t="s">
        <v>531</v>
      </c>
      <c r="D101" s="13">
        <v>1</v>
      </c>
      <c r="E101" s="29" t="s">
        <v>10</v>
      </c>
      <c r="F101" s="88" t="str">
        <f>HYPERLINK("http://ictvonline.org/taxonomyHistory.asp?taxnode_id=20165119","20165119")</f>
        <v>20165119</v>
      </c>
      <c r="G101" s="93">
        <v>2014</v>
      </c>
      <c r="H101" s="88" t="str">
        <f>HYPERLINK("https://www.ncbi.nlm.nih.gov/pubmed/24447466", "24447466")</f>
        <v>24447466</v>
      </c>
      <c r="I101" s="91" t="s">
        <v>453</v>
      </c>
      <c r="J101" s="7">
        <v>0</v>
      </c>
      <c r="K101" s="71" t="s">
        <v>197</v>
      </c>
      <c r="L101" s="8">
        <v>0</v>
      </c>
      <c r="M101" s="7">
        <v>0</v>
      </c>
      <c r="N101" s="7">
        <v>0</v>
      </c>
      <c r="O101" s="9">
        <v>0</v>
      </c>
      <c r="P101" s="9">
        <v>0</v>
      </c>
      <c r="Q101" s="9">
        <v>0</v>
      </c>
      <c r="R101" s="71" t="s">
        <v>197</v>
      </c>
      <c r="S101" s="81" t="s">
        <v>356</v>
      </c>
      <c r="T101" s="79"/>
      <c r="U101" s="24">
        <v>2</v>
      </c>
      <c r="V101" s="24">
        <v>0</v>
      </c>
      <c r="W101" s="32" t="s">
        <v>150</v>
      </c>
      <c r="X101" s="74">
        <v>0</v>
      </c>
      <c r="Y101" s="74">
        <v>0</v>
      </c>
      <c r="Z101" s="12">
        <v>1</v>
      </c>
      <c r="AA101" s="74">
        <v>0</v>
      </c>
      <c r="AB101" s="74">
        <v>0</v>
      </c>
      <c r="AC101" s="74">
        <v>0</v>
      </c>
      <c r="AD101" s="84" t="s">
        <v>356</v>
      </c>
      <c r="AE101" s="82"/>
      <c r="AK101" s="29"/>
      <c r="AL101" s="33"/>
      <c r="AM101" s="33"/>
    </row>
    <row r="102" spans="1:40" x14ac:dyDescent="0.25">
      <c r="A102" s="100" t="s">
        <v>204</v>
      </c>
      <c r="B102" s="101" t="s">
        <v>491</v>
      </c>
      <c r="C102" s="104" t="s">
        <v>531</v>
      </c>
      <c r="D102" s="13">
        <v>1</v>
      </c>
      <c r="E102" s="29" t="s">
        <v>10</v>
      </c>
      <c r="F102" s="88" t="str">
        <f>HYPERLINK("http://ictvonline.org/taxonomyHistory.asp?taxnode_id=20165121","20165121")</f>
        <v>20165121</v>
      </c>
      <c r="G102" s="95">
        <v>2007</v>
      </c>
      <c r="H102" s="88" t="str">
        <f>HYPERLINK("https://www.ncbi.nlm.nih.gov/pubmed/17703419", "17703419")</f>
        <v>17703419</v>
      </c>
      <c r="I102" s="92" t="s">
        <v>454</v>
      </c>
      <c r="J102" s="7">
        <v>0</v>
      </c>
      <c r="K102" s="15">
        <v>1</v>
      </c>
      <c r="L102" s="7">
        <v>0</v>
      </c>
      <c r="M102" s="7">
        <v>0</v>
      </c>
      <c r="N102" s="7">
        <v>0</v>
      </c>
      <c r="O102" s="9">
        <v>0</v>
      </c>
      <c r="P102" s="9">
        <v>0</v>
      </c>
      <c r="Q102" s="9">
        <v>0</v>
      </c>
      <c r="R102" s="18">
        <v>1</v>
      </c>
      <c r="S102" s="81">
        <v>17703419</v>
      </c>
      <c r="T102" s="79"/>
      <c r="U102" s="24">
        <v>2</v>
      </c>
      <c r="V102" s="24">
        <v>0</v>
      </c>
      <c r="W102" s="12" t="s">
        <v>7</v>
      </c>
      <c r="X102" s="32">
        <v>0</v>
      </c>
      <c r="Y102" s="32">
        <v>0</v>
      </c>
      <c r="Z102" s="12">
        <v>1</v>
      </c>
      <c r="AA102" s="32">
        <v>0</v>
      </c>
      <c r="AB102" s="32">
        <v>0</v>
      </c>
      <c r="AC102" s="32">
        <v>0</v>
      </c>
      <c r="AD102" s="84" t="s">
        <v>367</v>
      </c>
      <c r="AE102" s="83"/>
      <c r="AK102" s="31"/>
      <c r="AL102" s="33"/>
      <c r="AM102" s="33"/>
    </row>
    <row r="103" spans="1:40" x14ac:dyDescent="0.25">
      <c r="A103" s="100" t="s">
        <v>158</v>
      </c>
      <c r="B103" s="101" t="s">
        <v>492</v>
      </c>
      <c r="C103" s="104" t="s">
        <v>532</v>
      </c>
      <c r="D103" s="13">
        <v>1</v>
      </c>
      <c r="E103" s="29" t="s">
        <v>10</v>
      </c>
      <c r="F103" s="88" t="str">
        <f>HYPERLINK("http://ictvonline.org/taxonomyHistory.asp?taxnode_id=20162134","20162134")</f>
        <v>20162134</v>
      </c>
      <c r="G103" s="93">
        <v>1946</v>
      </c>
      <c r="H103" s="88" t="str">
        <f>HYPERLINK("https://www.ncbi.nlm.nih.gov/pubmed/21020339", "21020339")</f>
        <v>21020339</v>
      </c>
      <c r="I103" s="91" t="s">
        <v>453</v>
      </c>
      <c r="J103" s="15">
        <v>1</v>
      </c>
      <c r="K103" s="7">
        <v>0</v>
      </c>
      <c r="L103" s="8">
        <v>0</v>
      </c>
      <c r="M103" s="7">
        <v>0</v>
      </c>
      <c r="N103" s="7">
        <v>0</v>
      </c>
      <c r="O103" s="9">
        <v>0</v>
      </c>
      <c r="P103" s="9">
        <v>0</v>
      </c>
      <c r="Q103" s="7">
        <v>0</v>
      </c>
      <c r="R103" s="10">
        <v>0</v>
      </c>
      <c r="S103" s="81">
        <v>19501478</v>
      </c>
      <c r="T103" s="79"/>
      <c r="U103" s="24">
        <v>2</v>
      </c>
      <c r="V103" s="24">
        <v>0</v>
      </c>
      <c r="W103" s="12" t="s">
        <v>7</v>
      </c>
      <c r="X103" s="32">
        <v>0</v>
      </c>
      <c r="Y103" s="12">
        <v>1</v>
      </c>
      <c r="Z103" s="12">
        <v>1</v>
      </c>
      <c r="AA103" s="12">
        <v>1</v>
      </c>
      <c r="AB103" s="32">
        <v>0</v>
      </c>
      <c r="AC103" s="32">
        <v>0</v>
      </c>
      <c r="AD103" s="73">
        <v>19501478</v>
      </c>
      <c r="AE103" s="83"/>
      <c r="AK103" s="31"/>
      <c r="AL103" s="33"/>
      <c r="AM103" s="33"/>
      <c r="AN103" s="33"/>
    </row>
    <row r="104" spans="1:40" x14ac:dyDescent="0.25">
      <c r="A104" s="100" t="s">
        <v>159</v>
      </c>
      <c r="B104" s="101" t="s">
        <v>492</v>
      </c>
      <c r="C104" s="104" t="s">
        <v>532</v>
      </c>
      <c r="D104" s="13">
        <v>1</v>
      </c>
      <c r="E104" s="29" t="s">
        <v>10</v>
      </c>
      <c r="F104" s="88" t="str">
        <f>HYPERLINK("http://ictvonline.org/taxonomyHistory.asp?taxnode_id=20162136","20162136")</f>
        <v>20162136</v>
      </c>
      <c r="G104" s="93">
        <v>1941</v>
      </c>
      <c r="H104" s="88" t="str">
        <f>HYPERLINK("http://www.ajtmh.org/content/journals/10.4269/ajtmh.1941.s1-21.75", "Available from external site")</f>
        <v>Available from external site</v>
      </c>
      <c r="I104" s="91" t="s">
        <v>453</v>
      </c>
      <c r="J104" s="15">
        <v>1</v>
      </c>
      <c r="K104" s="7">
        <v>0</v>
      </c>
      <c r="L104" s="8">
        <v>0</v>
      </c>
      <c r="M104" s="7">
        <v>0</v>
      </c>
      <c r="N104" s="7">
        <v>0</v>
      </c>
      <c r="O104" s="9">
        <v>0</v>
      </c>
      <c r="P104" s="9">
        <v>0</v>
      </c>
      <c r="Q104" s="7">
        <v>0</v>
      </c>
      <c r="R104" s="10">
        <v>0</v>
      </c>
      <c r="S104" s="78">
        <v>12789111</v>
      </c>
      <c r="T104" s="79"/>
      <c r="U104" s="25">
        <v>3</v>
      </c>
      <c r="V104" s="26">
        <v>1</v>
      </c>
      <c r="W104" s="12" t="s">
        <v>7</v>
      </c>
      <c r="X104" s="32">
        <v>0</v>
      </c>
      <c r="Y104" s="32">
        <v>0</v>
      </c>
      <c r="Z104" s="12">
        <v>1</v>
      </c>
      <c r="AA104" s="32">
        <v>0</v>
      </c>
      <c r="AB104" s="32">
        <v>0</v>
      </c>
      <c r="AC104" s="32">
        <v>0</v>
      </c>
      <c r="AD104" s="73">
        <v>12789111</v>
      </c>
      <c r="AE104" s="73"/>
      <c r="AK104" s="31"/>
      <c r="AL104" s="33"/>
      <c r="AM104" s="33"/>
      <c r="AN104" s="33"/>
    </row>
    <row r="105" spans="1:40" s="49" customFormat="1" x14ac:dyDescent="0.25">
      <c r="A105" s="100" t="s">
        <v>160</v>
      </c>
      <c r="B105" s="101" t="s">
        <v>492</v>
      </c>
      <c r="C105" s="104" t="s">
        <v>532</v>
      </c>
      <c r="D105" s="13">
        <v>1</v>
      </c>
      <c r="E105" s="29" t="s">
        <v>10</v>
      </c>
      <c r="F105" s="88" t="str">
        <f>HYPERLINK("http://ictvonline.org/taxonomyHistory.asp?taxnode_id=20162137","20162137")</f>
        <v>20162137</v>
      </c>
      <c r="G105" s="93">
        <v>1952</v>
      </c>
      <c r="H105" s="88" t="str">
        <f>HYPERLINK("https://www.ncbi.nlm.nih.gov/pubmed/13009479", "13009479")</f>
        <v>13009479</v>
      </c>
      <c r="I105" s="91" t="s">
        <v>453</v>
      </c>
      <c r="J105" s="15">
        <v>1</v>
      </c>
      <c r="K105" s="7">
        <v>0</v>
      </c>
      <c r="L105" s="8">
        <v>0</v>
      </c>
      <c r="M105" s="7">
        <v>0</v>
      </c>
      <c r="N105" s="7">
        <v>0</v>
      </c>
      <c r="O105" s="9">
        <v>0</v>
      </c>
      <c r="P105" s="9">
        <v>0</v>
      </c>
      <c r="Q105" s="7">
        <v>0</v>
      </c>
      <c r="R105" s="10">
        <v>0</v>
      </c>
      <c r="S105" s="78" t="s">
        <v>215</v>
      </c>
      <c r="T105" s="79"/>
      <c r="U105" s="24">
        <v>2</v>
      </c>
      <c r="V105" s="24">
        <v>0</v>
      </c>
      <c r="W105" s="12" t="s">
        <v>7</v>
      </c>
      <c r="X105" s="32">
        <v>0</v>
      </c>
      <c r="Y105" s="32">
        <v>0</v>
      </c>
      <c r="Z105" s="12">
        <v>1</v>
      </c>
      <c r="AA105" s="32">
        <v>0</v>
      </c>
      <c r="AB105" s="32">
        <v>0</v>
      </c>
      <c r="AC105" s="32">
        <v>0</v>
      </c>
      <c r="AD105" s="73">
        <v>6126267</v>
      </c>
      <c r="AE105" s="73" t="s">
        <v>215</v>
      </c>
      <c r="AK105" s="31"/>
      <c r="AL105" s="33"/>
      <c r="AM105" s="33"/>
      <c r="AN105" s="33"/>
    </row>
    <row r="106" spans="1:40" x14ac:dyDescent="0.25">
      <c r="A106" s="100" t="s">
        <v>162</v>
      </c>
      <c r="B106" s="101" t="s">
        <v>492</v>
      </c>
      <c r="C106" s="104" t="s">
        <v>532</v>
      </c>
      <c r="D106" s="13">
        <v>1</v>
      </c>
      <c r="E106" s="29" t="s">
        <v>10</v>
      </c>
      <c r="F106" s="88" t="str">
        <f>HYPERLINK("http://ictvonline.org/taxonomyHistory.asp?taxnode_id=20162139","20162139")</f>
        <v>20162139</v>
      </c>
      <c r="G106" s="93">
        <v>1961</v>
      </c>
      <c r="H106" s="88" t="str">
        <f>HYPERLINK("https://www.ncbi.nlm.nih.gov/pubmed/13691675", "13691675")</f>
        <v>13691675</v>
      </c>
      <c r="I106" s="91" t="s">
        <v>453</v>
      </c>
      <c r="J106" s="15">
        <v>1</v>
      </c>
      <c r="K106" s="7">
        <v>0</v>
      </c>
      <c r="L106" s="8">
        <v>0</v>
      </c>
      <c r="M106" s="7">
        <v>0</v>
      </c>
      <c r="N106" s="7">
        <v>0</v>
      </c>
      <c r="O106" s="9">
        <v>0</v>
      </c>
      <c r="P106" s="9">
        <v>0</v>
      </c>
      <c r="Q106" s="7">
        <v>0</v>
      </c>
      <c r="R106" s="10">
        <v>0</v>
      </c>
      <c r="S106" s="77">
        <v>27074162</v>
      </c>
      <c r="T106" s="79"/>
      <c r="U106" s="24">
        <v>2</v>
      </c>
      <c r="V106" s="24">
        <v>0</v>
      </c>
      <c r="W106" s="12" t="s">
        <v>7</v>
      </c>
      <c r="X106" s="32">
        <v>0</v>
      </c>
      <c r="Y106" s="56">
        <v>1</v>
      </c>
      <c r="Z106" s="12">
        <v>1</v>
      </c>
      <c r="AA106" s="55">
        <v>0</v>
      </c>
      <c r="AB106" s="32">
        <v>0</v>
      </c>
      <c r="AC106" s="32">
        <v>0</v>
      </c>
      <c r="AD106" s="73">
        <v>17705031</v>
      </c>
      <c r="AE106" s="83"/>
      <c r="AK106" s="31"/>
      <c r="AL106" s="33"/>
      <c r="AM106" s="33"/>
    </row>
    <row r="107" spans="1:40" x14ac:dyDescent="0.25">
      <c r="A107" s="100" t="s">
        <v>163</v>
      </c>
      <c r="B107" s="101" t="s">
        <v>492</v>
      </c>
      <c r="C107" s="104" t="s">
        <v>532</v>
      </c>
      <c r="D107" s="13">
        <v>1</v>
      </c>
      <c r="E107" s="29" t="s">
        <v>10</v>
      </c>
      <c r="F107" s="88" t="str">
        <f>HYPERLINK("http://ictvonline.org/taxonomyHistory.asp?taxnode_id=20162140","20162140")</f>
        <v>20162140</v>
      </c>
      <c r="G107" s="93">
        <v>1961</v>
      </c>
      <c r="H107" s="88" t="str">
        <f>HYPERLINK("https://www.ncbi.nlm.nih.gov/pubmed/13691675", "13691675")</f>
        <v>13691675</v>
      </c>
      <c r="I107" s="91" t="s">
        <v>453</v>
      </c>
      <c r="J107" s="15">
        <v>1</v>
      </c>
      <c r="K107" s="7">
        <v>0</v>
      </c>
      <c r="L107" s="8">
        <v>0</v>
      </c>
      <c r="M107" s="7">
        <v>0</v>
      </c>
      <c r="N107" s="7">
        <v>0</v>
      </c>
      <c r="O107" s="9">
        <v>0</v>
      </c>
      <c r="P107" s="9">
        <v>0</v>
      </c>
      <c r="Q107" s="7">
        <v>0</v>
      </c>
      <c r="R107" s="10">
        <v>0</v>
      </c>
      <c r="S107" s="78" t="s">
        <v>219</v>
      </c>
      <c r="T107" s="79"/>
      <c r="U107" s="24">
        <v>2</v>
      </c>
      <c r="V107" s="24">
        <v>0</v>
      </c>
      <c r="W107" s="12" t="s">
        <v>7</v>
      </c>
      <c r="X107" s="32">
        <v>0</v>
      </c>
      <c r="Y107" s="12">
        <v>1</v>
      </c>
      <c r="Z107" s="12">
        <v>1</v>
      </c>
      <c r="AA107" s="32">
        <v>0</v>
      </c>
      <c r="AB107" s="32">
        <v>0</v>
      </c>
      <c r="AC107" s="32">
        <v>0</v>
      </c>
      <c r="AD107" s="73" t="s">
        <v>219</v>
      </c>
      <c r="AE107" s="83"/>
      <c r="AK107" s="31"/>
      <c r="AL107" s="33"/>
      <c r="AM107" s="33"/>
    </row>
    <row r="108" spans="1:40" x14ac:dyDescent="0.25">
      <c r="A108" s="100" t="s">
        <v>192</v>
      </c>
      <c r="B108" s="101" t="s">
        <v>492</v>
      </c>
      <c r="C108" s="104" t="s">
        <v>532</v>
      </c>
      <c r="D108" s="13">
        <v>1</v>
      </c>
      <c r="E108" s="29" t="s">
        <v>10</v>
      </c>
      <c r="F108" s="88" t="str">
        <f>HYPERLINK("http://ictvonline.org/taxonomyHistory.asp?taxnode_id=20162144","20162144")</f>
        <v>20162144</v>
      </c>
      <c r="G108" s="93">
        <v>1961</v>
      </c>
      <c r="H108" s="88" t="str">
        <f>HYPERLINK("https://www.ncbi.nlm.nih.gov/pubmed/13691675", "13691675")</f>
        <v>13691675</v>
      </c>
      <c r="I108" s="92" t="s">
        <v>454</v>
      </c>
      <c r="J108" s="15">
        <v>1</v>
      </c>
      <c r="K108" s="7">
        <v>0</v>
      </c>
      <c r="L108" s="8">
        <v>0</v>
      </c>
      <c r="M108" s="7">
        <v>0</v>
      </c>
      <c r="N108" s="7">
        <v>0</v>
      </c>
      <c r="O108" s="9">
        <v>0</v>
      </c>
      <c r="P108" s="9">
        <v>0</v>
      </c>
      <c r="Q108" s="7">
        <v>0</v>
      </c>
      <c r="R108" s="10">
        <v>0</v>
      </c>
      <c r="S108" s="81">
        <v>234206</v>
      </c>
      <c r="T108" s="79"/>
      <c r="U108" s="24">
        <v>2</v>
      </c>
      <c r="V108" s="24">
        <v>0</v>
      </c>
      <c r="W108" s="12" t="s">
        <v>7</v>
      </c>
      <c r="X108" s="32">
        <v>0</v>
      </c>
      <c r="Y108" s="12">
        <v>1</v>
      </c>
      <c r="Z108" s="12">
        <v>1</v>
      </c>
      <c r="AA108" s="32">
        <v>0</v>
      </c>
      <c r="AB108" s="32">
        <v>0</v>
      </c>
      <c r="AC108" s="32">
        <v>0</v>
      </c>
      <c r="AD108" s="73" t="s">
        <v>219</v>
      </c>
      <c r="AE108" s="83"/>
      <c r="AK108" s="31"/>
      <c r="AL108" s="33"/>
      <c r="AM108" s="33"/>
    </row>
    <row r="109" spans="1:40" x14ac:dyDescent="0.25">
      <c r="A109" s="100" t="s">
        <v>168</v>
      </c>
      <c r="B109" s="101" t="s">
        <v>492</v>
      </c>
      <c r="C109" s="104" t="s">
        <v>532</v>
      </c>
      <c r="D109" s="13">
        <v>1</v>
      </c>
      <c r="E109" s="29" t="s">
        <v>10</v>
      </c>
      <c r="F109" s="88" t="str">
        <f>HYPERLINK("http://ictvonline.org/taxonomyHistory.asp?taxnode_id=20162145","20162145")</f>
        <v>20162145</v>
      </c>
      <c r="G109" s="93">
        <v>1959</v>
      </c>
      <c r="H109" s="88" t="str">
        <f>HYPERLINK("https://www.ncbi.nlm.nih.gov/pubmed/13851794", "13851794")</f>
        <v>13851794</v>
      </c>
      <c r="I109" s="91" t="s">
        <v>453</v>
      </c>
      <c r="J109" s="15">
        <v>1</v>
      </c>
      <c r="K109" s="7">
        <v>0</v>
      </c>
      <c r="L109" s="8">
        <v>0</v>
      </c>
      <c r="M109" s="7">
        <v>0</v>
      </c>
      <c r="N109" s="7">
        <v>0</v>
      </c>
      <c r="O109" s="9">
        <v>0</v>
      </c>
      <c r="P109" s="9">
        <v>0</v>
      </c>
      <c r="Q109" s="7">
        <v>0</v>
      </c>
      <c r="R109" s="10">
        <v>0</v>
      </c>
      <c r="S109" s="78" t="s">
        <v>255</v>
      </c>
      <c r="T109" s="79"/>
      <c r="U109" s="24">
        <v>2</v>
      </c>
      <c r="V109" s="24">
        <v>0</v>
      </c>
      <c r="W109" s="52" t="s">
        <v>7</v>
      </c>
      <c r="X109" s="32">
        <v>0</v>
      </c>
      <c r="Y109" s="32">
        <v>0</v>
      </c>
      <c r="Z109" s="56">
        <v>1</v>
      </c>
      <c r="AA109" s="55">
        <v>0</v>
      </c>
      <c r="AB109" s="32">
        <v>0</v>
      </c>
      <c r="AC109" s="32">
        <v>0</v>
      </c>
      <c r="AD109" s="73" t="s">
        <v>254</v>
      </c>
      <c r="AE109" s="73" t="s">
        <v>255</v>
      </c>
      <c r="AK109" s="31"/>
      <c r="AL109" s="33"/>
      <c r="AM109" s="33"/>
    </row>
    <row r="110" spans="1:40" x14ac:dyDescent="0.25">
      <c r="A110" s="100" t="s">
        <v>171</v>
      </c>
      <c r="B110" s="101" t="s">
        <v>492</v>
      </c>
      <c r="C110" s="104" t="s">
        <v>532</v>
      </c>
      <c r="D110" s="13">
        <v>1</v>
      </c>
      <c r="E110" s="29" t="s">
        <v>10</v>
      </c>
      <c r="F110" s="88" t="str">
        <f>HYPERLINK("http://ictvonline.org/taxonomyHistory.asp?taxnode_id=20162147","20162147")</f>
        <v>20162147</v>
      </c>
      <c r="G110" s="93">
        <v>1967</v>
      </c>
      <c r="H110" s="88" t="str">
        <f>HYPERLINK("https://www.ncbi.nlm.nih.gov/pubmed/5585978", "5585978")</f>
        <v>5585978</v>
      </c>
      <c r="I110" s="92" t="s">
        <v>454</v>
      </c>
      <c r="J110" s="15">
        <v>1</v>
      </c>
      <c r="K110" s="7">
        <v>0</v>
      </c>
      <c r="L110" s="8">
        <v>0</v>
      </c>
      <c r="M110" s="7">
        <v>0</v>
      </c>
      <c r="N110" s="7">
        <v>0</v>
      </c>
      <c r="O110" s="9">
        <v>0</v>
      </c>
      <c r="P110" s="9">
        <v>0</v>
      </c>
      <c r="Q110" s="7">
        <v>0</v>
      </c>
      <c r="R110" s="10">
        <v>0</v>
      </c>
      <c r="S110" s="81">
        <v>13793361</v>
      </c>
      <c r="T110" s="79"/>
      <c r="U110" s="11">
        <v>2</v>
      </c>
      <c r="V110" s="24">
        <v>0</v>
      </c>
      <c r="W110" s="12" t="s">
        <v>7</v>
      </c>
      <c r="X110" s="32">
        <v>0</v>
      </c>
      <c r="Y110" s="32">
        <v>0</v>
      </c>
      <c r="Z110" s="12">
        <v>1</v>
      </c>
      <c r="AA110" s="32">
        <v>0</v>
      </c>
      <c r="AB110" s="32">
        <v>0</v>
      </c>
      <c r="AC110" s="32">
        <v>0</v>
      </c>
      <c r="AD110" s="73" t="s">
        <v>301</v>
      </c>
      <c r="AE110" s="83"/>
      <c r="AK110" s="31"/>
      <c r="AL110" s="33"/>
      <c r="AM110" s="33"/>
    </row>
    <row r="111" spans="1:40" x14ac:dyDescent="0.25">
      <c r="A111" s="104" t="s">
        <v>172</v>
      </c>
      <c r="B111" s="104" t="s">
        <v>492</v>
      </c>
      <c r="C111" s="104" t="s">
        <v>532</v>
      </c>
      <c r="D111" s="13">
        <v>1</v>
      </c>
      <c r="E111" s="49" t="s">
        <v>10</v>
      </c>
      <c r="F111" s="88" t="str">
        <f>HYPERLINK("http://ictvonline.org/taxonomyHistory.asp?taxnode_id=20162149","20162149")</f>
        <v>20162149</v>
      </c>
      <c r="G111" s="93">
        <v>1964</v>
      </c>
      <c r="H111" s="88" t="str">
        <f>HYPERLINK("https://www.ncbi.nlm.nih.gov/pubmed/14222439", "14222439")</f>
        <v>14222439</v>
      </c>
      <c r="I111" s="91" t="s">
        <v>453</v>
      </c>
      <c r="J111" s="15">
        <v>1</v>
      </c>
      <c r="K111" s="7">
        <v>0</v>
      </c>
      <c r="L111" s="8">
        <v>0</v>
      </c>
      <c r="M111" s="7">
        <v>0</v>
      </c>
      <c r="N111" s="7">
        <v>0</v>
      </c>
      <c r="O111" s="9">
        <v>0</v>
      </c>
      <c r="P111" s="9">
        <v>0</v>
      </c>
      <c r="Q111" s="7">
        <v>0</v>
      </c>
      <c r="R111" s="10">
        <v>0</v>
      </c>
      <c r="S111" s="81">
        <v>24633174</v>
      </c>
      <c r="T111" s="79"/>
      <c r="U111" s="24">
        <v>2</v>
      </c>
      <c r="V111" s="24">
        <v>0</v>
      </c>
      <c r="W111" s="12" t="s">
        <v>7</v>
      </c>
      <c r="X111" s="38">
        <v>0</v>
      </c>
      <c r="Y111" s="38">
        <v>0</v>
      </c>
      <c r="Z111" s="39">
        <v>1</v>
      </c>
      <c r="AA111" s="38">
        <v>0</v>
      </c>
      <c r="AB111" s="32">
        <v>0</v>
      </c>
      <c r="AC111" s="32">
        <v>0</v>
      </c>
      <c r="AD111" s="73" t="s">
        <v>308</v>
      </c>
      <c r="AE111" s="83"/>
      <c r="AK111" s="31"/>
      <c r="AL111" s="33"/>
      <c r="AM111" s="33"/>
      <c r="AN111" s="49"/>
    </row>
    <row r="112" spans="1:40" x14ac:dyDescent="0.25">
      <c r="A112" s="100" t="s">
        <v>193</v>
      </c>
      <c r="B112" s="101" t="s">
        <v>492</v>
      </c>
      <c r="C112" s="104" t="s">
        <v>532</v>
      </c>
      <c r="D112" s="13">
        <v>1</v>
      </c>
      <c r="E112" s="29" t="s">
        <v>10</v>
      </c>
      <c r="F112" s="88" t="str">
        <f>HYPERLINK("http://ictvonline.org/taxonomyHistory.asp?taxnode_id=20162152","20162152")</f>
        <v>20162152</v>
      </c>
      <c r="G112" s="93">
        <v>1961</v>
      </c>
      <c r="H112" s="88" t="str">
        <f>HYPERLINK("https://www.ncbi.nlm.nih.gov/pubmed/13691675", "13691675")</f>
        <v>13691675</v>
      </c>
      <c r="I112" s="91" t="s">
        <v>453</v>
      </c>
      <c r="J112" s="15">
        <v>1</v>
      </c>
      <c r="K112" s="7">
        <v>0</v>
      </c>
      <c r="L112" s="8">
        <v>0</v>
      </c>
      <c r="M112" s="7">
        <v>0</v>
      </c>
      <c r="N112" s="7">
        <v>0</v>
      </c>
      <c r="O112" s="9">
        <v>0</v>
      </c>
      <c r="P112" s="9">
        <v>0</v>
      </c>
      <c r="Q112" s="7">
        <v>0</v>
      </c>
      <c r="R112" s="10">
        <v>0</v>
      </c>
      <c r="S112" s="81">
        <v>24633174</v>
      </c>
      <c r="T112" s="79"/>
      <c r="U112" s="24">
        <v>2</v>
      </c>
      <c r="V112" s="24">
        <v>0</v>
      </c>
      <c r="W112" s="12" t="s">
        <v>7</v>
      </c>
      <c r="X112" s="32">
        <v>0</v>
      </c>
      <c r="Y112" s="12">
        <v>1</v>
      </c>
      <c r="Z112" s="12">
        <v>1</v>
      </c>
      <c r="AA112" s="32">
        <v>0</v>
      </c>
      <c r="AB112" s="32">
        <v>0</v>
      </c>
      <c r="AC112" s="32">
        <v>0</v>
      </c>
      <c r="AD112" s="73" t="s">
        <v>308</v>
      </c>
      <c r="AE112" s="83"/>
      <c r="AK112" s="31"/>
      <c r="AL112" s="33"/>
      <c r="AM112" s="33"/>
      <c r="AN112" s="49"/>
    </row>
    <row r="113" spans="1:40" x14ac:dyDescent="0.25">
      <c r="A113" s="104" t="s">
        <v>175</v>
      </c>
      <c r="B113" s="104" t="s">
        <v>492</v>
      </c>
      <c r="C113" s="104" t="s">
        <v>532</v>
      </c>
      <c r="D113" s="13">
        <v>1</v>
      </c>
      <c r="E113" s="49" t="s">
        <v>10</v>
      </c>
      <c r="F113" s="88" t="str">
        <f>HYPERLINK("http://ictvonline.org/taxonomyHistory.asp?taxnode_id=20162155","20162155")</f>
        <v>20162155</v>
      </c>
      <c r="G113" s="93">
        <v>1965</v>
      </c>
      <c r="H113" s="88" t="str">
        <f>HYPERLINK("https://www.ncbi.nlm.nih.gov/pubmed/14292787", "14292787")</f>
        <v>14292787</v>
      </c>
      <c r="I113" s="91" t="s">
        <v>453</v>
      </c>
      <c r="J113" s="15">
        <v>1</v>
      </c>
      <c r="K113" s="7">
        <v>0</v>
      </c>
      <c r="L113" s="8">
        <v>0</v>
      </c>
      <c r="M113" s="7">
        <v>0</v>
      </c>
      <c r="N113" s="7">
        <v>0</v>
      </c>
      <c r="O113" s="9">
        <v>0</v>
      </c>
      <c r="P113" s="9">
        <v>0</v>
      </c>
      <c r="Q113" s="7">
        <v>0</v>
      </c>
      <c r="R113" s="10">
        <v>0</v>
      </c>
      <c r="S113" s="78" t="s">
        <v>414</v>
      </c>
      <c r="T113" s="79"/>
      <c r="U113" s="24">
        <v>2</v>
      </c>
      <c r="V113" s="24">
        <v>0</v>
      </c>
      <c r="W113" s="69" t="s">
        <v>196</v>
      </c>
      <c r="X113" s="86" t="s">
        <v>6</v>
      </c>
      <c r="Y113" s="86" t="s">
        <v>6</v>
      </c>
      <c r="Z113" s="86" t="s">
        <v>6</v>
      </c>
      <c r="AA113" s="86" t="s">
        <v>6</v>
      </c>
      <c r="AB113" s="86" t="s">
        <v>6</v>
      </c>
      <c r="AC113" s="86" t="s">
        <v>6</v>
      </c>
      <c r="AD113" s="73" t="s">
        <v>414</v>
      </c>
      <c r="AE113" s="82"/>
      <c r="AK113" s="31"/>
      <c r="AL113" s="33"/>
      <c r="AM113" s="33"/>
      <c r="AN113" s="49"/>
    </row>
    <row r="114" spans="1:40" x14ac:dyDescent="0.25">
      <c r="A114" s="100" t="s">
        <v>176</v>
      </c>
      <c r="B114" s="101" t="s">
        <v>492</v>
      </c>
      <c r="C114" s="104" t="s">
        <v>532</v>
      </c>
      <c r="D114" s="13">
        <v>1</v>
      </c>
      <c r="E114" s="29" t="s">
        <v>10</v>
      </c>
      <c r="F114" s="88" t="str">
        <f>HYPERLINK("http://ictvonline.org/taxonomyHistory.asp?taxnode_id=20162157","20162157")</f>
        <v>20162157</v>
      </c>
      <c r="G114" s="93">
        <v>1961</v>
      </c>
      <c r="H114" s="88" t="str">
        <f>HYPERLINK("https://www.ncbi.nlm.nih.gov/pubmed/13691675", "13691675")</f>
        <v>13691675</v>
      </c>
      <c r="I114" s="91" t="s">
        <v>453</v>
      </c>
      <c r="J114" s="17">
        <v>1</v>
      </c>
      <c r="K114" s="7">
        <v>0</v>
      </c>
      <c r="L114" s="8">
        <v>0</v>
      </c>
      <c r="M114" s="7">
        <v>0</v>
      </c>
      <c r="N114" s="7">
        <v>0</v>
      </c>
      <c r="O114" s="9">
        <v>0</v>
      </c>
      <c r="P114" s="9">
        <v>0</v>
      </c>
      <c r="Q114" s="7">
        <v>0</v>
      </c>
      <c r="R114" s="10">
        <v>0</v>
      </c>
      <c r="S114" s="78" t="s">
        <v>308</v>
      </c>
      <c r="T114" s="79"/>
      <c r="U114" s="24">
        <v>2</v>
      </c>
      <c r="V114" s="24">
        <v>0</v>
      </c>
      <c r="W114" s="12" t="s">
        <v>7</v>
      </c>
      <c r="X114" s="32">
        <v>0</v>
      </c>
      <c r="Y114" s="12">
        <v>1</v>
      </c>
      <c r="Z114" s="12">
        <v>1</v>
      </c>
      <c r="AA114" s="32">
        <v>0</v>
      </c>
      <c r="AB114" s="32">
        <v>0</v>
      </c>
      <c r="AC114" s="32">
        <v>0</v>
      </c>
      <c r="AD114" s="73" t="s">
        <v>308</v>
      </c>
      <c r="AE114" s="83"/>
      <c r="AK114" s="31"/>
      <c r="AL114" s="33"/>
      <c r="AM114" s="33"/>
      <c r="AN114" s="49"/>
    </row>
    <row r="115" spans="1:40" x14ac:dyDescent="0.25">
      <c r="A115" s="100" t="s">
        <v>177</v>
      </c>
      <c r="B115" s="101" t="s">
        <v>492</v>
      </c>
      <c r="C115" s="104" t="s">
        <v>532</v>
      </c>
      <c r="D115" s="13">
        <v>1</v>
      </c>
      <c r="E115" s="29" t="s">
        <v>10</v>
      </c>
      <c r="F115" s="88" t="str">
        <f>HYPERLINK("http://ictvonline.org/taxonomyHistory.asp?taxnode_id=20162158","20162158")</f>
        <v>20162158</v>
      </c>
      <c r="G115" s="93">
        <v>1961</v>
      </c>
      <c r="H115" s="88" t="str">
        <f>HYPERLINK("https://www.ncbi.nlm.nih.gov/pubmed/13683183", "13683183")</f>
        <v>13683183</v>
      </c>
      <c r="I115" s="91" t="s">
        <v>453</v>
      </c>
      <c r="J115" s="15">
        <v>1</v>
      </c>
      <c r="K115" s="7">
        <v>0</v>
      </c>
      <c r="L115" s="8">
        <v>0</v>
      </c>
      <c r="M115" s="7">
        <v>0</v>
      </c>
      <c r="N115" s="7">
        <v>0</v>
      </c>
      <c r="O115" s="9">
        <v>0</v>
      </c>
      <c r="P115" s="9">
        <v>0</v>
      </c>
      <c r="Q115" s="7">
        <v>0</v>
      </c>
      <c r="R115" s="10">
        <v>0</v>
      </c>
      <c r="S115" s="78" t="s">
        <v>325</v>
      </c>
      <c r="T115" s="79"/>
      <c r="U115" s="25">
        <v>3</v>
      </c>
      <c r="V115" s="26">
        <v>1</v>
      </c>
      <c r="W115" s="12" t="s">
        <v>7</v>
      </c>
      <c r="X115" s="32">
        <v>0</v>
      </c>
      <c r="Y115" s="12">
        <v>1</v>
      </c>
      <c r="Z115" s="12">
        <v>1</v>
      </c>
      <c r="AA115" s="32">
        <v>0</v>
      </c>
      <c r="AB115" s="32">
        <v>0</v>
      </c>
      <c r="AC115" s="32">
        <v>0</v>
      </c>
      <c r="AD115" s="73" t="s">
        <v>325</v>
      </c>
      <c r="AE115" s="73" t="s">
        <v>326</v>
      </c>
      <c r="AK115" s="31"/>
      <c r="AL115" s="33"/>
      <c r="AM115" s="33"/>
      <c r="AN115" s="49"/>
    </row>
    <row r="116" spans="1:40" x14ac:dyDescent="0.25">
      <c r="A116" s="102" t="s">
        <v>178</v>
      </c>
      <c r="B116" s="107" t="s">
        <v>492</v>
      </c>
      <c r="C116" s="104" t="s">
        <v>532</v>
      </c>
      <c r="D116" s="13">
        <v>1</v>
      </c>
      <c r="E116" s="49" t="s">
        <v>10</v>
      </c>
      <c r="F116" s="88" t="str">
        <f>HYPERLINK("http://ictvonline.org/taxonomyHistory.asp?taxnode_id=20162159","20162159")</f>
        <v>20162159</v>
      </c>
      <c r="G116" s="93">
        <v>1972</v>
      </c>
      <c r="H116" s="88" t="str">
        <f>HYPERLINK("https://www.ncbi.nlm.nih.gov/pubmed/4400811", "4400811")</f>
        <v>4400811</v>
      </c>
      <c r="I116" s="92" t="s">
        <v>454</v>
      </c>
      <c r="J116" s="15">
        <v>1</v>
      </c>
      <c r="K116" s="7">
        <v>0</v>
      </c>
      <c r="L116" s="7">
        <v>0</v>
      </c>
      <c r="M116" s="7">
        <v>0</v>
      </c>
      <c r="N116" s="9">
        <v>0</v>
      </c>
      <c r="O116" s="9">
        <v>0</v>
      </c>
      <c r="P116" s="9">
        <v>0</v>
      </c>
      <c r="Q116" s="9">
        <v>0</v>
      </c>
      <c r="R116" s="10">
        <v>0</v>
      </c>
      <c r="S116" s="78" t="s">
        <v>331</v>
      </c>
      <c r="T116" s="79"/>
      <c r="U116" s="24">
        <v>2</v>
      </c>
      <c r="V116" s="24">
        <v>0</v>
      </c>
      <c r="W116" s="51" t="s">
        <v>7</v>
      </c>
      <c r="X116" s="41">
        <v>0</v>
      </c>
      <c r="Y116" s="41">
        <v>0</v>
      </c>
      <c r="Z116" s="12">
        <v>1</v>
      </c>
      <c r="AA116" s="32">
        <v>0</v>
      </c>
      <c r="AB116" s="32">
        <v>0</v>
      </c>
      <c r="AC116" s="32">
        <v>0</v>
      </c>
      <c r="AD116" s="73" t="s">
        <v>331</v>
      </c>
      <c r="AE116" s="83"/>
      <c r="AK116" s="31"/>
      <c r="AL116" s="33"/>
      <c r="AM116" s="33"/>
      <c r="AN116" s="49"/>
    </row>
    <row r="117" spans="1:40" x14ac:dyDescent="0.25">
      <c r="A117" s="100" t="s">
        <v>185</v>
      </c>
      <c r="B117" s="101" t="s">
        <v>492</v>
      </c>
      <c r="C117" s="104" t="s">
        <v>532</v>
      </c>
      <c r="D117" s="13">
        <v>1</v>
      </c>
      <c r="E117" s="29" t="s">
        <v>10</v>
      </c>
      <c r="F117" s="88" t="str">
        <f>HYPERLINK("http://ictvonline.org/taxonomyHistory.asp?taxnode_id=20162162","20162162")</f>
        <v>20162162</v>
      </c>
      <c r="G117" s="93">
        <v>1975</v>
      </c>
      <c r="H117" s="88" t="str">
        <f>HYPERLINK("https://www.ncbi.nlm.nih.gov/pubmed/1124969", "1124969")</f>
        <v>1124969</v>
      </c>
      <c r="I117" s="91" t="s">
        <v>453</v>
      </c>
      <c r="J117" s="17">
        <v>1</v>
      </c>
      <c r="K117" s="7">
        <v>0</v>
      </c>
      <c r="L117" s="8">
        <v>0</v>
      </c>
      <c r="M117" s="7">
        <v>0</v>
      </c>
      <c r="N117" s="7">
        <v>0</v>
      </c>
      <c r="O117" s="9">
        <v>0</v>
      </c>
      <c r="P117" s="9">
        <v>0</v>
      </c>
      <c r="Q117" s="7">
        <v>0</v>
      </c>
      <c r="R117" s="10">
        <v>0</v>
      </c>
      <c r="S117" s="78" t="s">
        <v>423</v>
      </c>
      <c r="T117" s="79"/>
      <c r="U117" s="24">
        <v>2</v>
      </c>
      <c r="V117" s="24">
        <v>0</v>
      </c>
      <c r="W117" s="12" t="s">
        <v>7</v>
      </c>
      <c r="X117" s="32">
        <v>0</v>
      </c>
      <c r="Y117" s="32">
        <v>0</v>
      </c>
      <c r="Z117" s="12">
        <v>1</v>
      </c>
      <c r="AA117" s="32">
        <v>0</v>
      </c>
      <c r="AB117" s="32">
        <v>0</v>
      </c>
      <c r="AC117" s="32">
        <v>0</v>
      </c>
      <c r="AD117" s="73" t="s">
        <v>353</v>
      </c>
      <c r="AE117" s="83"/>
      <c r="AK117" s="31"/>
      <c r="AL117" s="33"/>
      <c r="AM117" s="33"/>
      <c r="AN117" s="49"/>
    </row>
    <row r="118" spans="1:40" x14ac:dyDescent="0.25">
      <c r="A118" s="100" t="s">
        <v>186</v>
      </c>
      <c r="B118" s="101" t="s">
        <v>492</v>
      </c>
      <c r="C118" s="104" t="s">
        <v>532</v>
      </c>
      <c r="D118" s="13">
        <v>1</v>
      </c>
      <c r="E118" s="29" t="s">
        <v>10</v>
      </c>
      <c r="F118" s="88" t="str">
        <f>HYPERLINK("http://ictvonline.org/taxonomyHistory.asp?taxnode_id=20162164","20162164")</f>
        <v>20162164</v>
      </c>
      <c r="G118" s="93">
        <v>1967</v>
      </c>
      <c r="H118" s="88" t="str">
        <f>HYPERLINK("https://www.ncbi.nlm.nih.gov/pubmed/5585978", "5585978")</f>
        <v>5585978</v>
      </c>
      <c r="I118" s="91" t="s">
        <v>453</v>
      </c>
      <c r="J118" s="15">
        <v>1</v>
      </c>
      <c r="K118" s="7">
        <v>0</v>
      </c>
      <c r="L118" s="8">
        <v>0</v>
      </c>
      <c r="M118" s="7">
        <v>0</v>
      </c>
      <c r="N118" s="7">
        <v>0</v>
      </c>
      <c r="O118" s="9">
        <v>0</v>
      </c>
      <c r="P118" s="9">
        <v>0</v>
      </c>
      <c r="Q118" s="7">
        <v>0</v>
      </c>
      <c r="R118" s="10">
        <v>0</v>
      </c>
      <c r="S118" s="78" t="s">
        <v>424</v>
      </c>
      <c r="T118" s="79"/>
      <c r="U118" s="24">
        <v>2</v>
      </c>
      <c r="V118" s="24">
        <v>0</v>
      </c>
      <c r="W118" s="12" t="s">
        <v>7</v>
      </c>
      <c r="X118" s="32">
        <v>0</v>
      </c>
      <c r="Y118" s="12">
        <v>1</v>
      </c>
      <c r="Z118" s="12">
        <v>1</v>
      </c>
      <c r="AA118" s="57">
        <v>0</v>
      </c>
      <c r="AB118" s="32">
        <v>0</v>
      </c>
      <c r="AC118" s="32">
        <v>0</v>
      </c>
      <c r="AD118" s="84" t="s">
        <v>360</v>
      </c>
      <c r="AE118" s="83"/>
      <c r="AK118" s="31"/>
      <c r="AL118" s="33"/>
      <c r="AM118" s="33"/>
      <c r="AN118" s="49"/>
    </row>
    <row r="119" spans="1:40" x14ac:dyDescent="0.25">
      <c r="A119" s="100" t="s">
        <v>191</v>
      </c>
      <c r="B119" s="101" t="s">
        <v>492</v>
      </c>
      <c r="C119" s="104" t="s">
        <v>532</v>
      </c>
      <c r="D119" s="13">
        <v>1</v>
      </c>
      <c r="E119" s="29" t="s">
        <v>10</v>
      </c>
      <c r="F119" s="88" t="str">
        <f>HYPERLINK("http://ictvonline.org/taxonomyHistory.asp?taxnode_id=20162169","20162169")</f>
        <v>20162169</v>
      </c>
      <c r="G119" s="93">
        <v>1965</v>
      </c>
      <c r="H119" s="88" t="str">
        <f>HYPERLINK("https://www.ncbi.nlm.nih.gov/pubmed/14332846", "14332846")</f>
        <v>14332846</v>
      </c>
      <c r="I119" s="91" t="s">
        <v>453</v>
      </c>
      <c r="J119" s="15">
        <v>1</v>
      </c>
      <c r="K119" s="7">
        <v>0</v>
      </c>
      <c r="L119" s="8">
        <v>0</v>
      </c>
      <c r="M119" s="7">
        <v>0</v>
      </c>
      <c r="N119" s="7">
        <v>0</v>
      </c>
      <c r="O119" s="9">
        <v>0</v>
      </c>
      <c r="P119" s="9">
        <v>0</v>
      </c>
      <c r="Q119" s="7">
        <v>0</v>
      </c>
      <c r="R119" s="10">
        <v>0</v>
      </c>
      <c r="S119" s="78" t="s">
        <v>426</v>
      </c>
      <c r="T119" s="79"/>
      <c r="U119" s="24">
        <v>2</v>
      </c>
      <c r="V119" s="24">
        <v>0</v>
      </c>
      <c r="W119" s="12" t="s">
        <v>7</v>
      </c>
      <c r="X119" s="32">
        <v>0</v>
      </c>
      <c r="Y119" s="32">
        <v>0</v>
      </c>
      <c r="Z119" s="12">
        <v>1</v>
      </c>
      <c r="AA119" s="32">
        <v>0</v>
      </c>
      <c r="AB119" s="32">
        <v>0</v>
      </c>
      <c r="AC119" s="32">
        <v>0</v>
      </c>
      <c r="AD119" s="73" t="s">
        <v>426</v>
      </c>
      <c r="AE119" s="83"/>
      <c r="AK119" s="31"/>
      <c r="AL119" s="33"/>
      <c r="AM119" s="33"/>
      <c r="AN119" s="49"/>
    </row>
    <row r="120" spans="1:40" x14ac:dyDescent="0.25">
      <c r="A120" s="100" t="s">
        <v>161</v>
      </c>
      <c r="B120" s="101" t="s">
        <v>493</v>
      </c>
      <c r="C120" s="104" t="s">
        <v>533</v>
      </c>
      <c r="D120" s="13">
        <v>1</v>
      </c>
      <c r="E120" s="29" t="s">
        <v>10</v>
      </c>
      <c r="F120" s="88" t="str">
        <f>HYPERLINK("http://ictvonline.org/taxonomyHistory.asp?taxnode_id=20162173","20162173")</f>
        <v>20162173</v>
      </c>
      <c r="G120" s="93">
        <v>1983</v>
      </c>
      <c r="H120" s="88" t="str">
        <f>HYPERLINK("https://www.ncbi.nlm.nih.gov/pubmed/6312820", "6312820")</f>
        <v>6312820</v>
      </c>
      <c r="I120" s="91" t="s">
        <v>453</v>
      </c>
      <c r="J120" s="15">
        <v>1</v>
      </c>
      <c r="K120" s="7">
        <v>0</v>
      </c>
      <c r="L120" s="8">
        <v>0</v>
      </c>
      <c r="M120" s="7">
        <v>0</v>
      </c>
      <c r="N120" s="7">
        <v>0</v>
      </c>
      <c r="O120" s="9">
        <v>0</v>
      </c>
      <c r="P120" s="9">
        <v>0</v>
      </c>
      <c r="Q120" s="7">
        <v>0</v>
      </c>
      <c r="R120" s="10">
        <v>0</v>
      </c>
      <c r="S120" s="78">
        <v>21289119</v>
      </c>
      <c r="T120" s="79"/>
      <c r="U120" s="24">
        <v>2</v>
      </c>
      <c r="V120" s="24">
        <v>0</v>
      </c>
      <c r="W120" s="12" t="s">
        <v>7</v>
      </c>
      <c r="X120" s="32">
        <v>0</v>
      </c>
      <c r="Y120" s="32">
        <v>0</v>
      </c>
      <c r="Z120" s="56">
        <v>1</v>
      </c>
      <c r="AA120" s="55">
        <v>0</v>
      </c>
      <c r="AB120" s="32">
        <v>0</v>
      </c>
      <c r="AC120" s="32">
        <v>0</v>
      </c>
      <c r="AD120" s="73">
        <v>21289119</v>
      </c>
      <c r="AE120" s="83"/>
      <c r="AK120" s="31"/>
      <c r="AL120" s="33"/>
      <c r="AM120" s="33"/>
      <c r="AN120" s="49"/>
    </row>
    <row r="121" spans="1:40" x14ac:dyDescent="0.25">
      <c r="A121" s="100" t="s">
        <v>180</v>
      </c>
      <c r="B121" s="101" t="s">
        <v>493</v>
      </c>
      <c r="C121" s="104" t="s">
        <v>533</v>
      </c>
      <c r="D121" s="13">
        <v>1</v>
      </c>
      <c r="E121" s="29" t="s">
        <v>10</v>
      </c>
      <c r="F121" s="88" t="str">
        <f>HYPERLINK("http://ictvonline.org/taxonomyHistory.asp?taxnode_id=20162176","20162176")</f>
        <v>20162176</v>
      </c>
      <c r="G121" s="93">
        <v>1970</v>
      </c>
      <c r="H121" s="88" t="str">
        <f>HYPERLINK("https://www.ncbi.nlm.nih.gov/pubmed/5491847", "5491847")</f>
        <v>5491847</v>
      </c>
      <c r="I121" s="91" t="s">
        <v>453</v>
      </c>
      <c r="J121" s="17">
        <v>1</v>
      </c>
      <c r="K121" s="7">
        <v>0</v>
      </c>
      <c r="L121" s="8">
        <v>0</v>
      </c>
      <c r="M121" s="7">
        <v>0</v>
      </c>
      <c r="N121" s="7">
        <v>0</v>
      </c>
      <c r="O121" s="9">
        <v>0</v>
      </c>
      <c r="P121" s="9">
        <v>0</v>
      </c>
      <c r="Q121" s="7">
        <v>0</v>
      </c>
      <c r="R121" s="10">
        <v>0</v>
      </c>
      <c r="S121" s="81">
        <v>4206329</v>
      </c>
      <c r="T121" s="79"/>
      <c r="U121" s="24">
        <v>2</v>
      </c>
      <c r="V121" s="24">
        <v>0</v>
      </c>
      <c r="W121" s="12" t="s">
        <v>7</v>
      </c>
      <c r="X121" s="32">
        <v>0</v>
      </c>
      <c r="Y121" s="32">
        <v>0</v>
      </c>
      <c r="Z121" s="12">
        <v>1</v>
      </c>
      <c r="AA121" s="32">
        <v>0</v>
      </c>
      <c r="AB121" s="32">
        <v>0</v>
      </c>
      <c r="AC121" s="32">
        <v>0</v>
      </c>
      <c r="AD121" s="73" t="s">
        <v>335</v>
      </c>
      <c r="AE121" s="83"/>
      <c r="AK121" s="31"/>
      <c r="AL121" s="33"/>
      <c r="AM121" s="33"/>
      <c r="AN121" s="49"/>
    </row>
    <row r="122" spans="1:40" x14ac:dyDescent="0.25">
      <c r="A122" s="100" t="s">
        <v>182</v>
      </c>
      <c r="B122" s="101" t="s">
        <v>493</v>
      </c>
      <c r="C122" s="104" t="s">
        <v>533</v>
      </c>
      <c r="D122" s="13">
        <v>1</v>
      </c>
      <c r="E122" s="29" t="s">
        <v>10</v>
      </c>
      <c r="F122" s="88" t="str">
        <f>HYPERLINK("http://ictvonline.org/taxonomyHistory.asp?taxnode_id=20162177","20162177")</f>
        <v>20162177</v>
      </c>
      <c r="G122" s="93">
        <v>1931</v>
      </c>
      <c r="H122" s="88" t="str">
        <f>HYPERLINK("http://onlinelibrary.wiley.com/doi/10.1002/path.1700340418/abstract", "Available from external site")</f>
        <v>Available from external site</v>
      </c>
      <c r="I122" s="91" t="s">
        <v>453</v>
      </c>
      <c r="J122" s="17">
        <v>1</v>
      </c>
      <c r="K122" s="17">
        <v>1</v>
      </c>
      <c r="L122" s="8">
        <v>0</v>
      </c>
      <c r="M122" s="7">
        <v>0</v>
      </c>
      <c r="N122" s="7">
        <v>0</v>
      </c>
      <c r="O122" s="9">
        <v>0</v>
      </c>
      <c r="P122" s="17">
        <v>1</v>
      </c>
      <c r="Q122" s="7">
        <v>0</v>
      </c>
      <c r="R122" s="18">
        <v>1</v>
      </c>
      <c r="S122" s="81">
        <v>25569474</v>
      </c>
      <c r="T122" s="79"/>
      <c r="U122" s="25">
        <v>3</v>
      </c>
      <c r="V122" s="26">
        <v>1</v>
      </c>
      <c r="W122" s="12" t="s">
        <v>7</v>
      </c>
      <c r="X122" s="32">
        <v>0</v>
      </c>
      <c r="Y122" s="32">
        <v>0</v>
      </c>
      <c r="Z122" s="12">
        <v>1</v>
      </c>
      <c r="AA122" s="32">
        <v>0</v>
      </c>
      <c r="AB122" s="32">
        <v>0</v>
      </c>
      <c r="AC122" s="32">
        <v>0</v>
      </c>
      <c r="AD122" s="73" t="s">
        <v>340</v>
      </c>
      <c r="AE122" s="83"/>
      <c r="AK122" s="31"/>
      <c r="AL122" s="33"/>
      <c r="AM122" s="33"/>
      <c r="AN122" s="49"/>
    </row>
    <row r="123" spans="1:40" x14ac:dyDescent="0.25">
      <c r="A123" s="101" t="s">
        <v>183</v>
      </c>
      <c r="B123" s="101" t="s">
        <v>493</v>
      </c>
      <c r="C123" s="104" t="s">
        <v>533</v>
      </c>
      <c r="D123" s="13">
        <v>1</v>
      </c>
      <c r="E123" s="29" t="s">
        <v>10</v>
      </c>
      <c r="F123" s="88" t="str">
        <f>HYPERLINK("http://ictvonline.org/taxonomyHistory.asp?taxnode_id=20162179","20162179")</f>
        <v>20162179</v>
      </c>
      <c r="G123" s="93">
        <v>1944</v>
      </c>
      <c r="H123" s="88" t="str">
        <f>HYPERLINK("https://jamanetwork.com/journals/jama/article-abstract/269091", "Available from external site")</f>
        <v>Available from external site</v>
      </c>
      <c r="I123" s="91" t="s">
        <v>453</v>
      </c>
      <c r="J123" s="17">
        <v>1</v>
      </c>
      <c r="K123" s="7">
        <v>0</v>
      </c>
      <c r="L123" s="8">
        <v>0</v>
      </c>
      <c r="M123" s="7">
        <v>0</v>
      </c>
      <c r="N123" s="7">
        <v>0</v>
      </c>
      <c r="O123" s="9">
        <v>0</v>
      </c>
      <c r="P123" s="9">
        <v>0</v>
      </c>
      <c r="Q123" s="7">
        <v>0</v>
      </c>
      <c r="R123" s="10">
        <v>0</v>
      </c>
      <c r="S123" s="81">
        <v>4206329</v>
      </c>
      <c r="T123" s="79"/>
      <c r="U123" s="24">
        <v>2</v>
      </c>
      <c r="V123" s="24">
        <v>0</v>
      </c>
      <c r="W123" s="12" t="s">
        <v>7</v>
      </c>
      <c r="X123" s="32">
        <v>0</v>
      </c>
      <c r="Y123" s="32">
        <v>0</v>
      </c>
      <c r="Z123" s="12">
        <v>1</v>
      </c>
      <c r="AA123" s="32">
        <v>0</v>
      </c>
      <c r="AB123" s="32">
        <v>0</v>
      </c>
      <c r="AC123" s="32">
        <v>0</v>
      </c>
      <c r="AD123" s="73" t="s">
        <v>418</v>
      </c>
      <c r="AE123" s="83"/>
      <c r="AK123" s="31"/>
      <c r="AL123" s="33"/>
      <c r="AM123" s="33"/>
      <c r="AN123" s="49"/>
    </row>
    <row r="124" spans="1:40" x14ac:dyDescent="0.25">
      <c r="A124" s="101" t="s">
        <v>184</v>
      </c>
      <c r="B124" s="101" t="s">
        <v>493</v>
      </c>
      <c r="C124" s="104" t="s">
        <v>533</v>
      </c>
      <c r="D124" s="13">
        <v>1</v>
      </c>
      <c r="E124" s="29" t="s">
        <v>10</v>
      </c>
      <c r="F124" s="88" t="str">
        <f>HYPERLINK("http://ictvonline.org/taxonomyHistory.asp?taxnode_id=20162180","20162180")</f>
        <v>20162180</v>
      </c>
      <c r="G124" s="93">
        <v>2012</v>
      </c>
      <c r="H124" s="88" t="str">
        <f>HYPERLINK("https://www.ncbi.nlm.nih.gov/pubmed/21457654", "21457654")</f>
        <v>21457654</v>
      </c>
      <c r="I124" s="91" t="s">
        <v>453</v>
      </c>
      <c r="J124" s="60">
        <v>1</v>
      </c>
      <c r="K124" s="59">
        <v>0</v>
      </c>
      <c r="L124" s="61">
        <v>0</v>
      </c>
      <c r="M124" s="59">
        <v>0</v>
      </c>
      <c r="N124" s="65">
        <v>1</v>
      </c>
      <c r="O124" s="61">
        <v>0</v>
      </c>
      <c r="P124" s="61">
        <v>0</v>
      </c>
      <c r="Q124" s="59">
        <v>0</v>
      </c>
      <c r="R124" s="62">
        <v>1</v>
      </c>
      <c r="S124" s="78" t="s">
        <v>420</v>
      </c>
      <c r="T124" s="80"/>
      <c r="U124" s="25">
        <v>3</v>
      </c>
      <c r="V124" s="26">
        <v>1</v>
      </c>
      <c r="W124" s="54" t="s">
        <v>7</v>
      </c>
      <c r="X124" s="55">
        <v>0</v>
      </c>
      <c r="Y124" s="55">
        <v>0</v>
      </c>
      <c r="Z124" s="56">
        <v>1</v>
      </c>
      <c r="AA124" s="56">
        <v>1</v>
      </c>
      <c r="AB124" s="55">
        <v>0</v>
      </c>
      <c r="AC124" s="55">
        <v>0</v>
      </c>
      <c r="AD124" s="84" t="s">
        <v>422</v>
      </c>
      <c r="AE124" s="73" t="s">
        <v>421</v>
      </c>
      <c r="AK124" s="31"/>
      <c r="AL124" s="33"/>
      <c r="AM124" s="33"/>
      <c r="AN124" s="49"/>
    </row>
    <row r="125" spans="1:40" x14ac:dyDescent="0.25">
      <c r="A125" s="104" t="s">
        <v>187</v>
      </c>
      <c r="B125" s="104" t="s">
        <v>493</v>
      </c>
      <c r="C125" s="104" t="s">
        <v>533</v>
      </c>
      <c r="D125" s="13">
        <v>1</v>
      </c>
      <c r="E125" s="49" t="s">
        <v>10</v>
      </c>
      <c r="F125" s="88" t="str">
        <f>HYPERLINK("http://ictvonline.org/taxonomyHistory.asp?taxnode_id=20162181","20162181")</f>
        <v>20162181</v>
      </c>
      <c r="G125" s="93">
        <v>1970</v>
      </c>
      <c r="H125" s="88" t="str">
        <f>HYPERLINK("https://www.cabdirect.org/cabdirect/abstract/19712700865", "Available from external site")</f>
        <v>Available from external site</v>
      </c>
      <c r="I125" s="92" t="s">
        <v>454</v>
      </c>
      <c r="J125" s="15">
        <v>1</v>
      </c>
      <c r="K125" s="7">
        <v>0</v>
      </c>
      <c r="L125" s="8">
        <v>0</v>
      </c>
      <c r="M125" s="7">
        <v>0</v>
      </c>
      <c r="N125" s="7">
        <v>0</v>
      </c>
      <c r="O125" s="9">
        <v>0</v>
      </c>
      <c r="P125" s="9">
        <v>0</v>
      </c>
      <c r="Q125" s="7">
        <v>0</v>
      </c>
      <c r="R125" s="10">
        <v>0</v>
      </c>
      <c r="S125" s="81">
        <v>23239568</v>
      </c>
      <c r="T125" s="79"/>
      <c r="U125" s="24">
        <v>2</v>
      </c>
      <c r="V125" s="24">
        <v>0</v>
      </c>
      <c r="W125" s="12" t="s">
        <v>7</v>
      </c>
      <c r="X125" s="32">
        <v>0</v>
      </c>
      <c r="Y125" s="32">
        <v>0</v>
      </c>
      <c r="Z125" s="39">
        <v>1</v>
      </c>
      <c r="AA125" s="40">
        <v>1</v>
      </c>
      <c r="AB125" s="32">
        <v>0</v>
      </c>
      <c r="AC125" s="32">
        <v>0</v>
      </c>
      <c r="AD125" s="73" t="s">
        <v>374</v>
      </c>
      <c r="AE125" s="83"/>
      <c r="AK125" s="31"/>
      <c r="AL125" s="33"/>
      <c r="AM125" s="33"/>
    </row>
    <row r="126" spans="1:40" x14ac:dyDescent="0.25">
      <c r="A126" s="100" t="s">
        <v>41</v>
      </c>
      <c r="B126" s="101" t="s">
        <v>494</v>
      </c>
      <c r="C126" s="104" t="s">
        <v>534</v>
      </c>
      <c r="D126" s="14">
        <v>0</v>
      </c>
      <c r="E126" s="29" t="s">
        <v>16</v>
      </c>
      <c r="F126" s="88" t="str">
        <f>HYPERLINK("http://ictvonline.org/taxonomyHistory.asp?taxnode_id=20163569","20163569")</f>
        <v>20163569</v>
      </c>
      <c r="G126" s="93">
        <v>1988</v>
      </c>
      <c r="H126" s="88" t="str">
        <f>HYPERLINK("https://www.ncbi.nlm.nih.gov/pubmed/2898672", "2898672")</f>
        <v>2898672</v>
      </c>
      <c r="I126" s="91" t="s">
        <v>453</v>
      </c>
      <c r="J126" s="7">
        <v>0</v>
      </c>
      <c r="K126" s="7">
        <v>0</v>
      </c>
      <c r="L126" s="17">
        <v>1</v>
      </c>
      <c r="M126" s="7">
        <v>0</v>
      </c>
      <c r="N126" s="7">
        <v>0</v>
      </c>
      <c r="O126" s="9">
        <v>0</v>
      </c>
      <c r="P126" s="9">
        <v>0</v>
      </c>
      <c r="Q126" s="7">
        <v>0</v>
      </c>
      <c r="R126" s="10">
        <v>0</v>
      </c>
      <c r="S126" s="78" t="s">
        <v>287</v>
      </c>
      <c r="T126" s="79"/>
      <c r="U126" s="27" t="s">
        <v>8</v>
      </c>
      <c r="V126" s="26">
        <v>1</v>
      </c>
      <c r="W126" s="57" t="s">
        <v>150</v>
      </c>
      <c r="X126" s="52">
        <v>1</v>
      </c>
      <c r="Y126" s="57">
        <v>0</v>
      </c>
      <c r="Z126" s="55">
        <v>0</v>
      </c>
      <c r="AA126" s="57">
        <v>0</v>
      </c>
      <c r="AB126" s="57">
        <v>0</v>
      </c>
      <c r="AC126" s="57">
        <v>0</v>
      </c>
      <c r="AD126" s="73" t="s">
        <v>287</v>
      </c>
      <c r="AE126" s="82"/>
      <c r="AK126" s="31"/>
      <c r="AL126" s="33"/>
      <c r="AM126" s="33"/>
    </row>
    <row r="127" spans="1:40" x14ac:dyDescent="0.25">
      <c r="A127" s="100" t="s">
        <v>27</v>
      </c>
      <c r="B127" s="101" t="s">
        <v>495</v>
      </c>
      <c r="C127" s="104" t="s">
        <v>535</v>
      </c>
      <c r="D127" s="14">
        <v>0</v>
      </c>
      <c r="E127" s="29" t="s">
        <v>9</v>
      </c>
      <c r="F127" s="88" t="str">
        <f>HYPERLINK("http://ictvonline.org/taxonomyHistory.asp?taxnode_id=20161306","20161306")</f>
        <v>20161306</v>
      </c>
      <c r="G127" s="93">
        <v>1962</v>
      </c>
      <c r="H127" s="88" t="str">
        <f>HYPERLINK("https://www.ncbi.nlm.nih.gov/pubmed/14487261", "14487261")</f>
        <v>14487261</v>
      </c>
      <c r="I127" s="92" t="s">
        <v>454</v>
      </c>
      <c r="J127" s="59">
        <v>0</v>
      </c>
      <c r="K127" s="71" t="s">
        <v>197</v>
      </c>
      <c r="L127" s="61">
        <v>0</v>
      </c>
      <c r="M127" s="59">
        <v>0</v>
      </c>
      <c r="N127" s="59">
        <v>0</v>
      </c>
      <c r="O127" s="61">
        <v>0</v>
      </c>
      <c r="P127" s="61">
        <v>0</v>
      </c>
      <c r="Q127" s="59">
        <v>0</v>
      </c>
      <c r="R127" s="68">
        <v>1</v>
      </c>
      <c r="S127" s="78" t="s">
        <v>246</v>
      </c>
      <c r="T127" s="80"/>
      <c r="U127" s="24">
        <v>2</v>
      </c>
      <c r="V127" s="24">
        <v>0</v>
      </c>
      <c r="W127" s="12" t="s">
        <v>7</v>
      </c>
      <c r="X127" s="32">
        <v>0</v>
      </c>
      <c r="Y127" s="32">
        <v>0</v>
      </c>
      <c r="Z127" s="12">
        <v>1</v>
      </c>
      <c r="AA127" s="32">
        <v>0</v>
      </c>
      <c r="AB127" s="32">
        <v>0</v>
      </c>
      <c r="AC127" s="32">
        <v>0</v>
      </c>
      <c r="AD127" s="73" t="s">
        <v>246</v>
      </c>
      <c r="AE127" s="83"/>
      <c r="AK127" s="31"/>
      <c r="AL127" s="33"/>
      <c r="AM127" s="33"/>
    </row>
    <row r="128" spans="1:40" x14ac:dyDescent="0.25">
      <c r="A128" s="100" t="s">
        <v>464</v>
      </c>
      <c r="B128" s="101" t="s">
        <v>495</v>
      </c>
      <c r="C128" s="104" t="s">
        <v>535</v>
      </c>
      <c r="D128" s="14">
        <v>0</v>
      </c>
      <c r="E128" s="29" t="s">
        <v>9</v>
      </c>
      <c r="F128" s="88" t="str">
        <f>HYPERLINK("http://ictvonline.org/taxonomyHistory.asp?taxnode_id=20161307","20161307")</f>
        <v>20161307</v>
      </c>
      <c r="G128" s="93">
        <v>1965</v>
      </c>
      <c r="H128" s="88" t="str">
        <f>HYPERLINK("https://www.ncbi.nlm.nih.gov/pubmed/4290196", "4290196")</f>
        <v>4290196</v>
      </c>
      <c r="I128" s="91" t="s">
        <v>453</v>
      </c>
      <c r="J128" s="7">
        <v>0</v>
      </c>
      <c r="K128" s="7">
        <v>0</v>
      </c>
      <c r="L128" s="8">
        <v>0</v>
      </c>
      <c r="M128" s="7">
        <v>0</v>
      </c>
      <c r="N128" s="7">
        <v>0</v>
      </c>
      <c r="O128" s="17">
        <v>1</v>
      </c>
      <c r="P128" s="9">
        <v>0</v>
      </c>
      <c r="Q128" s="7">
        <v>0</v>
      </c>
      <c r="R128" s="18">
        <v>1</v>
      </c>
      <c r="S128" s="78" t="s">
        <v>252</v>
      </c>
      <c r="T128" s="79"/>
      <c r="U128" s="24">
        <v>2</v>
      </c>
      <c r="V128" s="24">
        <v>0</v>
      </c>
      <c r="W128" s="12" t="s">
        <v>7</v>
      </c>
      <c r="X128" s="32">
        <v>0</v>
      </c>
      <c r="Y128" s="32">
        <v>0</v>
      </c>
      <c r="Z128" s="12">
        <v>1</v>
      </c>
      <c r="AA128" s="32">
        <v>0</v>
      </c>
      <c r="AB128" s="32">
        <v>0</v>
      </c>
      <c r="AC128" s="32">
        <v>0</v>
      </c>
      <c r="AD128" s="73" t="s">
        <v>252</v>
      </c>
      <c r="AE128" s="83"/>
      <c r="AK128" s="31"/>
      <c r="AL128" s="33"/>
      <c r="AM128" s="33"/>
      <c r="AN128" s="49"/>
    </row>
    <row r="129" spans="1:40" x14ac:dyDescent="0.25">
      <c r="A129" s="100" t="s">
        <v>119</v>
      </c>
      <c r="B129" s="101" t="s">
        <v>496</v>
      </c>
      <c r="C129" s="104" t="s">
        <v>535</v>
      </c>
      <c r="D129" s="14">
        <v>0</v>
      </c>
      <c r="E129" s="29" t="s">
        <v>9</v>
      </c>
      <c r="F129" s="88" t="str">
        <f>HYPERLINK("http://ictvonline.org/taxonomyHistory.asp?taxnode_id=20161315","20161315")</f>
        <v>20161315</v>
      </c>
      <c r="G129" s="93">
        <v>1947</v>
      </c>
      <c r="H129" s="88" t="str">
        <f>HYPERLINK("https://www.ncbi.nlm.nih.gov/pubmed/20340975", "20340975")</f>
        <v>20340975</v>
      </c>
      <c r="I129" s="91" t="s">
        <v>453</v>
      </c>
      <c r="J129" s="7">
        <v>0</v>
      </c>
      <c r="K129" s="15">
        <v>1</v>
      </c>
      <c r="L129" s="8">
        <v>0</v>
      </c>
      <c r="M129" s="7">
        <v>0</v>
      </c>
      <c r="N129" s="7">
        <v>0</v>
      </c>
      <c r="O129" s="9">
        <v>0</v>
      </c>
      <c r="P129" s="9">
        <v>0</v>
      </c>
      <c r="Q129" s="7">
        <v>0</v>
      </c>
      <c r="R129" s="10">
        <v>0</v>
      </c>
      <c r="S129" s="81">
        <v>15099508</v>
      </c>
      <c r="T129" s="79"/>
      <c r="U129" s="24">
        <v>2</v>
      </c>
      <c r="V129" s="24">
        <v>0</v>
      </c>
      <c r="W129" s="52" t="s">
        <v>7</v>
      </c>
      <c r="X129" s="57">
        <v>0</v>
      </c>
      <c r="Y129" s="52">
        <v>1</v>
      </c>
      <c r="Z129" s="52">
        <v>1</v>
      </c>
      <c r="AA129" s="57">
        <v>0</v>
      </c>
      <c r="AB129" s="57">
        <v>0</v>
      </c>
      <c r="AC129" s="57">
        <v>0</v>
      </c>
      <c r="AD129" s="73" t="s">
        <v>216</v>
      </c>
      <c r="AE129" s="73" t="s">
        <v>217</v>
      </c>
      <c r="AK129" s="31"/>
      <c r="AL129" s="33"/>
      <c r="AM129" s="33"/>
      <c r="AN129" s="49"/>
    </row>
    <row r="130" spans="1:40" x14ac:dyDescent="0.25">
      <c r="A130" s="100" t="s">
        <v>139</v>
      </c>
      <c r="B130" s="101" t="s">
        <v>496</v>
      </c>
      <c r="C130" s="104" t="s">
        <v>535</v>
      </c>
      <c r="D130" s="14">
        <v>0</v>
      </c>
      <c r="E130" s="29" t="s">
        <v>9</v>
      </c>
      <c r="F130" s="88" t="str">
        <f>HYPERLINK("http://ictvonline.org/taxonomyHistory.asp?taxnode_id=20161316","20161316")</f>
        <v>20161316</v>
      </c>
      <c r="G130" s="94">
        <v>1963</v>
      </c>
      <c r="H130" s="88" t="str">
        <f>HYPERLINK("https://www.ncbi.nlm.nih.gov/pubmed/14087883", "14087883")</f>
        <v>14087883</v>
      </c>
      <c r="I130" s="91" t="s">
        <v>453</v>
      </c>
      <c r="J130" s="7">
        <v>0</v>
      </c>
      <c r="K130" s="7">
        <v>0</v>
      </c>
      <c r="L130" s="19">
        <v>1</v>
      </c>
      <c r="M130" s="7">
        <v>0</v>
      </c>
      <c r="N130" s="7">
        <v>0</v>
      </c>
      <c r="O130" s="9">
        <v>0</v>
      </c>
      <c r="P130" s="9">
        <v>0</v>
      </c>
      <c r="Q130" s="7">
        <v>0</v>
      </c>
      <c r="R130" s="10">
        <v>0</v>
      </c>
      <c r="S130" s="78" t="s">
        <v>218</v>
      </c>
      <c r="T130" s="79"/>
      <c r="U130" s="58" t="s">
        <v>24</v>
      </c>
      <c r="V130" s="26">
        <v>1</v>
      </c>
      <c r="W130" s="52" t="s">
        <v>7</v>
      </c>
      <c r="X130" s="57">
        <v>0</v>
      </c>
      <c r="Y130" s="57">
        <v>0</v>
      </c>
      <c r="Z130" s="52">
        <v>1</v>
      </c>
      <c r="AA130" s="57">
        <v>0</v>
      </c>
      <c r="AB130" s="57">
        <v>0</v>
      </c>
      <c r="AC130" s="57">
        <v>0</v>
      </c>
      <c r="AD130" s="73" t="s">
        <v>218</v>
      </c>
      <c r="AE130" s="73"/>
      <c r="AK130" s="31"/>
      <c r="AL130" s="33"/>
      <c r="AM130" s="33"/>
      <c r="AN130" s="49"/>
    </row>
    <row r="131" spans="1:40" x14ac:dyDescent="0.25">
      <c r="A131" s="100" t="s">
        <v>154</v>
      </c>
      <c r="B131" s="101" t="s">
        <v>497</v>
      </c>
      <c r="C131" s="104" t="s">
        <v>535</v>
      </c>
      <c r="D131" s="14">
        <v>0</v>
      </c>
      <c r="E131" s="29" t="s">
        <v>9</v>
      </c>
      <c r="F131" s="88" t="str">
        <f>HYPERLINK("http://ictvonline.org/taxonomyHistory.asp?taxnode_id=20161319","20161319")</f>
        <v>20161319</v>
      </c>
      <c r="G131" s="94">
        <v>2008</v>
      </c>
      <c r="H131" s="88" t="str">
        <f>HYPERLINK("https://www.ncbi.nlm.nih.gov/pubmed/19033469", "19033469")</f>
        <v>19033469</v>
      </c>
      <c r="I131" s="91" t="s">
        <v>453</v>
      </c>
      <c r="J131" s="7">
        <v>0</v>
      </c>
      <c r="K131" s="19">
        <v>1</v>
      </c>
      <c r="L131" s="19">
        <v>1</v>
      </c>
      <c r="M131" s="7">
        <v>0</v>
      </c>
      <c r="N131" s="7">
        <v>0</v>
      </c>
      <c r="O131" s="9">
        <v>0</v>
      </c>
      <c r="P131" s="9">
        <v>0</v>
      </c>
      <c r="Q131" s="7">
        <v>0</v>
      </c>
      <c r="R131" s="18">
        <v>1</v>
      </c>
      <c r="S131" s="81" t="s">
        <v>396</v>
      </c>
      <c r="T131" s="81">
        <v>19033469</v>
      </c>
      <c r="U131" s="22" t="s">
        <v>8</v>
      </c>
      <c r="V131" s="26">
        <v>1</v>
      </c>
      <c r="W131" s="32" t="s">
        <v>150</v>
      </c>
      <c r="X131" s="12">
        <v>1</v>
      </c>
      <c r="Y131" s="32">
        <v>0</v>
      </c>
      <c r="Z131" s="32">
        <v>0</v>
      </c>
      <c r="AA131" s="32">
        <v>0</v>
      </c>
      <c r="AB131" s="32">
        <v>0</v>
      </c>
      <c r="AC131" s="32">
        <v>0</v>
      </c>
      <c r="AD131" s="84" t="s">
        <v>394</v>
      </c>
      <c r="AE131" s="73" t="s">
        <v>395</v>
      </c>
      <c r="AK131" s="31"/>
      <c r="AL131" s="33"/>
      <c r="AM131" s="33"/>
    </row>
    <row r="132" spans="1:40" x14ac:dyDescent="0.25">
      <c r="A132" s="100" t="s">
        <v>200</v>
      </c>
      <c r="B132" s="101" t="s">
        <v>497</v>
      </c>
      <c r="C132" s="104" t="s">
        <v>535</v>
      </c>
      <c r="D132" s="14">
        <v>0</v>
      </c>
      <c r="E132" s="29" t="s">
        <v>9</v>
      </c>
      <c r="F132" s="88" t="str">
        <f>HYPERLINK("http://ictvonline.org/taxonomyHistory.asp?taxnode_id=20165190","20165190")</f>
        <v>20165190</v>
      </c>
      <c r="G132" s="94">
        <v>2008</v>
      </c>
      <c r="H132" s="88" t="str">
        <f>HYPERLINK("https://www.ncbi.nlm.nih.gov/pubmed/19033469", "19033469")</f>
        <v>19033469</v>
      </c>
      <c r="I132" s="91" t="s">
        <v>453</v>
      </c>
      <c r="J132" s="7">
        <v>0</v>
      </c>
      <c r="K132" s="71" t="s">
        <v>197</v>
      </c>
      <c r="L132" s="71" t="s">
        <v>197</v>
      </c>
      <c r="M132" s="7">
        <v>0</v>
      </c>
      <c r="N132" s="7">
        <v>0</v>
      </c>
      <c r="O132" s="9">
        <v>0</v>
      </c>
      <c r="P132" s="9">
        <v>0</v>
      </c>
      <c r="Q132" s="7">
        <v>0</v>
      </c>
      <c r="R132" s="75" t="s">
        <v>197</v>
      </c>
      <c r="S132" s="81" t="s">
        <v>396</v>
      </c>
      <c r="T132" s="81">
        <v>19033469</v>
      </c>
      <c r="U132" s="22" t="s">
        <v>8</v>
      </c>
      <c r="V132" s="26">
        <v>1</v>
      </c>
      <c r="W132" s="32" t="s">
        <v>150</v>
      </c>
      <c r="X132" s="12">
        <v>1</v>
      </c>
      <c r="Y132" s="32">
        <v>0</v>
      </c>
      <c r="Z132" s="32">
        <v>0</v>
      </c>
      <c r="AA132" s="32">
        <v>0</v>
      </c>
      <c r="AB132" s="32">
        <v>0</v>
      </c>
      <c r="AC132" s="32">
        <v>0</v>
      </c>
      <c r="AD132" s="84" t="s">
        <v>394</v>
      </c>
      <c r="AE132" s="73" t="s">
        <v>395</v>
      </c>
      <c r="AK132" s="31"/>
      <c r="AL132" s="33"/>
      <c r="AM132" s="33"/>
      <c r="AN132" s="49"/>
    </row>
    <row r="133" spans="1:40" s="49" customFormat="1" x14ac:dyDescent="0.25">
      <c r="A133" s="100" t="s">
        <v>201</v>
      </c>
      <c r="B133" s="101" t="s">
        <v>497</v>
      </c>
      <c r="C133" s="104" t="s">
        <v>535</v>
      </c>
      <c r="D133" s="14">
        <v>0</v>
      </c>
      <c r="E133" s="29" t="s">
        <v>9</v>
      </c>
      <c r="F133" s="88" t="str">
        <f>HYPERLINK("http://ictvonline.org/taxonomyHistory.asp?taxnode_id=20165191","20165191")</f>
        <v>20165191</v>
      </c>
      <c r="G133" s="94">
        <v>2008</v>
      </c>
      <c r="H133" s="88" t="str">
        <f>HYPERLINK("https://www.ncbi.nlm.nih.gov/pubmed/19033469", "19033469")</f>
        <v>19033469</v>
      </c>
      <c r="I133" s="91" t="s">
        <v>453</v>
      </c>
      <c r="J133" s="7">
        <v>0</v>
      </c>
      <c r="K133" s="71" t="s">
        <v>197</v>
      </c>
      <c r="L133" s="71" t="s">
        <v>197</v>
      </c>
      <c r="M133" s="7">
        <v>0</v>
      </c>
      <c r="N133" s="7">
        <v>0</v>
      </c>
      <c r="O133" s="9">
        <v>0</v>
      </c>
      <c r="P133" s="9">
        <v>0</v>
      </c>
      <c r="Q133" s="7">
        <v>0</v>
      </c>
      <c r="R133" s="75" t="s">
        <v>197</v>
      </c>
      <c r="S133" s="81" t="s">
        <v>396</v>
      </c>
      <c r="T133" s="81">
        <v>19033469</v>
      </c>
      <c r="U133" s="22" t="s">
        <v>8</v>
      </c>
      <c r="V133" s="26">
        <v>1</v>
      </c>
      <c r="W133" s="32" t="s">
        <v>150</v>
      </c>
      <c r="X133" s="12">
        <v>1</v>
      </c>
      <c r="Y133" s="32">
        <v>0</v>
      </c>
      <c r="Z133" s="32">
        <v>0</v>
      </c>
      <c r="AA133" s="32">
        <v>0</v>
      </c>
      <c r="AB133" s="32">
        <v>0</v>
      </c>
      <c r="AC133" s="32">
        <v>0</v>
      </c>
      <c r="AD133" s="84" t="s">
        <v>394</v>
      </c>
      <c r="AE133" s="73" t="s">
        <v>395</v>
      </c>
      <c r="AK133" s="31"/>
      <c r="AL133" s="33"/>
      <c r="AM133" s="33"/>
    </row>
    <row r="134" spans="1:40" x14ac:dyDescent="0.25">
      <c r="A134" s="100" t="s">
        <v>237</v>
      </c>
      <c r="B134" s="101" t="s">
        <v>497</v>
      </c>
      <c r="C134" s="104" t="s">
        <v>535</v>
      </c>
      <c r="D134" s="14">
        <v>0</v>
      </c>
      <c r="E134" s="29" t="s">
        <v>9</v>
      </c>
      <c r="F134" s="88" t="str">
        <f>HYPERLINK("http://ictvonline.org/taxonomyHistory.asp?taxnode_id=20165192","20165192")</f>
        <v>20165192</v>
      </c>
      <c r="G134" s="94">
        <v>2008</v>
      </c>
      <c r="H134" s="88" t="str">
        <f>HYPERLINK("https://www.ncbi.nlm.nih.gov/pubmed/19102772", "19102772")</f>
        <v>19102772</v>
      </c>
      <c r="I134" s="91" t="s">
        <v>453</v>
      </c>
      <c r="J134" s="7">
        <v>0</v>
      </c>
      <c r="K134" s="71" t="s">
        <v>197</v>
      </c>
      <c r="L134" s="71" t="s">
        <v>197</v>
      </c>
      <c r="M134" s="7">
        <v>0</v>
      </c>
      <c r="N134" s="7">
        <v>0</v>
      </c>
      <c r="O134" s="9">
        <v>0</v>
      </c>
      <c r="P134" s="9">
        <v>0</v>
      </c>
      <c r="Q134" s="7">
        <v>0</v>
      </c>
      <c r="R134" s="75" t="s">
        <v>197</v>
      </c>
      <c r="S134" s="81" t="s">
        <v>396</v>
      </c>
      <c r="T134" s="81">
        <v>19033469</v>
      </c>
      <c r="U134" s="22" t="s">
        <v>8</v>
      </c>
      <c r="V134" s="26">
        <v>1</v>
      </c>
      <c r="W134" s="32" t="s">
        <v>150</v>
      </c>
      <c r="X134" s="12">
        <v>1</v>
      </c>
      <c r="Y134" s="32">
        <v>0</v>
      </c>
      <c r="Z134" s="32">
        <v>0</v>
      </c>
      <c r="AA134" s="32">
        <v>0</v>
      </c>
      <c r="AB134" s="32">
        <v>0</v>
      </c>
      <c r="AC134" s="32">
        <v>0</v>
      </c>
      <c r="AD134" s="73" t="s">
        <v>395</v>
      </c>
      <c r="AE134" s="82"/>
      <c r="AK134" s="31"/>
      <c r="AL134" s="33"/>
      <c r="AM134" s="33"/>
    </row>
    <row r="135" spans="1:40" x14ac:dyDescent="0.25">
      <c r="A135" s="100" t="s">
        <v>202</v>
      </c>
      <c r="B135" s="101" t="s">
        <v>497</v>
      </c>
      <c r="C135" s="104" t="s">
        <v>535</v>
      </c>
      <c r="D135" s="14">
        <v>0</v>
      </c>
      <c r="E135" s="29" t="s">
        <v>9</v>
      </c>
      <c r="F135" s="88" t="str">
        <f>HYPERLINK("http://ictvonline.org/taxonomyHistory.asp?taxnode_id=20165193","20165193")</f>
        <v>20165193</v>
      </c>
      <c r="G135" s="94">
        <v>2012</v>
      </c>
      <c r="H135" s="88" t="str">
        <f>HYPERLINK("https://www.ncbi.nlm.nih.gov/pubmed/22615791", "22615791")</f>
        <v>22615791</v>
      </c>
      <c r="I135" s="91" t="s">
        <v>453</v>
      </c>
      <c r="J135" s="7">
        <v>0</v>
      </c>
      <c r="K135" s="71" t="s">
        <v>197</v>
      </c>
      <c r="L135" s="71" t="s">
        <v>197</v>
      </c>
      <c r="M135" s="7">
        <v>0</v>
      </c>
      <c r="N135" s="7">
        <v>0</v>
      </c>
      <c r="O135" s="9">
        <v>0</v>
      </c>
      <c r="P135" s="9">
        <v>0</v>
      </c>
      <c r="Q135" s="7">
        <v>0</v>
      </c>
      <c r="R135" s="75" t="s">
        <v>197</v>
      </c>
      <c r="S135" s="81" t="s">
        <v>396</v>
      </c>
      <c r="T135" s="81">
        <v>19033469</v>
      </c>
      <c r="U135" s="22" t="s">
        <v>8</v>
      </c>
      <c r="V135" s="26">
        <v>1</v>
      </c>
      <c r="W135" s="32" t="s">
        <v>150</v>
      </c>
      <c r="X135" s="12">
        <v>1</v>
      </c>
      <c r="Y135" s="32">
        <v>0</v>
      </c>
      <c r="Z135" s="32">
        <v>0</v>
      </c>
      <c r="AA135" s="32">
        <v>0</v>
      </c>
      <c r="AB135" s="32">
        <v>0</v>
      </c>
      <c r="AC135" s="32">
        <v>0</v>
      </c>
      <c r="AD135" s="73" t="s">
        <v>395</v>
      </c>
      <c r="AE135" s="82"/>
      <c r="AK135" s="31"/>
      <c r="AL135" s="33"/>
      <c r="AM135" s="33"/>
    </row>
    <row r="136" spans="1:40" x14ac:dyDescent="0.25">
      <c r="A136" s="100" t="s">
        <v>123</v>
      </c>
      <c r="B136" s="101" t="s">
        <v>498</v>
      </c>
      <c r="C136" s="104" t="s">
        <v>535</v>
      </c>
      <c r="D136" s="14">
        <v>0</v>
      </c>
      <c r="E136" s="29" t="s">
        <v>9</v>
      </c>
      <c r="F136" s="88" t="str">
        <f>HYPERLINK("http://ictvonline.org/taxonomyHistory.asp?taxnode_id=20161323","20161323")</f>
        <v>20161323</v>
      </c>
      <c r="G136" s="93">
        <v>1949</v>
      </c>
      <c r="H136" s="88" t="str">
        <f>HYPERLINK("https://www.ncbi.nlm.nih.gov/pubmed/15391667", "15391667")</f>
        <v>15391667</v>
      </c>
      <c r="I136" s="91" t="s">
        <v>453</v>
      </c>
      <c r="J136" s="7">
        <v>0</v>
      </c>
      <c r="K136" s="7">
        <v>0</v>
      </c>
      <c r="L136" s="15">
        <v>1</v>
      </c>
      <c r="M136" s="7">
        <v>0</v>
      </c>
      <c r="N136" s="7">
        <v>0</v>
      </c>
      <c r="O136" s="9">
        <v>0</v>
      </c>
      <c r="P136" s="9">
        <v>0</v>
      </c>
      <c r="Q136" s="15">
        <v>1</v>
      </c>
      <c r="R136" s="10">
        <v>0</v>
      </c>
      <c r="S136" s="81">
        <v>5415578</v>
      </c>
      <c r="T136" s="79"/>
      <c r="U136" s="26" t="s">
        <v>24</v>
      </c>
      <c r="V136" s="26">
        <v>1</v>
      </c>
      <c r="W136" s="57" t="s">
        <v>150</v>
      </c>
      <c r="X136" s="57">
        <v>0</v>
      </c>
      <c r="Y136" s="52">
        <v>1</v>
      </c>
      <c r="Z136" s="57">
        <v>0</v>
      </c>
      <c r="AA136" s="57">
        <v>0</v>
      </c>
      <c r="AB136" s="57">
        <v>0</v>
      </c>
      <c r="AC136" s="57">
        <v>0</v>
      </c>
      <c r="AD136" s="84" t="s">
        <v>241</v>
      </c>
      <c r="AE136" s="73" t="s">
        <v>242</v>
      </c>
      <c r="AK136" s="31"/>
      <c r="AL136" s="33"/>
      <c r="AM136" s="33"/>
    </row>
    <row r="137" spans="1:40" x14ac:dyDescent="0.25">
      <c r="A137" s="100" t="s">
        <v>124</v>
      </c>
      <c r="B137" s="101" t="s">
        <v>498</v>
      </c>
      <c r="C137" s="104" t="s">
        <v>535</v>
      </c>
      <c r="D137" s="14">
        <v>0</v>
      </c>
      <c r="E137" s="29" t="s">
        <v>9</v>
      </c>
      <c r="F137" s="88" t="str">
        <f>HYPERLINK("http://ictvonline.org/taxonomyHistory.asp?taxnode_id=20161324","20161324")</f>
        <v>20161324</v>
      </c>
      <c r="G137" s="93">
        <v>1949</v>
      </c>
      <c r="H137" s="88" t="str">
        <f>HYPERLINK("https://www.ncbi.nlm.nih.gov/pubmed/15391667", "15391667")</f>
        <v>15391667</v>
      </c>
      <c r="I137" s="91" t="s">
        <v>453</v>
      </c>
      <c r="J137" s="7">
        <v>0</v>
      </c>
      <c r="K137" s="7">
        <v>0</v>
      </c>
      <c r="L137" s="15">
        <v>1</v>
      </c>
      <c r="M137" s="7">
        <v>0</v>
      </c>
      <c r="N137" s="7">
        <v>0</v>
      </c>
      <c r="O137" s="9">
        <v>0</v>
      </c>
      <c r="P137" s="9">
        <v>0</v>
      </c>
      <c r="Q137" s="15">
        <v>1</v>
      </c>
      <c r="R137" s="10">
        <v>0</v>
      </c>
      <c r="S137" s="81">
        <v>26053872</v>
      </c>
      <c r="T137" s="79"/>
      <c r="U137" s="26" t="s">
        <v>24</v>
      </c>
      <c r="V137" s="26">
        <v>1</v>
      </c>
      <c r="W137" s="57" t="s">
        <v>150</v>
      </c>
      <c r="X137" s="57">
        <v>0</v>
      </c>
      <c r="Y137" s="52">
        <v>1</v>
      </c>
      <c r="Z137" s="12">
        <v>1</v>
      </c>
      <c r="AA137" s="57">
        <v>0</v>
      </c>
      <c r="AB137" s="57">
        <v>0</v>
      </c>
      <c r="AC137" s="57">
        <v>0</v>
      </c>
      <c r="AD137" s="73" t="s">
        <v>242</v>
      </c>
      <c r="AE137" s="82"/>
      <c r="AK137" s="31"/>
      <c r="AL137" s="33"/>
      <c r="AM137" s="33"/>
    </row>
    <row r="138" spans="1:40" x14ac:dyDescent="0.25">
      <c r="A138" s="101" t="s">
        <v>125</v>
      </c>
      <c r="B138" s="101" t="s">
        <v>498</v>
      </c>
      <c r="C138" s="104" t="s">
        <v>535</v>
      </c>
      <c r="D138" s="14">
        <v>0</v>
      </c>
      <c r="E138" s="29" t="s">
        <v>9</v>
      </c>
      <c r="F138" s="88" t="str">
        <f>HYPERLINK("http://ictvonline.org/taxonomyHistory.asp?taxnode_id=20161325","20161325")</f>
        <v>20161325</v>
      </c>
      <c r="G138" s="93">
        <v>1909</v>
      </c>
      <c r="H138" s="88" t="str">
        <f>HYPERLINK("http://jamanetwork.com/journals/jama/article-abstract/430696", "Available from external site")</f>
        <v>Available from external site</v>
      </c>
      <c r="I138" s="91" t="s">
        <v>453</v>
      </c>
      <c r="J138" s="7">
        <v>0</v>
      </c>
      <c r="K138" s="7">
        <v>0</v>
      </c>
      <c r="L138" s="15">
        <v>1</v>
      </c>
      <c r="M138" s="7">
        <v>0</v>
      </c>
      <c r="N138" s="7">
        <v>0</v>
      </c>
      <c r="O138" s="9">
        <v>0</v>
      </c>
      <c r="P138" s="9">
        <v>0</v>
      </c>
      <c r="Q138" s="15">
        <v>1</v>
      </c>
      <c r="R138" s="10">
        <v>0</v>
      </c>
      <c r="S138" s="81">
        <v>9203732</v>
      </c>
      <c r="T138" s="79"/>
      <c r="U138" s="26" t="s">
        <v>24</v>
      </c>
      <c r="V138" s="26">
        <v>1</v>
      </c>
      <c r="W138" s="57" t="s">
        <v>150</v>
      </c>
      <c r="X138" s="57">
        <v>0</v>
      </c>
      <c r="Y138" s="52">
        <v>1</v>
      </c>
      <c r="Z138" s="57">
        <v>0</v>
      </c>
      <c r="AA138" s="57">
        <v>0</v>
      </c>
      <c r="AB138" s="57">
        <v>0</v>
      </c>
      <c r="AC138" s="57">
        <v>0</v>
      </c>
      <c r="AD138" s="73" t="s">
        <v>243</v>
      </c>
      <c r="AE138" s="82"/>
      <c r="AK138" s="31"/>
      <c r="AL138" s="33"/>
      <c r="AM138" s="33"/>
    </row>
    <row r="139" spans="1:40" x14ac:dyDescent="0.25">
      <c r="A139" s="100" t="s">
        <v>126</v>
      </c>
      <c r="B139" s="101" t="s">
        <v>498</v>
      </c>
      <c r="C139" s="104" t="s">
        <v>535</v>
      </c>
      <c r="D139" s="14">
        <v>0</v>
      </c>
      <c r="E139" s="29" t="s">
        <v>9</v>
      </c>
      <c r="F139" s="88" t="str">
        <f>HYPERLINK("http://ictvonline.org/taxonomyHistory.asp?taxnode_id=20161326","20161326")</f>
        <v>20161326</v>
      </c>
      <c r="G139" s="93">
        <v>1967</v>
      </c>
      <c r="H139" s="88" t="str">
        <f>HYPERLINK("https://www.ncbi.nlm.nih.gov/pubmed/4960233", "4960233")</f>
        <v>4960233</v>
      </c>
      <c r="I139" s="91" t="s">
        <v>453</v>
      </c>
      <c r="J139" s="7">
        <v>0</v>
      </c>
      <c r="K139" s="7">
        <v>0</v>
      </c>
      <c r="L139" s="15">
        <v>1</v>
      </c>
      <c r="M139" s="7">
        <v>0</v>
      </c>
      <c r="N139" s="7">
        <v>0</v>
      </c>
      <c r="O139" s="9">
        <v>0</v>
      </c>
      <c r="P139" s="9">
        <v>0</v>
      </c>
      <c r="Q139" s="7">
        <v>0</v>
      </c>
      <c r="R139" s="10">
        <v>0</v>
      </c>
      <c r="S139" s="81">
        <v>28367789</v>
      </c>
      <c r="T139" s="79"/>
      <c r="U139" s="26" t="s">
        <v>24</v>
      </c>
      <c r="V139" s="26">
        <v>1</v>
      </c>
      <c r="W139" s="57" t="s">
        <v>150</v>
      </c>
      <c r="X139" s="32">
        <v>0</v>
      </c>
      <c r="Y139" s="12">
        <v>1</v>
      </c>
      <c r="Z139" s="32">
        <v>0</v>
      </c>
      <c r="AA139" s="32">
        <v>0</v>
      </c>
      <c r="AB139" s="32">
        <v>0</v>
      </c>
      <c r="AC139" s="32">
        <v>0</v>
      </c>
      <c r="AD139" s="73" t="s">
        <v>244</v>
      </c>
      <c r="AE139" s="83"/>
      <c r="AK139" s="31"/>
      <c r="AL139" s="33"/>
      <c r="AM139" s="33"/>
    </row>
    <row r="140" spans="1:40" x14ac:dyDescent="0.25">
      <c r="A140" s="99" t="s">
        <v>143</v>
      </c>
      <c r="B140" s="104" t="s">
        <v>498</v>
      </c>
      <c r="C140" s="104" t="s">
        <v>535</v>
      </c>
      <c r="D140" s="14">
        <v>0</v>
      </c>
      <c r="E140" s="49" t="s">
        <v>9</v>
      </c>
      <c r="F140" s="88" t="str">
        <f>HYPERLINK("http://ictvonline.org/taxonomyHistory.asp?taxnode_id=20161327","20161327")</f>
        <v>20161327</v>
      </c>
      <c r="G140" s="93">
        <v>1961</v>
      </c>
      <c r="H140" s="88" t="str">
        <f>HYPERLINK("https://www.ncbi.nlm.nih.gov/pubmed/13773015", "13773015")</f>
        <v>13773015</v>
      </c>
      <c r="I140" s="92" t="s">
        <v>454</v>
      </c>
      <c r="J140" s="9">
        <v>0</v>
      </c>
      <c r="K140" s="7">
        <v>0</v>
      </c>
      <c r="L140" s="71" t="s">
        <v>197</v>
      </c>
      <c r="M140" s="7">
        <v>0</v>
      </c>
      <c r="N140" s="7">
        <v>0</v>
      </c>
      <c r="O140" s="9">
        <v>0</v>
      </c>
      <c r="P140" s="42">
        <v>0</v>
      </c>
      <c r="Q140" s="42">
        <v>0</v>
      </c>
      <c r="R140" s="1">
        <v>0</v>
      </c>
      <c r="S140" s="81">
        <v>28367789</v>
      </c>
      <c r="T140" s="79"/>
      <c r="U140" s="24">
        <v>2</v>
      </c>
      <c r="V140" s="24">
        <v>0</v>
      </c>
      <c r="W140" s="12" t="s">
        <v>7</v>
      </c>
      <c r="X140" s="32">
        <v>0</v>
      </c>
      <c r="Y140" s="32">
        <v>0</v>
      </c>
      <c r="Z140" s="12">
        <v>1</v>
      </c>
      <c r="AA140" s="32">
        <v>0</v>
      </c>
      <c r="AB140" s="32">
        <v>0</v>
      </c>
      <c r="AC140" s="32">
        <v>0</v>
      </c>
      <c r="AD140" s="84" t="s">
        <v>245</v>
      </c>
      <c r="AE140" s="83"/>
      <c r="AK140" s="31"/>
      <c r="AL140" s="33"/>
      <c r="AM140" s="33"/>
    </row>
    <row r="141" spans="1:40" x14ac:dyDescent="0.25">
      <c r="A141" s="100" t="s">
        <v>128</v>
      </c>
      <c r="B141" s="101" t="s">
        <v>498</v>
      </c>
      <c r="C141" s="104" t="s">
        <v>535</v>
      </c>
      <c r="D141" s="14">
        <v>0</v>
      </c>
      <c r="E141" s="29" t="s">
        <v>9</v>
      </c>
      <c r="F141" s="88" t="str">
        <f>HYPERLINK("http://ictvonline.org/taxonomyHistory.asp?taxnode_id=20161332","20161332")</f>
        <v>20161332</v>
      </c>
      <c r="G141" s="93">
        <v>1953</v>
      </c>
      <c r="H141" s="88" t="str">
        <f>HYPERLINK("https://www.ncbi.nlm.nih.gov/pubmed/13097995", "13097995")</f>
        <v>13097995</v>
      </c>
      <c r="I141" s="91" t="s">
        <v>453</v>
      </c>
      <c r="J141" s="7">
        <v>0</v>
      </c>
      <c r="K141" s="17">
        <v>1</v>
      </c>
      <c r="L141" s="8">
        <v>0</v>
      </c>
      <c r="M141" s="7">
        <v>0</v>
      </c>
      <c r="N141" s="7">
        <v>0</v>
      </c>
      <c r="O141" s="17">
        <v>1</v>
      </c>
      <c r="P141" s="9">
        <v>0</v>
      </c>
      <c r="Q141" s="7">
        <v>0</v>
      </c>
      <c r="R141" s="18">
        <v>1</v>
      </c>
      <c r="S141" s="81">
        <v>6261689</v>
      </c>
      <c r="T141" s="81">
        <v>205151</v>
      </c>
      <c r="U141" s="27" t="s">
        <v>8</v>
      </c>
      <c r="V141" s="26">
        <v>1</v>
      </c>
      <c r="W141" s="32" t="s">
        <v>150</v>
      </c>
      <c r="X141" s="12">
        <v>1</v>
      </c>
      <c r="Y141" s="32">
        <v>0</v>
      </c>
      <c r="Z141" s="32">
        <v>0</v>
      </c>
      <c r="AA141" s="32">
        <v>0</v>
      </c>
      <c r="AB141" s="32">
        <v>0</v>
      </c>
      <c r="AC141" s="32">
        <v>0</v>
      </c>
      <c r="AD141" s="73" t="s">
        <v>339</v>
      </c>
      <c r="AE141" s="83"/>
      <c r="AK141" s="31"/>
      <c r="AL141" s="33"/>
      <c r="AM141" s="33"/>
    </row>
    <row r="142" spans="1:40" x14ac:dyDescent="0.25">
      <c r="A142" s="100" t="s">
        <v>129</v>
      </c>
      <c r="B142" s="101" t="s">
        <v>498</v>
      </c>
      <c r="C142" s="104" t="s">
        <v>535</v>
      </c>
      <c r="D142" s="14">
        <v>0</v>
      </c>
      <c r="E142" s="29" t="s">
        <v>9</v>
      </c>
      <c r="F142" s="88" t="str">
        <f>HYPERLINK("http://ictvonline.org/taxonomyHistory.asp?taxnode_id=20161333","20161333")</f>
        <v>20161333</v>
      </c>
      <c r="G142" s="93">
        <v>1960</v>
      </c>
      <c r="H142" s="88" t="str">
        <f>HYPERLINK("https://www.ncbi.nlm.nih.gov/pubmed/13840115", "13840115")</f>
        <v>13840115</v>
      </c>
      <c r="I142" s="91" t="s">
        <v>453</v>
      </c>
      <c r="J142" s="7">
        <v>0</v>
      </c>
      <c r="K142" s="17">
        <v>1</v>
      </c>
      <c r="L142" s="8">
        <v>0</v>
      </c>
      <c r="M142" s="7">
        <v>0</v>
      </c>
      <c r="N142" s="7">
        <v>0</v>
      </c>
      <c r="O142" s="17">
        <v>1</v>
      </c>
      <c r="P142" s="9">
        <v>0</v>
      </c>
      <c r="Q142" s="7">
        <v>0</v>
      </c>
      <c r="R142" s="18">
        <v>1</v>
      </c>
      <c r="S142" s="81">
        <v>6261689</v>
      </c>
      <c r="T142" s="81">
        <v>205151</v>
      </c>
      <c r="U142" s="27" t="s">
        <v>8</v>
      </c>
      <c r="V142" s="26">
        <v>1</v>
      </c>
      <c r="W142" s="32" t="s">
        <v>150</v>
      </c>
      <c r="X142" s="12">
        <v>1</v>
      </c>
      <c r="Y142" s="32">
        <v>0</v>
      </c>
      <c r="Z142" s="32">
        <v>0</v>
      </c>
      <c r="AA142" s="32">
        <v>0</v>
      </c>
      <c r="AB142" s="32">
        <v>0</v>
      </c>
      <c r="AC142" s="32">
        <v>0</v>
      </c>
      <c r="AD142" s="73" t="s">
        <v>339</v>
      </c>
      <c r="AE142" s="83"/>
      <c r="AK142" s="31"/>
      <c r="AL142" s="33"/>
      <c r="AM142" s="33"/>
      <c r="AN142" s="49"/>
    </row>
    <row r="143" spans="1:40" x14ac:dyDescent="0.25">
      <c r="A143" s="100" t="s">
        <v>130</v>
      </c>
      <c r="B143" s="101" t="s">
        <v>498</v>
      </c>
      <c r="C143" s="104" t="s">
        <v>535</v>
      </c>
      <c r="D143" s="14">
        <v>0</v>
      </c>
      <c r="E143" s="29" t="s">
        <v>9</v>
      </c>
      <c r="F143" s="88" t="str">
        <f>HYPERLINK("http://ictvonline.org/taxonomyHistory.asp?taxnode_id=20161334","20161334")</f>
        <v>20161334</v>
      </c>
      <c r="G143" s="94">
        <v>2007</v>
      </c>
      <c r="H143" s="88" t="str">
        <f>HYPERLINK("https://www.ncbi.nlm.nih.gov/pubmed/17804649", "17804649")</f>
        <v>17804649</v>
      </c>
      <c r="I143" s="91" t="s">
        <v>453</v>
      </c>
      <c r="J143" s="7">
        <v>0</v>
      </c>
      <c r="K143" s="17">
        <v>1</v>
      </c>
      <c r="L143" s="8">
        <v>0</v>
      </c>
      <c r="M143" s="7">
        <v>0</v>
      </c>
      <c r="N143" s="7">
        <v>0</v>
      </c>
      <c r="O143" s="17">
        <v>1</v>
      </c>
      <c r="P143" s="9">
        <v>0</v>
      </c>
      <c r="Q143" s="7">
        <v>0</v>
      </c>
      <c r="R143" s="18">
        <v>1</v>
      </c>
      <c r="S143" s="81">
        <v>6261689</v>
      </c>
      <c r="T143" s="81">
        <v>205151</v>
      </c>
      <c r="U143" s="22" t="s">
        <v>8</v>
      </c>
      <c r="V143" s="26">
        <v>1</v>
      </c>
      <c r="W143" s="32" t="s">
        <v>150</v>
      </c>
      <c r="X143" s="12">
        <v>1</v>
      </c>
      <c r="Y143" s="32">
        <v>0</v>
      </c>
      <c r="Z143" s="32">
        <v>0</v>
      </c>
      <c r="AA143" s="32">
        <v>0</v>
      </c>
      <c r="AB143" s="32">
        <v>0</v>
      </c>
      <c r="AC143" s="32">
        <v>0</v>
      </c>
      <c r="AD143" s="73" t="s">
        <v>339</v>
      </c>
      <c r="AE143" s="83"/>
      <c r="AK143" s="31"/>
      <c r="AL143" s="33"/>
      <c r="AM143" s="33"/>
    </row>
    <row r="144" spans="1:40" x14ac:dyDescent="0.25">
      <c r="A144" s="99" t="s">
        <v>144</v>
      </c>
      <c r="B144" s="101" t="s">
        <v>499</v>
      </c>
      <c r="C144" s="104" t="s">
        <v>535</v>
      </c>
      <c r="D144" s="14">
        <v>0</v>
      </c>
      <c r="E144" s="49" t="s">
        <v>9</v>
      </c>
      <c r="F144" s="88" t="str">
        <f>HYPERLINK("http://ictvonline.org/taxonomyHistory.asp?taxnode_id=20161336","20161336")</f>
        <v>20161336</v>
      </c>
      <c r="G144" s="93">
        <v>2005</v>
      </c>
      <c r="H144" s="88" t="str">
        <f>HYPERLINK("https://www.ncbi.nlm.nih.gov/pubmed/15778036", "15778036")</f>
        <v>15778036</v>
      </c>
      <c r="I144" s="92" t="s">
        <v>454</v>
      </c>
      <c r="J144" s="9">
        <v>0</v>
      </c>
      <c r="K144" s="70" t="s">
        <v>197</v>
      </c>
      <c r="L144" s="9">
        <v>0</v>
      </c>
      <c r="M144" s="9">
        <v>0</v>
      </c>
      <c r="N144" s="9">
        <v>0</v>
      </c>
      <c r="O144" s="70" t="s">
        <v>197</v>
      </c>
      <c r="P144" s="42">
        <v>0</v>
      </c>
      <c r="Q144" s="42">
        <v>0</v>
      </c>
      <c r="R144" s="72" t="s">
        <v>197</v>
      </c>
      <c r="S144" s="78" t="s">
        <v>246</v>
      </c>
      <c r="T144" s="79"/>
      <c r="U144" s="24">
        <v>2</v>
      </c>
      <c r="V144" s="24">
        <v>0</v>
      </c>
      <c r="W144" s="12" t="s">
        <v>7</v>
      </c>
      <c r="X144" s="32">
        <v>0</v>
      </c>
      <c r="Y144" s="32">
        <v>0</v>
      </c>
      <c r="Z144" s="12">
        <v>1</v>
      </c>
      <c r="AA144" s="32">
        <v>0</v>
      </c>
      <c r="AB144" s="32">
        <v>0</v>
      </c>
      <c r="AC144" s="32">
        <v>0</v>
      </c>
      <c r="AD144" s="73" t="s">
        <v>247</v>
      </c>
      <c r="AE144" s="83"/>
      <c r="AK144" s="31"/>
      <c r="AL144" s="33"/>
      <c r="AM144" s="33"/>
      <c r="AN144" s="49"/>
    </row>
    <row r="145" spans="1:40" x14ac:dyDescent="0.25">
      <c r="A145" s="100" t="s">
        <v>121</v>
      </c>
      <c r="B145" s="101" t="s">
        <v>500</v>
      </c>
      <c r="C145" s="104" t="s">
        <v>535</v>
      </c>
      <c r="D145" s="14">
        <v>0</v>
      </c>
      <c r="E145" s="29" t="s">
        <v>9</v>
      </c>
      <c r="F145" s="88" t="str">
        <f>HYPERLINK("http://ictvonline.org/taxonomyHistory.asp?taxnode_id=20161340","20161340")</f>
        <v>20161340</v>
      </c>
      <c r="G145" s="93">
        <v>1973</v>
      </c>
      <c r="H145" s="88" t="str">
        <f>HYPERLINK("https://www.ncbi.nlm.nih.gov/pubmed/4356028", "4356028")</f>
        <v>4356028</v>
      </c>
      <c r="I145" s="91" t="s">
        <v>453</v>
      </c>
      <c r="J145" s="7">
        <v>0</v>
      </c>
      <c r="K145" s="7">
        <v>0</v>
      </c>
      <c r="L145" s="17">
        <v>1</v>
      </c>
      <c r="M145" s="7">
        <v>0</v>
      </c>
      <c r="N145" s="7">
        <v>0</v>
      </c>
      <c r="O145" s="9">
        <v>0</v>
      </c>
      <c r="P145" s="9">
        <v>0</v>
      </c>
      <c r="Q145" s="17">
        <v>1</v>
      </c>
      <c r="R145" s="10">
        <v>0</v>
      </c>
      <c r="S145" s="78" t="s">
        <v>436</v>
      </c>
      <c r="T145" s="79"/>
      <c r="U145" s="26" t="s">
        <v>24</v>
      </c>
      <c r="V145" s="26">
        <v>1</v>
      </c>
      <c r="W145" s="32" t="s">
        <v>150</v>
      </c>
      <c r="X145" s="32">
        <v>0</v>
      </c>
      <c r="Y145" s="12">
        <v>1</v>
      </c>
      <c r="Z145" s="32">
        <v>0</v>
      </c>
      <c r="AA145" s="32">
        <v>0</v>
      </c>
      <c r="AB145" s="32">
        <v>0</v>
      </c>
      <c r="AC145" s="32">
        <v>0</v>
      </c>
      <c r="AD145" s="73" t="s">
        <v>437</v>
      </c>
      <c r="AE145" s="83"/>
      <c r="AK145" s="31"/>
      <c r="AL145" s="33"/>
      <c r="AM145" s="33"/>
    </row>
    <row r="146" spans="1:40" x14ac:dyDescent="0.25">
      <c r="A146" s="100" t="s">
        <v>117</v>
      </c>
      <c r="B146" s="101" t="s">
        <v>501</v>
      </c>
      <c r="C146" s="104" t="s">
        <v>535</v>
      </c>
      <c r="D146" s="14">
        <v>0</v>
      </c>
      <c r="E146" s="29" t="s">
        <v>9</v>
      </c>
      <c r="F146" s="88" t="str">
        <f>HYPERLINK("http://ictvonline.org/taxonomyHistory.asp?taxnode_id=20161344","20161344")</f>
        <v>20161344</v>
      </c>
      <c r="G146" s="93">
        <v>1991</v>
      </c>
      <c r="H146" s="88" t="str">
        <f>HYPERLINK("https://www.ncbi.nlm.nih.gov/pubmed/1658159", "1658159")</f>
        <v>1658159</v>
      </c>
      <c r="I146" s="91" t="s">
        <v>453</v>
      </c>
      <c r="J146" s="7">
        <v>0</v>
      </c>
      <c r="K146" s="7">
        <v>0</v>
      </c>
      <c r="L146" s="15">
        <v>1</v>
      </c>
      <c r="M146" s="7">
        <v>0</v>
      </c>
      <c r="N146" s="7">
        <v>0</v>
      </c>
      <c r="O146" s="9">
        <v>0</v>
      </c>
      <c r="P146" s="9">
        <v>0</v>
      </c>
      <c r="Q146" s="7">
        <v>0</v>
      </c>
      <c r="R146" s="10">
        <v>0</v>
      </c>
      <c r="S146" s="81">
        <v>25996404</v>
      </c>
      <c r="T146" s="79"/>
      <c r="U146" s="27" t="s">
        <v>8</v>
      </c>
      <c r="V146" s="26">
        <v>1</v>
      </c>
      <c r="W146" s="32" t="s">
        <v>150</v>
      </c>
      <c r="X146" s="12">
        <v>1</v>
      </c>
      <c r="Y146" s="32">
        <v>0</v>
      </c>
      <c r="Z146" s="32">
        <v>0</v>
      </c>
      <c r="AA146" s="32">
        <v>0</v>
      </c>
      <c r="AB146" s="32">
        <v>0</v>
      </c>
      <c r="AC146" s="32">
        <v>0</v>
      </c>
      <c r="AD146" s="73">
        <v>25996404</v>
      </c>
      <c r="AE146" s="83"/>
      <c r="AK146" s="31"/>
      <c r="AL146" s="33"/>
      <c r="AM146" s="33"/>
    </row>
    <row r="147" spans="1:40" s="49" customFormat="1" x14ac:dyDescent="0.25">
      <c r="A147" s="100" t="s">
        <v>127</v>
      </c>
      <c r="B147" s="101" t="s">
        <v>502</v>
      </c>
      <c r="C147" s="104" t="s">
        <v>535</v>
      </c>
      <c r="D147" s="14">
        <v>0</v>
      </c>
      <c r="E147" s="29" t="s">
        <v>9</v>
      </c>
      <c r="F147" s="88" t="str">
        <f>HYPERLINK("http://ictvonline.org/taxonomyHistory.asp?taxnode_id=20161362","20161362")</f>
        <v>20161362</v>
      </c>
      <c r="G147" s="93">
        <v>1958</v>
      </c>
      <c r="H147" s="88" t="str">
        <f>HYPERLINK("https://www.ncbi.nlm.nih.gov/pubmed/13538681", "13538681")</f>
        <v>13538681</v>
      </c>
      <c r="I147" s="91" t="s">
        <v>453</v>
      </c>
      <c r="J147" s="7">
        <v>0</v>
      </c>
      <c r="K147" s="7">
        <v>0</v>
      </c>
      <c r="L147" s="17">
        <v>1</v>
      </c>
      <c r="M147" s="7">
        <v>0</v>
      </c>
      <c r="N147" s="7">
        <v>0</v>
      </c>
      <c r="O147" s="9">
        <v>0</v>
      </c>
      <c r="P147" s="9">
        <v>0</v>
      </c>
      <c r="Q147" s="7">
        <v>0</v>
      </c>
      <c r="R147" s="10">
        <v>0</v>
      </c>
      <c r="S147" s="81">
        <v>11438028</v>
      </c>
      <c r="T147" s="81">
        <v>16220089</v>
      </c>
      <c r="U147" s="26" t="s">
        <v>24</v>
      </c>
      <c r="V147" s="26">
        <v>1</v>
      </c>
      <c r="W147" s="57" t="s">
        <v>150</v>
      </c>
      <c r="X147" s="57">
        <v>0</v>
      </c>
      <c r="Y147" s="52">
        <v>1</v>
      </c>
      <c r="Z147" s="57">
        <v>0</v>
      </c>
      <c r="AA147" s="57">
        <v>0</v>
      </c>
      <c r="AB147" s="57">
        <v>0</v>
      </c>
      <c r="AC147" s="57">
        <v>0</v>
      </c>
      <c r="AD147" s="73" t="s">
        <v>329</v>
      </c>
      <c r="AE147" s="73" t="s">
        <v>330</v>
      </c>
      <c r="AK147" s="31"/>
      <c r="AL147" s="33"/>
      <c r="AM147" s="33"/>
    </row>
    <row r="148" spans="1:40" x14ac:dyDescent="0.25">
      <c r="A148" s="100" t="s">
        <v>134</v>
      </c>
      <c r="B148" s="101" t="s">
        <v>502</v>
      </c>
      <c r="C148" s="104" t="s">
        <v>535</v>
      </c>
      <c r="D148" s="14">
        <v>0</v>
      </c>
      <c r="E148" s="29" t="s">
        <v>9</v>
      </c>
      <c r="F148" s="88" t="str">
        <f>HYPERLINK("http://ictvonline.org/taxonomyHistory.asp?taxnode_id=20161363","20161363")</f>
        <v>20161363</v>
      </c>
      <c r="G148" s="93">
        <v>2003</v>
      </c>
      <c r="H148" s="88" t="str">
        <f>HYPERLINK("https://www.ncbi.nlm.nih.gov/pubmed/12745669", "12745669")</f>
        <v>12745669</v>
      </c>
      <c r="I148" s="91" t="s">
        <v>453</v>
      </c>
      <c r="J148" s="45">
        <v>0</v>
      </c>
      <c r="K148" s="45">
        <v>0</v>
      </c>
      <c r="L148" s="71" t="s">
        <v>197</v>
      </c>
      <c r="M148" s="45">
        <v>0</v>
      </c>
      <c r="N148" s="45">
        <v>0</v>
      </c>
      <c r="O148" s="44">
        <v>0</v>
      </c>
      <c r="P148" s="44">
        <v>0</v>
      </c>
      <c r="Q148" s="45">
        <v>0</v>
      </c>
      <c r="R148" s="48">
        <v>0</v>
      </c>
      <c r="S148" s="78" t="s">
        <v>415</v>
      </c>
      <c r="T148" s="79"/>
      <c r="U148" s="24">
        <v>2</v>
      </c>
      <c r="V148" s="24">
        <v>0</v>
      </c>
      <c r="W148" s="52" t="s">
        <v>7</v>
      </c>
      <c r="X148" s="57">
        <v>0</v>
      </c>
      <c r="Y148" s="52">
        <v>1</v>
      </c>
      <c r="Z148" s="52">
        <v>1</v>
      </c>
      <c r="AA148" s="57">
        <v>0</v>
      </c>
      <c r="AB148" s="57">
        <v>0</v>
      </c>
      <c r="AC148" s="57">
        <v>0</v>
      </c>
      <c r="AD148" s="73" t="s">
        <v>329</v>
      </c>
      <c r="AE148" s="73" t="s">
        <v>387</v>
      </c>
      <c r="AK148" s="31"/>
      <c r="AL148" s="33"/>
      <c r="AM148" s="33"/>
    </row>
    <row r="149" spans="1:40" x14ac:dyDescent="0.25">
      <c r="A149" s="100" t="s">
        <v>153</v>
      </c>
      <c r="B149" s="101" t="s">
        <v>503</v>
      </c>
      <c r="C149" s="104" t="s">
        <v>535</v>
      </c>
      <c r="D149" s="14">
        <v>0</v>
      </c>
      <c r="E149" s="29" t="s">
        <v>9</v>
      </c>
      <c r="F149" s="88" t="str">
        <f>HYPERLINK("http://ictvonline.org/taxonomyHistory.asp?taxnode_id=20161375","20161375")</f>
        <v>20161375</v>
      </c>
      <c r="G149" s="93">
        <v>2009</v>
      </c>
      <c r="H149" s="88" t="str">
        <f>HYPERLINK("https://www.ncbi.nlm.nih.gov/pubmed/19538752", "19538752")</f>
        <v>19538752</v>
      </c>
      <c r="I149" s="91" t="s">
        <v>453</v>
      </c>
      <c r="J149" s="45">
        <v>0</v>
      </c>
      <c r="K149" s="45">
        <v>0</v>
      </c>
      <c r="L149" s="71" t="s">
        <v>197</v>
      </c>
      <c r="M149" s="45">
        <v>0</v>
      </c>
      <c r="N149" s="45">
        <v>0</v>
      </c>
      <c r="O149" s="44">
        <v>0</v>
      </c>
      <c r="P149" s="44">
        <v>0</v>
      </c>
      <c r="Q149" s="45">
        <v>0</v>
      </c>
      <c r="R149" s="48">
        <v>0</v>
      </c>
      <c r="S149" s="81">
        <v>26193371</v>
      </c>
      <c r="T149" s="79"/>
      <c r="U149" s="58" t="s">
        <v>24</v>
      </c>
      <c r="V149" s="26">
        <v>1</v>
      </c>
      <c r="W149" s="69" t="s">
        <v>196</v>
      </c>
      <c r="X149" s="32" t="s">
        <v>6</v>
      </c>
      <c r="Y149" s="32" t="s">
        <v>6</v>
      </c>
      <c r="Z149" s="32" t="s">
        <v>6</v>
      </c>
      <c r="AA149" s="32" t="s">
        <v>6</v>
      </c>
      <c r="AB149" s="32" t="s">
        <v>6</v>
      </c>
      <c r="AC149" s="32" t="s">
        <v>6</v>
      </c>
      <c r="AD149" s="84">
        <v>25889358</v>
      </c>
      <c r="AE149" s="82"/>
      <c r="AK149" s="31"/>
      <c r="AL149" s="33"/>
      <c r="AM149" s="33"/>
      <c r="AN149" s="49"/>
    </row>
    <row r="150" spans="1:40" x14ac:dyDescent="0.25">
      <c r="A150" s="99" t="s">
        <v>101</v>
      </c>
      <c r="B150" s="101" t="s">
        <v>504</v>
      </c>
      <c r="C150" s="104" t="s">
        <v>536</v>
      </c>
      <c r="D150" s="13">
        <v>1</v>
      </c>
      <c r="E150" s="49" t="s">
        <v>10</v>
      </c>
      <c r="F150" s="88" t="str">
        <f>HYPERLINK("http://ictvonline.org/taxonomyHistory.asp?taxnode_id=20161065","20161065")</f>
        <v>20161065</v>
      </c>
      <c r="G150" s="93">
        <v>2011</v>
      </c>
      <c r="H150" s="88" t="str">
        <f>HYPERLINK("https://www.ncbi.nlm.nih.gov/pubmed/21736487", "21736487")</f>
        <v>21736487</v>
      </c>
      <c r="I150" s="92" t="s">
        <v>454</v>
      </c>
      <c r="J150" s="9">
        <v>0</v>
      </c>
      <c r="K150" s="72" t="s">
        <v>197</v>
      </c>
      <c r="L150" s="9">
        <v>0</v>
      </c>
      <c r="M150" s="9">
        <v>0</v>
      </c>
      <c r="N150" s="9">
        <v>0</v>
      </c>
      <c r="O150" s="44">
        <v>0</v>
      </c>
      <c r="P150" s="42">
        <v>0</v>
      </c>
      <c r="Q150" s="42">
        <v>0</v>
      </c>
      <c r="R150" s="72" t="s">
        <v>197</v>
      </c>
      <c r="S150" s="81">
        <v>24637582</v>
      </c>
      <c r="T150" s="81">
        <v>22874773</v>
      </c>
      <c r="U150" s="24">
        <v>2</v>
      </c>
      <c r="V150" s="24">
        <v>0</v>
      </c>
      <c r="W150" s="12" t="s">
        <v>7</v>
      </c>
      <c r="X150" s="32">
        <v>0</v>
      </c>
      <c r="Y150" s="32">
        <v>0</v>
      </c>
      <c r="Z150" s="32">
        <v>0</v>
      </c>
      <c r="AA150" s="12">
        <v>1</v>
      </c>
      <c r="AB150" s="32">
        <v>0</v>
      </c>
      <c r="AC150" s="32">
        <v>0</v>
      </c>
      <c r="AD150" s="73" t="s">
        <v>429</v>
      </c>
      <c r="AE150" s="73" t="s">
        <v>430</v>
      </c>
      <c r="AK150" s="31"/>
      <c r="AL150" s="33"/>
      <c r="AM150" s="33"/>
      <c r="AN150" s="33"/>
    </row>
    <row r="151" spans="1:40" x14ac:dyDescent="0.25">
      <c r="A151" s="100" t="s">
        <v>40</v>
      </c>
      <c r="B151" s="101" t="s">
        <v>504</v>
      </c>
      <c r="C151" s="104" t="s">
        <v>536</v>
      </c>
      <c r="D151" s="13">
        <v>1</v>
      </c>
      <c r="E151" s="29" t="s">
        <v>10</v>
      </c>
      <c r="F151" s="88" t="str">
        <f>HYPERLINK("http://ictvonline.org/taxonomyHistory.asp?taxnode_id=20161066","20161066")</f>
        <v>20161066</v>
      </c>
      <c r="G151" s="93">
        <v>2001</v>
      </c>
      <c r="H151" s="88" t="str">
        <f>HYPERLINK("https://www.ncbi.nlm.nih.gov/pubmed/11385510", "11385510")</f>
        <v>11385510</v>
      </c>
      <c r="I151" s="91" t="s">
        <v>453</v>
      </c>
      <c r="J151" s="7">
        <v>0</v>
      </c>
      <c r="K151" s="17">
        <v>1</v>
      </c>
      <c r="L151" s="8">
        <v>0</v>
      </c>
      <c r="M151" s="7">
        <v>0</v>
      </c>
      <c r="N151" s="7">
        <v>0</v>
      </c>
      <c r="O151" s="17">
        <v>1</v>
      </c>
      <c r="P151" s="9">
        <v>0</v>
      </c>
      <c r="Q151" s="7">
        <v>0</v>
      </c>
      <c r="R151" s="18">
        <v>1</v>
      </c>
      <c r="S151" s="81">
        <v>22874773</v>
      </c>
      <c r="T151" s="79"/>
      <c r="U151" s="26" t="s">
        <v>24</v>
      </c>
      <c r="V151" s="26">
        <v>1</v>
      </c>
      <c r="W151" s="32" t="s">
        <v>150</v>
      </c>
      <c r="X151" s="32">
        <v>0</v>
      </c>
      <c r="Y151" s="12">
        <v>1</v>
      </c>
      <c r="Z151" s="32">
        <v>0</v>
      </c>
      <c r="AA151" s="32">
        <v>0</v>
      </c>
      <c r="AB151" s="32">
        <v>0</v>
      </c>
      <c r="AC151" s="32">
        <v>0</v>
      </c>
      <c r="AD151" s="73" t="s">
        <v>444</v>
      </c>
      <c r="AE151" s="84">
        <v>25417845</v>
      </c>
      <c r="AK151" s="31"/>
      <c r="AL151" s="33"/>
      <c r="AM151" s="33"/>
      <c r="AN151" s="49"/>
    </row>
    <row r="152" spans="1:40" x14ac:dyDescent="0.25">
      <c r="A152" s="100" t="s">
        <v>278</v>
      </c>
      <c r="B152" s="101" t="s">
        <v>505</v>
      </c>
      <c r="C152" s="104" t="s">
        <v>536</v>
      </c>
      <c r="D152" s="13">
        <v>1</v>
      </c>
      <c r="E152" s="29" t="s">
        <v>10</v>
      </c>
      <c r="F152" s="88" t="str">
        <f>HYPERLINK("http://ictvonline.org/taxonomyHistory.asp?taxnode_id=20161069","20161069")</f>
        <v>20161069</v>
      </c>
      <c r="G152" s="93">
        <v>1957</v>
      </c>
      <c r="H152" s="88" t="str">
        <f>HYPERLINK("https://www.ncbi.nlm.nih.gov/pubmed/13478578", "13478578")</f>
        <v>13478578</v>
      </c>
      <c r="I152" s="91" t="s">
        <v>453</v>
      </c>
      <c r="J152" s="7">
        <v>0</v>
      </c>
      <c r="K152" s="17">
        <v>1</v>
      </c>
      <c r="L152" s="8">
        <v>0</v>
      </c>
      <c r="M152" s="7">
        <v>0</v>
      </c>
      <c r="N152" s="7">
        <v>0</v>
      </c>
      <c r="O152" s="17">
        <v>1</v>
      </c>
      <c r="P152" s="9">
        <v>0</v>
      </c>
      <c r="Q152" s="7">
        <v>0</v>
      </c>
      <c r="R152" s="10">
        <v>0</v>
      </c>
      <c r="S152" s="78" t="s">
        <v>406</v>
      </c>
      <c r="T152" s="79"/>
      <c r="U152" s="26" t="s">
        <v>24</v>
      </c>
      <c r="V152" s="26">
        <v>1</v>
      </c>
      <c r="W152" s="32" t="s">
        <v>150</v>
      </c>
      <c r="X152" s="32">
        <v>0</v>
      </c>
      <c r="Y152" s="12">
        <v>1</v>
      </c>
      <c r="Z152" s="32">
        <v>0</v>
      </c>
      <c r="AA152" s="32">
        <v>0</v>
      </c>
      <c r="AB152" s="32">
        <v>0</v>
      </c>
      <c r="AC152" s="32">
        <v>0</v>
      </c>
      <c r="AD152" s="73" t="s">
        <v>286</v>
      </c>
      <c r="AE152" s="83"/>
      <c r="AK152" s="31"/>
      <c r="AL152" s="33"/>
      <c r="AM152" s="33"/>
      <c r="AN152" s="49"/>
    </row>
    <row r="153" spans="1:40" x14ac:dyDescent="0.25">
      <c r="A153" s="100" t="s">
        <v>22</v>
      </c>
      <c r="B153" s="101" t="s">
        <v>506</v>
      </c>
      <c r="C153" s="104" t="s">
        <v>537</v>
      </c>
      <c r="D153" s="14">
        <v>0</v>
      </c>
      <c r="E153" s="29" t="s">
        <v>16</v>
      </c>
      <c r="F153" s="88" t="str">
        <f>HYPERLINK("http://ictvonline.org/taxonomyHistory.asp?taxnode_id=20164155","20164155")</f>
        <v>20164155</v>
      </c>
      <c r="G153" s="93">
        <v>1946</v>
      </c>
      <c r="H153" s="88" t="str">
        <f>HYPERLINK("https://www.ncbi.nlm.nih.gov/pubmed/19871512", "19871512")</f>
        <v>19871512</v>
      </c>
      <c r="I153" s="91" t="s">
        <v>453</v>
      </c>
      <c r="J153" s="15">
        <v>1</v>
      </c>
      <c r="K153" s="7">
        <v>0</v>
      </c>
      <c r="L153" s="8">
        <v>0</v>
      </c>
      <c r="M153" s="7">
        <v>0</v>
      </c>
      <c r="N153" s="7">
        <v>0</v>
      </c>
      <c r="O153" s="9">
        <v>0</v>
      </c>
      <c r="P153" s="9">
        <v>0</v>
      </c>
      <c r="Q153" s="7">
        <v>0</v>
      </c>
      <c r="R153" s="10">
        <v>0</v>
      </c>
      <c r="S153" s="78" t="s">
        <v>226</v>
      </c>
      <c r="T153" s="76"/>
      <c r="U153" s="25">
        <v>3</v>
      </c>
      <c r="V153" s="26">
        <v>1</v>
      </c>
      <c r="W153" s="12" t="s">
        <v>7</v>
      </c>
      <c r="X153" s="32">
        <v>0</v>
      </c>
      <c r="Y153" s="32">
        <v>0</v>
      </c>
      <c r="Z153" s="12">
        <v>1</v>
      </c>
      <c r="AA153" s="32">
        <v>0</v>
      </c>
      <c r="AB153" s="32">
        <v>0</v>
      </c>
      <c r="AC153" s="32">
        <v>0</v>
      </c>
      <c r="AD153" s="73" t="s">
        <v>226</v>
      </c>
      <c r="AE153" s="83"/>
      <c r="AK153" s="29"/>
      <c r="AL153" s="33"/>
      <c r="AM153" s="33"/>
      <c r="AN153" s="49"/>
    </row>
    <row r="154" spans="1:40" x14ac:dyDescent="0.25">
      <c r="A154" s="102" t="s">
        <v>112</v>
      </c>
      <c r="B154" s="107" t="s">
        <v>506</v>
      </c>
      <c r="C154" s="104" t="s">
        <v>537</v>
      </c>
      <c r="D154" s="14">
        <v>0</v>
      </c>
      <c r="E154" s="29" t="s">
        <v>16</v>
      </c>
      <c r="F154" s="88" t="str">
        <f>HYPERLINK("http://ictvonline.org/taxonomyHistory.asp?taxnode_id=20164156","20164156")</f>
        <v>20164156</v>
      </c>
      <c r="G154" s="93">
        <v>1980</v>
      </c>
      <c r="H154" s="88" t="str">
        <f>HYPERLINK("https://www.ncbi.nlm.nih.gov/pubmed/6106383", "6106383")</f>
        <v>6106383</v>
      </c>
      <c r="I154" s="92" t="s">
        <v>454</v>
      </c>
      <c r="J154" s="15">
        <v>1</v>
      </c>
      <c r="K154" s="7">
        <v>0</v>
      </c>
      <c r="L154" s="7">
        <v>0</v>
      </c>
      <c r="M154" s="7">
        <v>0</v>
      </c>
      <c r="N154" s="7">
        <v>0</v>
      </c>
      <c r="O154" s="9">
        <v>0</v>
      </c>
      <c r="P154" s="9">
        <v>0</v>
      </c>
      <c r="Q154" s="7">
        <v>0</v>
      </c>
      <c r="R154" s="10">
        <v>0</v>
      </c>
      <c r="S154" s="81">
        <v>6508529</v>
      </c>
      <c r="T154" s="81">
        <v>22526290</v>
      </c>
      <c r="U154" s="11">
        <v>2</v>
      </c>
      <c r="V154" s="24">
        <v>0</v>
      </c>
      <c r="W154" s="51" t="s">
        <v>7</v>
      </c>
      <c r="X154" s="55">
        <v>0</v>
      </c>
      <c r="Y154" s="57">
        <v>0</v>
      </c>
      <c r="Z154" s="12">
        <v>1</v>
      </c>
      <c r="AA154" s="32">
        <v>0</v>
      </c>
      <c r="AB154" s="32">
        <v>0</v>
      </c>
      <c r="AC154" s="32">
        <v>0</v>
      </c>
      <c r="AD154" s="73" t="s">
        <v>251</v>
      </c>
      <c r="AE154" s="83"/>
      <c r="AK154" s="31"/>
      <c r="AL154" s="33"/>
      <c r="AM154" s="33"/>
    </row>
    <row r="155" spans="1:40" x14ac:dyDescent="0.25">
      <c r="A155" s="102" t="s">
        <v>110</v>
      </c>
      <c r="B155" s="107" t="s">
        <v>507</v>
      </c>
      <c r="C155" s="104" t="s">
        <v>537</v>
      </c>
      <c r="D155" s="14">
        <v>0</v>
      </c>
      <c r="E155" s="49" t="s">
        <v>16</v>
      </c>
      <c r="F155" s="88" t="str">
        <f>HYPERLINK("http://ictvonline.org/taxonomyHistory.asp?taxnode_id=20164111","20164111")</f>
        <v>20164111</v>
      </c>
      <c r="G155" s="93">
        <v>1967</v>
      </c>
      <c r="H155" s="88" t="str">
        <f>HYPERLINK("http://onlinelibrary.wiley.com/doi/10.1111/j.1440-1754.1967.tb01714.x/full", "Available from external site")</f>
        <v>Available from external site</v>
      </c>
      <c r="I155" s="92" t="s">
        <v>454</v>
      </c>
      <c r="J155" s="15">
        <v>1</v>
      </c>
      <c r="K155" s="7">
        <v>0</v>
      </c>
      <c r="L155" s="7">
        <v>0</v>
      </c>
      <c r="M155" s="7">
        <v>0</v>
      </c>
      <c r="N155" s="7">
        <v>0</v>
      </c>
      <c r="O155" s="9">
        <v>0</v>
      </c>
      <c r="P155" s="9">
        <v>0</v>
      </c>
      <c r="Q155" s="7">
        <v>0</v>
      </c>
      <c r="R155" s="10">
        <v>0</v>
      </c>
      <c r="S155" s="81">
        <v>19766284</v>
      </c>
      <c r="T155" s="81">
        <v>27213426</v>
      </c>
      <c r="U155" s="11">
        <v>2</v>
      </c>
      <c r="V155" s="24">
        <v>0</v>
      </c>
      <c r="W155" s="51" t="s">
        <v>7</v>
      </c>
      <c r="X155" s="41">
        <v>0</v>
      </c>
      <c r="Y155" s="41">
        <v>0</v>
      </c>
      <c r="Z155" s="12">
        <v>1</v>
      </c>
      <c r="AA155" s="12">
        <v>1</v>
      </c>
      <c r="AB155" s="32">
        <v>0</v>
      </c>
      <c r="AC155" s="32">
        <v>0</v>
      </c>
      <c r="AD155" s="84">
        <v>27213426</v>
      </c>
      <c r="AE155" s="83"/>
      <c r="AK155" s="31"/>
      <c r="AL155" s="33"/>
      <c r="AM155" s="33"/>
    </row>
    <row r="156" spans="1:40" x14ac:dyDescent="0.25">
      <c r="A156" s="100" t="s">
        <v>30</v>
      </c>
      <c r="B156" s="101" t="s">
        <v>507</v>
      </c>
      <c r="C156" s="104" t="s">
        <v>537</v>
      </c>
      <c r="D156" s="14">
        <v>0</v>
      </c>
      <c r="E156" s="29" t="s">
        <v>16</v>
      </c>
      <c r="F156" s="88" t="str">
        <f>HYPERLINK("http://ictvonline.org/taxonomyHistory.asp?taxnode_id=20164115","20164115")</f>
        <v>20164115</v>
      </c>
      <c r="G156" s="93">
        <v>1963</v>
      </c>
      <c r="H156" s="88" t="str">
        <f>HYPERLINK("https://www.ncbi.nlm.nih.gov/pubmed/14071281", "14071281")</f>
        <v>14071281</v>
      </c>
      <c r="I156" s="91" t="s">
        <v>453</v>
      </c>
      <c r="J156" s="15">
        <v>1</v>
      </c>
      <c r="K156" s="7">
        <v>0</v>
      </c>
      <c r="L156" s="8">
        <v>0</v>
      </c>
      <c r="M156" s="7">
        <v>0</v>
      </c>
      <c r="N156" s="7">
        <v>0</v>
      </c>
      <c r="O156" s="9">
        <v>0</v>
      </c>
      <c r="P156" s="9">
        <v>0</v>
      </c>
      <c r="Q156" s="7">
        <v>0</v>
      </c>
      <c r="R156" s="10">
        <v>0</v>
      </c>
      <c r="S156" s="78" t="s">
        <v>402</v>
      </c>
      <c r="T156" s="78" t="s">
        <v>403</v>
      </c>
      <c r="U156" s="24">
        <v>2</v>
      </c>
      <c r="V156" s="24">
        <v>0</v>
      </c>
      <c r="W156" s="12" t="s">
        <v>7</v>
      </c>
      <c r="X156" s="32">
        <v>0</v>
      </c>
      <c r="Y156" s="32">
        <v>0</v>
      </c>
      <c r="Z156" s="12">
        <v>1</v>
      </c>
      <c r="AA156" s="12">
        <v>1</v>
      </c>
      <c r="AB156" s="32">
        <v>0</v>
      </c>
      <c r="AC156" s="32">
        <v>0</v>
      </c>
      <c r="AD156" s="73" t="s">
        <v>403</v>
      </c>
      <c r="AE156" s="73" t="s">
        <v>402</v>
      </c>
      <c r="AK156" s="31"/>
      <c r="AL156" s="33"/>
      <c r="AM156" s="33"/>
    </row>
    <row r="157" spans="1:40" x14ac:dyDescent="0.25">
      <c r="A157" s="100" t="s">
        <v>50</v>
      </c>
      <c r="B157" s="101" t="s">
        <v>507</v>
      </c>
      <c r="C157" s="104" t="s">
        <v>537</v>
      </c>
      <c r="D157" s="14">
        <v>0</v>
      </c>
      <c r="E157" s="29" t="s">
        <v>16</v>
      </c>
      <c r="F157" s="88" t="str">
        <f>HYPERLINK("http://ictvonline.org/taxonomyHistory.asp?taxnode_id=20164117","20164117")</f>
        <v>20164117</v>
      </c>
      <c r="G157" s="93">
        <v>1975</v>
      </c>
      <c r="H157" s="88" t="str">
        <f>HYPERLINK("https://www.ncbi.nlm.nih.gov/pubmed/1124969", "1124969")</f>
        <v>1124969</v>
      </c>
      <c r="I157" s="91" t="s">
        <v>453</v>
      </c>
      <c r="J157" s="15">
        <v>1</v>
      </c>
      <c r="K157" s="7">
        <v>0</v>
      </c>
      <c r="L157" s="8">
        <v>0</v>
      </c>
      <c r="M157" s="7">
        <v>0</v>
      </c>
      <c r="N157" s="7">
        <v>0</v>
      </c>
      <c r="O157" s="9">
        <v>0</v>
      </c>
      <c r="P157" s="9">
        <v>0</v>
      </c>
      <c r="Q157" s="7">
        <v>0</v>
      </c>
      <c r="R157" s="10">
        <v>0</v>
      </c>
      <c r="S157" s="78" t="s">
        <v>384</v>
      </c>
      <c r="T157" s="79"/>
      <c r="U157" s="24">
        <v>2</v>
      </c>
      <c r="V157" s="24">
        <v>0</v>
      </c>
      <c r="W157" s="12" t="s">
        <v>7</v>
      </c>
      <c r="X157" s="32">
        <v>0</v>
      </c>
      <c r="Y157" s="32">
        <v>0</v>
      </c>
      <c r="Z157" s="12">
        <v>1</v>
      </c>
      <c r="AA157" s="32">
        <v>0</v>
      </c>
      <c r="AB157" s="32">
        <v>0</v>
      </c>
      <c r="AC157" s="32">
        <v>0</v>
      </c>
      <c r="AD157" s="73" t="s">
        <v>384</v>
      </c>
      <c r="AE157" s="83"/>
      <c r="AK157" s="31"/>
      <c r="AL157" s="33"/>
      <c r="AM157" s="33"/>
    </row>
    <row r="158" spans="1:40" x14ac:dyDescent="0.25">
      <c r="A158" s="100" t="s">
        <v>58</v>
      </c>
      <c r="B158" s="101" t="s">
        <v>507</v>
      </c>
      <c r="C158" s="104" t="s">
        <v>537</v>
      </c>
      <c r="D158" s="14">
        <v>0</v>
      </c>
      <c r="E158" s="29" t="s">
        <v>16</v>
      </c>
      <c r="F158" s="88" t="str">
        <f>HYPERLINK("http://ictvonline.org/taxonomyHistory.asp?taxnode_id=20164118","20164118")</f>
        <v>20164118</v>
      </c>
      <c r="G158" s="93">
        <v>1976</v>
      </c>
      <c r="H158" s="88" t="str">
        <f>HYPERLINK("https://www.ncbi.nlm.nih.gov/pubmed/973798", "973798")</f>
        <v>973798</v>
      </c>
      <c r="I158" s="91" t="s">
        <v>453</v>
      </c>
      <c r="J158" s="15">
        <v>1</v>
      </c>
      <c r="K158" s="7">
        <v>0</v>
      </c>
      <c r="L158" s="8">
        <v>0</v>
      </c>
      <c r="M158" s="7">
        <v>0</v>
      </c>
      <c r="N158" s="7">
        <v>0</v>
      </c>
      <c r="O158" s="9">
        <v>0</v>
      </c>
      <c r="P158" s="9">
        <v>0</v>
      </c>
      <c r="Q158" s="7">
        <v>0</v>
      </c>
      <c r="R158" s="10">
        <v>0</v>
      </c>
      <c r="S158" s="78" t="s">
        <v>384</v>
      </c>
      <c r="T158" s="79"/>
      <c r="U158" s="24">
        <v>2</v>
      </c>
      <c r="V158" s="24">
        <v>0</v>
      </c>
      <c r="W158" s="12" t="s">
        <v>7</v>
      </c>
      <c r="X158" s="32">
        <v>0</v>
      </c>
      <c r="Y158" s="12">
        <v>1</v>
      </c>
      <c r="Z158" s="12">
        <v>1</v>
      </c>
      <c r="AA158" s="32">
        <v>0</v>
      </c>
      <c r="AB158" s="32">
        <v>0</v>
      </c>
      <c r="AC158" s="32">
        <v>0</v>
      </c>
      <c r="AD158" s="73" t="s">
        <v>384</v>
      </c>
      <c r="AE158" s="83"/>
      <c r="AK158" s="31"/>
      <c r="AL158" s="33"/>
      <c r="AM158" s="33"/>
      <c r="AN158" s="49"/>
    </row>
    <row r="159" spans="1:40" s="49" customFormat="1" x14ac:dyDescent="0.25">
      <c r="A159" s="99" t="s">
        <v>100</v>
      </c>
      <c r="B159" s="104" t="s">
        <v>508</v>
      </c>
      <c r="C159" s="104" t="s">
        <v>537</v>
      </c>
      <c r="D159" s="14">
        <v>0</v>
      </c>
      <c r="E159" s="49" t="s">
        <v>16</v>
      </c>
      <c r="F159" s="88" t="str">
        <f>HYPERLINK("http://ictvonline.org/taxonomyHistory.asp?taxnode_id=20164199","20164199")</f>
        <v>20164199</v>
      </c>
      <c r="G159" s="93">
        <v>1954</v>
      </c>
      <c r="H159" s="88" t="str">
        <f>HYPERLINK("https://www.ncbi.nlm.nih.gov/pubmed/13237336", "13237336")</f>
        <v>13237336</v>
      </c>
      <c r="I159" s="91" t="s">
        <v>453</v>
      </c>
      <c r="J159" s="9">
        <v>0</v>
      </c>
      <c r="K159" s="70" t="s">
        <v>197</v>
      </c>
      <c r="L159" s="44">
        <v>0</v>
      </c>
      <c r="M159" s="44">
        <v>0</v>
      </c>
      <c r="N159" s="44">
        <v>0</v>
      </c>
      <c r="O159" s="44">
        <v>0</v>
      </c>
      <c r="P159" s="42">
        <v>0</v>
      </c>
      <c r="Q159" s="42">
        <v>0</v>
      </c>
      <c r="R159" s="1">
        <v>0</v>
      </c>
      <c r="S159" s="81">
        <v>22905211</v>
      </c>
      <c r="T159" s="79"/>
      <c r="U159" s="21" t="s">
        <v>24</v>
      </c>
      <c r="V159" s="26">
        <v>1</v>
      </c>
      <c r="W159" s="12" t="s">
        <v>7</v>
      </c>
      <c r="X159" s="32">
        <v>0</v>
      </c>
      <c r="Y159" s="12">
        <v>1</v>
      </c>
      <c r="Z159" s="12">
        <v>1</v>
      </c>
      <c r="AA159" s="32">
        <v>0</v>
      </c>
      <c r="AB159" s="32">
        <v>0</v>
      </c>
      <c r="AC159" s="32">
        <v>0</v>
      </c>
      <c r="AD159" s="73" t="s">
        <v>311</v>
      </c>
      <c r="AE159" s="73" t="s">
        <v>312</v>
      </c>
      <c r="AK159" s="31"/>
      <c r="AL159" s="33"/>
      <c r="AM159" s="33"/>
    </row>
    <row r="160" spans="1:40" x14ac:dyDescent="0.25">
      <c r="A160" s="99" t="s">
        <v>99</v>
      </c>
      <c r="B160" s="104" t="s">
        <v>508</v>
      </c>
      <c r="C160" s="104" t="s">
        <v>537</v>
      </c>
      <c r="D160" s="14">
        <v>0</v>
      </c>
      <c r="E160" s="49" t="s">
        <v>16</v>
      </c>
      <c r="F160" s="88" t="str">
        <f>HYPERLINK("http://ictvonline.org/taxonomyHistory.asp?taxnode_id=20164200","20164200")</f>
        <v>20164200</v>
      </c>
      <c r="G160" s="93">
        <v>2007</v>
      </c>
      <c r="H160" s="88" t="str">
        <f>HYPERLINK("https://www.ncbi.nlm.nih.gov/pubmed/17592121", "17592121")</f>
        <v>17592121</v>
      </c>
      <c r="I160" s="91" t="s">
        <v>453</v>
      </c>
      <c r="J160" s="9">
        <v>0</v>
      </c>
      <c r="K160" s="17">
        <v>1</v>
      </c>
      <c r="L160" s="44">
        <v>0</v>
      </c>
      <c r="M160" s="44">
        <v>0</v>
      </c>
      <c r="N160" s="44">
        <v>0</v>
      </c>
      <c r="O160" s="44">
        <v>0</v>
      </c>
      <c r="P160" s="42">
        <v>0</v>
      </c>
      <c r="Q160" s="42">
        <v>0</v>
      </c>
      <c r="R160" s="1">
        <v>0</v>
      </c>
      <c r="S160" s="81">
        <v>22905211</v>
      </c>
      <c r="T160" s="79"/>
      <c r="U160" s="25">
        <v>3</v>
      </c>
      <c r="V160" s="26">
        <v>1</v>
      </c>
      <c r="W160" s="12" t="s">
        <v>7</v>
      </c>
      <c r="X160" s="32">
        <v>0</v>
      </c>
      <c r="Y160" s="32">
        <v>0</v>
      </c>
      <c r="Z160" s="12">
        <v>1</v>
      </c>
      <c r="AA160" s="32">
        <v>0</v>
      </c>
      <c r="AB160" s="32">
        <v>0</v>
      </c>
      <c r="AC160" s="32">
        <v>0</v>
      </c>
      <c r="AD160" s="84" t="s">
        <v>311</v>
      </c>
      <c r="AE160" s="83"/>
      <c r="AK160" s="31"/>
      <c r="AL160" s="33"/>
      <c r="AM160" s="33"/>
    </row>
    <row r="161" spans="1:40" x14ac:dyDescent="0.25">
      <c r="A161" s="100" t="s">
        <v>67</v>
      </c>
      <c r="B161" s="101" t="s">
        <v>509</v>
      </c>
      <c r="C161" s="104" t="s">
        <v>537</v>
      </c>
      <c r="D161" s="14">
        <v>0</v>
      </c>
      <c r="E161" s="29" t="s">
        <v>16</v>
      </c>
      <c r="F161" s="88" t="str">
        <f>HYPERLINK("http://ictvonline.org/taxonomyHistory.asp?taxnode_id=20164133","20164133")</f>
        <v>20164133</v>
      </c>
      <c r="G161" s="93">
        <v>1973</v>
      </c>
      <c r="H161" s="88" t="str">
        <f>HYPERLINK("https://www.ncbi.nlm.nih.gov/pubmed/4127639", "4127639")</f>
        <v>4127639</v>
      </c>
      <c r="I161" s="91" t="s">
        <v>453</v>
      </c>
      <c r="J161" s="7">
        <v>0</v>
      </c>
      <c r="K161" s="7">
        <v>0</v>
      </c>
      <c r="L161" s="17">
        <v>1</v>
      </c>
      <c r="M161" s="7">
        <v>0</v>
      </c>
      <c r="N161" s="7">
        <v>0</v>
      </c>
      <c r="O161" s="9">
        <v>0</v>
      </c>
      <c r="P161" s="9">
        <v>0</v>
      </c>
      <c r="Q161" s="17">
        <v>1</v>
      </c>
      <c r="R161" s="18">
        <v>1</v>
      </c>
      <c r="S161" s="81">
        <v>21575246</v>
      </c>
      <c r="T161" s="81">
        <v>18712810</v>
      </c>
      <c r="U161" s="58" t="s">
        <v>24</v>
      </c>
      <c r="V161" s="26">
        <v>1</v>
      </c>
      <c r="W161" s="52" t="s">
        <v>7</v>
      </c>
      <c r="X161" s="57">
        <v>0</v>
      </c>
      <c r="Y161" s="52">
        <v>1</v>
      </c>
      <c r="Z161" s="52">
        <v>1</v>
      </c>
      <c r="AA161" s="52">
        <v>1</v>
      </c>
      <c r="AB161" s="57">
        <v>0</v>
      </c>
      <c r="AC161" s="57">
        <v>0</v>
      </c>
      <c r="AD161" s="73" t="s">
        <v>345</v>
      </c>
      <c r="AE161" s="73" t="s">
        <v>346</v>
      </c>
      <c r="AK161" s="31"/>
      <c r="AL161" s="33"/>
      <c r="AM161" s="33"/>
    </row>
    <row r="162" spans="1:40" x14ac:dyDescent="0.25">
      <c r="A162" s="100" t="s">
        <v>68</v>
      </c>
      <c r="B162" s="101" t="s">
        <v>509</v>
      </c>
      <c r="C162" s="104" t="s">
        <v>537</v>
      </c>
      <c r="D162" s="14">
        <v>0</v>
      </c>
      <c r="E162" s="29" t="s">
        <v>16</v>
      </c>
      <c r="F162" s="88" t="str">
        <f>HYPERLINK("http://ictvonline.org/taxonomyHistory.asp?taxnode_id=20164134","20164134")</f>
        <v>20164134</v>
      </c>
      <c r="G162" s="93">
        <v>1984</v>
      </c>
      <c r="H162" s="88" t="str">
        <f>HYPERLINK("https://www.ncbi.nlm.nih.gov/pubmed/6144874", "6144874")</f>
        <v>6144874</v>
      </c>
      <c r="I162" s="91" t="s">
        <v>453</v>
      </c>
      <c r="J162" s="7">
        <v>0</v>
      </c>
      <c r="K162" s="7">
        <v>0</v>
      </c>
      <c r="L162" s="17">
        <v>1</v>
      </c>
      <c r="M162" s="7">
        <v>0</v>
      </c>
      <c r="N162" s="7">
        <v>0</v>
      </c>
      <c r="O162" s="9">
        <v>0</v>
      </c>
      <c r="P162" s="9">
        <v>0</v>
      </c>
      <c r="Q162" s="17">
        <v>1</v>
      </c>
      <c r="R162" s="18">
        <v>1</v>
      </c>
      <c r="S162" s="81" t="s">
        <v>347</v>
      </c>
      <c r="T162" s="79"/>
      <c r="U162" s="21" t="s">
        <v>24</v>
      </c>
      <c r="V162" s="26">
        <v>1</v>
      </c>
      <c r="W162" s="12" t="s">
        <v>7</v>
      </c>
      <c r="X162" s="32">
        <v>0</v>
      </c>
      <c r="Y162" s="32">
        <v>0</v>
      </c>
      <c r="Z162" s="12">
        <v>1</v>
      </c>
      <c r="AA162" s="32">
        <v>0</v>
      </c>
      <c r="AB162" s="32">
        <v>0</v>
      </c>
      <c r="AC162" s="32">
        <v>0</v>
      </c>
      <c r="AD162" s="84" t="s">
        <v>347</v>
      </c>
      <c r="AE162" s="73"/>
      <c r="AK162" s="31"/>
      <c r="AL162" s="33"/>
      <c r="AM162" s="33"/>
    </row>
    <row r="163" spans="1:40" x14ac:dyDescent="0.25">
      <c r="A163" s="100" t="s">
        <v>69</v>
      </c>
      <c r="B163" s="101" t="s">
        <v>509</v>
      </c>
      <c r="C163" s="104" t="s">
        <v>537</v>
      </c>
      <c r="D163" s="14">
        <v>0</v>
      </c>
      <c r="E163" s="29" t="s">
        <v>16</v>
      </c>
      <c r="F163" s="88" t="str">
        <f>HYPERLINK("http://ictvonline.org/taxonomyHistory.asp?taxnode_id=20164135","20164135")</f>
        <v>20164135</v>
      </c>
      <c r="G163" s="93">
        <v>1986</v>
      </c>
      <c r="H163" s="88" t="str">
        <f>HYPERLINK("https://www.ncbi.nlm.nih.gov/pubmed/3009541", "3009541")</f>
        <v>3009541</v>
      </c>
      <c r="I163" s="91" t="s">
        <v>453</v>
      </c>
      <c r="J163" s="7">
        <v>0</v>
      </c>
      <c r="K163" s="7">
        <v>0</v>
      </c>
      <c r="L163" s="17">
        <v>1</v>
      </c>
      <c r="M163" s="7">
        <v>0</v>
      </c>
      <c r="N163" s="7">
        <v>0</v>
      </c>
      <c r="O163" s="9">
        <v>0</v>
      </c>
      <c r="P163" s="9">
        <v>0</v>
      </c>
      <c r="Q163" s="17">
        <v>1</v>
      </c>
      <c r="R163" s="18">
        <v>1</v>
      </c>
      <c r="S163" s="81">
        <v>28558823</v>
      </c>
      <c r="T163" s="79"/>
      <c r="U163" s="21" t="s">
        <v>24</v>
      </c>
      <c r="V163" s="26">
        <v>1</v>
      </c>
      <c r="W163" s="12" t="s">
        <v>7</v>
      </c>
      <c r="X163" s="32">
        <v>0</v>
      </c>
      <c r="Y163" s="32">
        <v>0</v>
      </c>
      <c r="Z163" s="12">
        <v>1</v>
      </c>
      <c r="AA163" s="32">
        <v>0</v>
      </c>
      <c r="AB163" s="32">
        <v>0</v>
      </c>
      <c r="AC163" s="32">
        <v>0</v>
      </c>
      <c r="AD163" s="73" t="s">
        <v>345</v>
      </c>
      <c r="AE163" s="73"/>
      <c r="AK163" s="31"/>
      <c r="AL163" s="33"/>
      <c r="AM163" s="33"/>
    </row>
    <row r="164" spans="1:40" x14ac:dyDescent="0.25">
      <c r="A164" s="100" t="s">
        <v>156</v>
      </c>
      <c r="B164" s="101" t="s">
        <v>509</v>
      </c>
      <c r="C164" s="104" t="s">
        <v>537</v>
      </c>
      <c r="D164" s="14">
        <v>0</v>
      </c>
      <c r="E164" s="29" t="s">
        <v>16</v>
      </c>
      <c r="F164" s="88" t="str">
        <f>HYPERLINK("http://ictvonline.org/taxonomyHistory.asp?taxnode_id=20164140","20164140")</f>
        <v>20164140</v>
      </c>
      <c r="G164" s="93">
        <v>1998</v>
      </c>
      <c r="H164" s="88" t="str">
        <f>HYPERLINK("https://www.ncbi.nlm.nih.gov/pubmed/10921117", "10921117")</f>
        <v>10921117</v>
      </c>
      <c r="I164" s="91" t="s">
        <v>453</v>
      </c>
      <c r="J164" s="7">
        <v>0</v>
      </c>
      <c r="K164" s="7">
        <v>0</v>
      </c>
      <c r="L164" s="17">
        <v>1</v>
      </c>
      <c r="M164" s="7">
        <v>0</v>
      </c>
      <c r="N164" s="7">
        <v>0</v>
      </c>
      <c r="O164" s="9">
        <v>0</v>
      </c>
      <c r="P164" s="9">
        <v>0</v>
      </c>
      <c r="Q164" s="64">
        <v>0</v>
      </c>
      <c r="R164" s="68">
        <v>1</v>
      </c>
      <c r="S164" s="78" t="s">
        <v>417</v>
      </c>
      <c r="T164" s="80"/>
      <c r="U164" s="66">
        <v>3</v>
      </c>
      <c r="V164" s="26">
        <v>1</v>
      </c>
      <c r="W164" s="12" t="s">
        <v>7</v>
      </c>
      <c r="X164" s="32">
        <v>0</v>
      </c>
      <c r="Y164" s="32">
        <v>0</v>
      </c>
      <c r="Z164" s="12">
        <v>1</v>
      </c>
      <c r="AA164" s="32">
        <v>0</v>
      </c>
      <c r="AB164" s="32">
        <v>0</v>
      </c>
      <c r="AC164" s="32">
        <v>0</v>
      </c>
      <c r="AD164" s="73" t="s">
        <v>417</v>
      </c>
      <c r="AE164" s="83"/>
      <c r="AK164" s="31"/>
      <c r="AL164" s="33"/>
      <c r="AM164" s="33"/>
    </row>
    <row r="165" spans="1:40" x14ac:dyDescent="0.25">
      <c r="A165" s="100" t="s">
        <v>15</v>
      </c>
      <c r="B165" s="101" t="s">
        <v>510</v>
      </c>
      <c r="C165" s="104" t="s">
        <v>537</v>
      </c>
      <c r="D165" s="14">
        <v>0</v>
      </c>
      <c r="E165" s="29" t="s">
        <v>16</v>
      </c>
      <c r="F165" s="88" t="str">
        <f>HYPERLINK("http://ictvonline.org/taxonomyHistory.asp?taxnode_id=20164142","20164142")</f>
        <v>20164142</v>
      </c>
      <c r="G165" s="93">
        <v>1990</v>
      </c>
      <c r="H165" s="88" t="str">
        <f>HYPERLINK("https://www.cabdirect.org/cabdirect/abstract/19902071002", "Available from external site")</f>
        <v>Available from external site</v>
      </c>
      <c r="I165" s="91" t="s">
        <v>453</v>
      </c>
      <c r="J165" s="15">
        <v>1</v>
      </c>
      <c r="K165" s="7">
        <v>0</v>
      </c>
      <c r="L165" s="8">
        <v>0</v>
      </c>
      <c r="M165" s="7">
        <v>0</v>
      </c>
      <c r="N165" s="7">
        <v>0</v>
      </c>
      <c r="O165" s="9">
        <v>0</v>
      </c>
      <c r="P165" s="9">
        <v>0</v>
      </c>
      <c r="Q165" s="7">
        <v>0</v>
      </c>
      <c r="R165" s="10">
        <v>0</v>
      </c>
      <c r="S165" s="78">
        <v>18680655</v>
      </c>
      <c r="T165" s="79"/>
      <c r="U165" s="24">
        <v>2</v>
      </c>
      <c r="V165" s="24">
        <v>0</v>
      </c>
      <c r="W165" s="12" t="s">
        <v>7</v>
      </c>
      <c r="X165" s="32">
        <v>0</v>
      </c>
      <c r="Y165" s="32">
        <v>0</v>
      </c>
      <c r="Z165" s="12">
        <v>1</v>
      </c>
      <c r="AA165" s="32">
        <v>0</v>
      </c>
      <c r="AB165" s="32">
        <v>0</v>
      </c>
      <c r="AC165" s="32">
        <v>0</v>
      </c>
      <c r="AD165" s="73">
        <v>18680655</v>
      </c>
      <c r="AE165" s="83"/>
      <c r="AK165" s="31"/>
      <c r="AL165" s="33"/>
      <c r="AM165" s="33"/>
      <c r="AN165" s="33"/>
    </row>
    <row r="166" spans="1:40" x14ac:dyDescent="0.25">
      <c r="A166" s="100" t="s">
        <v>61</v>
      </c>
      <c r="B166" s="101" t="s">
        <v>511</v>
      </c>
      <c r="C166" s="104" t="s">
        <v>538</v>
      </c>
      <c r="D166" s="13">
        <v>1</v>
      </c>
      <c r="E166" s="29" t="s">
        <v>38</v>
      </c>
      <c r="F166" s="88" t="str">
        <f>HYPERLINK("http://ictvonline.org/taxonomyHistory.asp?taxnode_id=20164226","20164226")</f>
        <v>20164226</v>
      </c>
      <c r="G166" s="93">
        <v>1980</v>
      </c>
      <c r="H166" s="88" t="str">
        <f>HYPERLINK("https://www.ncbi.nlm.nih.gov/pubmed/6261256", "6261256")</f>
        <v>6261256</v>
      </c>
      <c r="I166" s="91" t="s">
        <v>453</v>
      </c>
      <c r="J166" s="7">
        <v>0</v>
      </c>
      <c r="K166" s="7">
        <v>0</v>
      </c>
      <c r="L166" s="8">
        <v>0</v>
      </c>
      <c r="M166" s="17">
        <v>1</v>
      </c>
      <c r="N166" s="7">
        <v>0</v>
      </c>
      <c r="O166" s="9">
        <v>0</v>
      </c>
      <c r="P166" s="9">
        <v>0</v>
      </c>
      <c r="Q166" s="17">
        <v>1</v>
      </c>
      <c r="R166" s="18">
        <v>1</v>
      </c>
      <c r="S166" s="85">
        <v>15911757</v>
      </c>
      <c r="T166" s="79"/>
      <c r="U166" s="26" t="s">
        <v>24</v>
      </c>
      <c r="V166" s="26">
        <v>1</v>
      </c>
      <c r="W166" s="32" t="s">
        <v>150</v>
      </c>
      <c r="X166" s="32">
        <v>0</v>
      </c>
      <c r="Y166" s="12">
        <v>1</v>
      </c>
      <c r="Z166" s="32">
        <v>0</v>
      </c>
      <c r="AA166" s="32">
        <v>0</v>
      </c>
      <c r="AB166" s="32">
        <v>0</v>
      </c>
      <c r="AC166" s="32">
        <v>0</v>
      </c>
      <c r="AD166" s="73" t="s">
        <v>334</v>
      </c>
      <c r="AE166" s="83"/>
      <c r="AK166" s="31"/>
      <c r="AL166" s="33"/>
      <c r="AM166" s="33"/>
    </row>
    <row r="167" spans="1:40" x14ac:dyDescent="0.25">
      <c r="A167" s="100" t="s">
        <v>62</v>
      </c>
      <c r="B167" s="101" t="s">
        <v>511</v>
      </c>
      <c r="C167" s="104" t="s">
        <v>538</v>
      </c>
      <c r="D167" s="13">
        <v>1</v>
      </c>
      <c r="E167" s="29" t="s">
        <v>38</v>
      </c>
      <c r="F167" s="88" t="str">
        <f>HYPERLINK("http://ictvonline.org/taxonomyHistory.asp?taxnode_id=20164227","20164227")</f>
        <v>20164227</v>
      </c>
      <c r="G167" s="93">
        <v>1982</v>
      </c>
      <c r="H167" s="88" t="str">
        <f>HYPERLINK("https://www.ncbi.nlm.nih.gov/pubmed/6981847", "6981847")</f>
        <v>6981847</v>
      </c>
      <c r="I167" s="91" t="s">
        <v>453</v>
      </c>
      <c r="J167" s="7">
        <v>0</v>
      </c>
      <c r="K167" s="7">
        <v>0</v>
      </c>
      <c r="L167" s="8">
        <v>0</v>
      </c>
      <c r="M167" s="17">
        <v>1</v>
      </c>
      <c r="N167" s="7">
        <v>0</v>
      </c>
      <c r="O167" s="9">
        <v>0</v>
      </c>
      <c r="P167" s="9">
        <v>0</v>
      </c>
      <c r="Q167" s="17">
        <v>1</v>
      </c>
      <c r="R167" s="18">
        <v>1</v>
      </c>
      <c r="S167" s="85">
        <v>15911757</v>
      </c>
      <c r="T167" s="79"/>
      <c r="U167" s="26" t="s">
        <v>24</v>
      </c>
      <c r="V167" s="26">
        <v>1</v>
      </c>
      <c r="W167" s="32" t="s">
        <v>150</v>
      </c>
      <c r="X167" s="32">
        <v>0</v>
      </c>
      <c r="Y167" s="12">
        <v>1</v>
      </c>
      <c r="Z167" s="32">
        <v>0</v>
      </c>
      <c r="AA167" s="32">
        <v>0</v>
      </c>
      <c r="AB167" s="32">
        <v>0</v>
      </c>
      <c r="AC167" s="32">
        <v>0</v>
      </c>
      <c r="AD167" s="73" t="s">
        <v>334</v>
      </c>
      <c r="AE167" s="83"/>
      <c r="AK167" s="31"/>
      <c r="AL167" s="33"/>
      <c r="AM167" s="33"/>
      <c r="AN167" s="49"/>
    </row>
    <row r="168" spans="1:40" x14ac:dyDescent="0.25">
      <c r="A168" s="100" t="s">
        <v>63</v>
      </c>
      <c r="B168" s="101" t="s">
        <v>511</v>
      </c>
      <c r="C168" s="104" t="s">
        <v>538</v>
      </c>
      <c r="D168" s="13">
        <v>1</v>
      </c>
      <c r="E168" s="29" t="s">
        <v>38</v>
      </c>
      <c r="F168" s="88" t="str">
        <f>HYPERLINK("http://ictvonline.org/taxonomyHistory.asp?taxnode_id=20164228","20164228")</f>
        <v>20164228</v>
      </c>
      <c r="G168" s="93">
        <v>2005</v>
      </c>
      <c r="H168" s="88" t="str">
        <f>HYPERLINK("https://www.ncbi.nlm.nih.gov/pubmed/15882466", "15882466")</f>
        <v>15882466</v>
      </c>
      <c r="I168" s="91" t="s">
        <v>453</v>
      </c>
      <c r="J168" s="7">
        <v>0</v>
      </c>
      <c r="K168" s="7">
        <v>0</v>
      </c>
      <c r="L168" s="8">
        <v>0</v>
      </c>
      <c r="M168" s="17">
        <v>1</v>
      </c>
      <c r="N168" s="7">
        <v>0</v>
      </c>
      <c r="O168" s="9">
        <v>0</v>
      </c>
      <c r="P168" s="9">
        <v>0</v>
      </c>
      <c r="Q168" s="17">
        <v>1</v>
      </c>
      <c r="R168" s="18">
        <v>1</v>
      </c>
      <c r="S168" s="85">
        <v>15911757</v>
      </c>
      <c r="T168" s="79"/>
      <c r="U168" s="26" t="s">
        <v>24</v>
      </c>
      <c r="V168" s="26">
        <v>1</v>
      </c>
      <c r="W168" s="32" t="s">
        <v>150</v>
      </c>
      <c r="X168" s="32">
        <v>0</v>
      </c>
      <c r="Y168" s="12">
        <v>1</v>
      </c>
      <c r="Z168" s="32">
        <v>0</v>
      </c>
      <c r="AA168" s="32">
        <v>0</v>
      </c>
      <c r="AB168" s="32">
        <v>0</v>
      </c>
      <c r="AC168" s="32">
        <v>0</v>
      </c>
      <c r="AD168" s="73" t="s">
        <v>334</v>
      </c>
      <c r="AE168" s="83"/>
      <c r="AK168" s="31"/>
      <c r="AL168" s="33"/>
      <c r="AM168" s="33"/>
      <c r="AN168" s="49"/>
    </row>
    <row r="169" spans="1:40" x14ac:dyDescent="0.25">
      <c r="A169" s="100" t="s">
        <v>37</v>
      </c>
      <c r="B169" s="101" t="s">
        <v>512</v>
      </c>
      <c r="C169" s="104" t="s">
        <v>538</v>
      </c>
      <c r="D169" s="13">
        <v>1</v>
      </c>
      <c r="E169" s="29" t="s">
        <v>38</v>
      </c>
      <c r="F169" s="88" t="str">
        <f>HYPERLINK("http://ictvonline.org/taxonomyHistory.asp?taxnode_id=20164256","20164256")</f>
        <v>20164256</v>
      </c>
      <c r="G169" s="93">
        <v>1983</v>
      </c>
      <c r="H169" s="88" t="str">
        <f>HYPERLINK("https://www.ncbi.nlm.nih.gov/pubmed/6189183", "6189183")</f>
        <v>6189183</v>
      </c>
      <c r="I169" s="91" t="s">
        <v>453</v>
      </c>
      <c r="J169" s="7">
        <v>0</v>
      </c>
      <c r="K169" s="7">
        <v>0</v>
      </c>
      <c r="L169" s="8">
        <v>0</v>
      </c>
      <c r="M169" s="17">
        <v>1</v>
      </c>
      <c r="N169" s="17">
        <v>1</v>
      </c>
      <c r="O169" s="9">
        <v>0</v>
      </c>
      <c r="P169" s="17">
        <v>1</v>
      </c>
      <c r="Q169" s="17">
        <v>1</v>
      </c>
      <c r="R169" s="18">
        <v>1</v>
      </c>
      <c r="S169" s="81" t="s">
        <v>404</v>
      </c>
      <c r="T169" s="79"/>
      <c r="U169" s="27" t="s">
        <v>8</v>
      </c>
      <c r="V169" s="26">
        <v>1</v>
      </c>
      <c r="W169" s="32" t="s">
        <v>150</v>
      </c>
      <c r="X169" s="12">
        <v>1</v>
      </c>
      <c r="Y169" s="32">
        <v>0</v>
      </c>
      <c r="Z169" s="32">
        <v>0</v>
      </c>
      <c r="AA169" s="32">
        <v>0</v>
      </c>
      <c r="AB169" s="32">
        <v>0</v>
      </c>
      <c r="AC169" s="32">
        <v>0</v>
      </c>
      <c r="AD169" s="73" t="s">
        <v>285</v>
      </c>
      <c r="AE169" s="83"/>
      <c r="AK169" s="31"/>
      <c r="AL169" s="33"/>
      <c r="AM169" s="33"/>
    </row>
    <row r="170" spans="1:40" x14ac:dyDescent="0.25">
      <c r="A170" s="100" t="s">
        <v>39</v>
      </c>
      <c r="B170" s="101" t="s">
        <v>512</v>
      </c>
      <c r="C170" s="104" t="s">
        <v>538</v>
      </c>
      <c r="D170" s="13">
        <v>1</v>
      </c>
      <c r="E170" s="29" t="s">
        <v>38</v>
      </c>
      <c r="F170" s="88" t="str">
        <f>HYPERLINK("http://ictvonline.org/taxonomyHistory.asp?taxnode_id=20164257","20164257")</f>
        <v>20164257</v>
      </c>
      <c r="G170" s="93">
        <v>1986</v>
      </c>
      <c r="H170" s="88" t="str">
        <f>HYPERLINK("https://www.ncbi.nlm.nih.gov/pubmed/3006256", "3006256")</f>
        <v>3006256</v>
      </c>
      <c r="I170" s="91" t="s">
        <v>453</v>
      </c>
      <c r="J170" s="7">
        <v>0</v>
      </c>
      <c r="K170" s="7">
        <v>0</v>
      </c>
      <c r="L170" s="8">
        <v>0</v>
      </c>
      <c r="M170" s="17">
        <v>1</v>
      </c>
      <c r="N170" s="17">
        <v>1</v>
      </c>
      <c r="O170" s="9">
        <v>0</v>
      </c>
      <c r="P170" s="17">
        <v>1</v>
      </c>
      <c r="Q170" s="17">
        <v>1</v>
      </c>
      <c r="R170" s="18">
        <v>1</v>
      </c>
      <c r="S170" s="78" t="s">
        <v>405</v>
      </c>
      <c r="T170" s="79"/>
      <c r="U170" s="27" t="s">
        <v>8</v>
      </c>
      <c r="V170" s="26">
        <v>1</v>
      </c>
      <c r="W170" s="32" t="s">
        <v>150</v>
      </c>
      <c r="X170" s="12">
        <v>1</v>
      </c>
      <c r="Y170" s="32">
        <v>0</v>
      </c>
      <c r="Z170" s="32">
        <v>0</v>
      </c>
      <c r="AA170" s="32">
        <v>0</v>
      </c>
      <c r="AB170" s="32">
        <v>0</v>
      </c>
      <c r="AC170" s="32">
        <v>0</v>
      </c>
      <c r="AD170" s="73" t="s">
        <v>285</v>
      </c>
      <c r="AE170" s="83"/>
      <c r="AK170" s="31"/>
      <c r="AL170" s="33"/>
      <c r="AM170" s="33"/>
    </row>
    <row r="171" spans="1:40" x14ac:dyDescent="0.25">
      <c r="A171" s="102" t="s">
        <v>111</v>
      </c>
      <c r="B171" s="107" t="s">
        <v>512</v>
      </c>
      <c r="C171" s="104" t="s">
        <v>538</v>
      </c>
      <c r="D171" s="13">
        <v>1</v>
      </c>
      <c r="E171" s="29" t="s">
        <v>38</v>
      </c>
      <c r="F171" s="88" t="str">
        <f>HYPERLINK("http://ictvonline.org/taxonomyHistory.asp?taxnode_id=20164259","20164259")</f>
        <v>20164259</v>
      </c>
      <c r="G171" s="93">
        <v>1992</v>
      </c>
      <c r="H171" s="88" t="str">
        <f>HYPERLINK("https://www.ncbi.nlm.nih.gov/pubmed/1353193", "1353193")</f>
        <v>1353193</v>
      </c>
      <c r="I171" s="91" t="s">
        <v>453</v>
      </c>
      <c r="J171" s="7">
        <v>0</v>
      </c>
      <c r="K171" s="7">
        <v>0</v>
      </c>
      <c r="L171" s="7">
        <v>0</v>
      </c>
      <c r="M171" s="7">
        <v>0</v>
      </c>
      <c r="N171" s="15">
        <v>1</v>
      </c>
      <c r="O171" s="9">
        <v>0</v>
      </c>
      <c r="P171" s="17">
        <v>1</v>
      </c>
      <c r="Q171" s="9">
        <v>0</v>
      </c>
      <c r="R171" s="18">
        <v>1</v>
      </c>
      <c r="S171" s="81">
        <v>22673358</v>
      </c>
      <c r="T171" s="79"/>
      <c r="U171" s="47">
        <v>2</v>
      </c>
      <c r="V171" s="24">
        <v>0</v>
      </c>
      <c r="W171" s="32" t="s">
        <v>150</v>
      </c>
      <c r="X171" s="41">
        <v>0</v>
      </c>
      <c r="Y171" s="46">
        <v>1</v>
      </c>
      <c r="Z171" s="32">
        <v>0</v>
      </c>
      <c r="AA171" s="32">
        <v>0</v>
      </c>
      <c r="AB171" s="32">
        <v>0</v>
      </c>
      <c r="AC171" s="32">
        <v>0</v>
      </c>
      <c r="AD171" s="73" t="s">
        <v>285</v>
      </c>
      <c r="AE171" s="83"/>
      <c r="AK171" s="29"/>
      <c r="AL171" s="33"/>
      <c r="AM171" s="33"/>
      <c r="AN171" s="49"/>
    </row>
    <row r="172" spans="1:40" x14ac:dyDescent="0.25">
      <c r="A172" s="99" t="s">
        <v>94</v>
      </c>
      <c r="B172" s="104" t="s">
        <v>513</v>
      </c>
      <c r="C172" s="104" t="s">
        <v>538</v>
      </c>
      <c r="D172" s="13">
        <v>1</v>
      </c>
      <c r="E172" s="49" t="s">
        <v>38</v>
      </c>
      <c r="F172" s="88" t="str">
        <f>HYPERLINK("http://ictvonline.org/taxonomyHistory.asp?taxnode_id=20164263","20164263")</f>
        <v>20164263</v>
      </c>
      <c r="G172" s="93">
        <v>1997</v>
      </c>
      <c r="H172" s="88" t="str">
        <f>HYPERLINK("https://www.ncbi.nlm.nih.gov/pubmed/9151878", "9151878")</f>
        <v>9151878</v>
      </c>
      <c r="I172" s="91" t="s">
        <v>453</v>
      </c>
      <c r="J172" s="7">
        <v>0</v>
      </c>
      <c r="K172" s="7">
        <v>0</v>
      </c>
      <c r="L172" s="8">
        <v>0</v>
      </c>
      <c r="M172" s="7">
        <v>0</v>
      </c>
      <c r="N172" s="7">
        <v>0</v>
      </c>
      <c r="O172" s="9">
        <v>0</v>
      </c>
      <c r="P172" s="19">
        <v>1</v>
      </c>
      <c r="Q172" s="7">
        <v>0</v>
      </c>
      <c r="R172" s="18">
        <v>1</v>
      </c>
      <c r="S172" s="78" t="s">
        <v>427</v>
      </c>
      <c r="T172" s="79"/>
      <c r="U172" s="24">
        <v>2</v>
      </c>
      <c r="V172" s="24">
        <v>0</v>
      </c>
      <c r="W172" s="32" t="s">
        <v>150</v>
      </c>
      <c r="X172" s="32">
        <v>0</v>
      </c>
      <c r="Y172" s="12">
        <v>1</v>
      </c>
      <c r="Z172" s="32">
        <v>0</v>
      </c>
      <c r="AA172" s="32">
        <v>0</v>
      </c>
      <c r="AB172" s="32">
        <v>0</v>
      </c>
      <c r="AC172" s="32">
        <v>0</v>
      </c>
      <c r="AD172" s="73" t="s">
        <v>427</v>
      </c>
      <c r="AE172" s="83"/>
      <c r="AK172" s="31"/>
      <c r="AL172" s="33"/>
      <c r="AM172" s="33"/>
    </row>
    <row r="173" spans="1:40" x14ac:dyDescent="0.25">
      <c r="A173" s="99" t="s">
        <v>93</v>
      </c>
      <c r="B173" s="104" t="s">
        <v>513</v>
      </c>
      <c r="C173" s="104" t="s">
        <v>538</v>
      </c>
      <c r="D173" s="13">
        <v>1</v>
      </c>
      <c r="E173" s="49" t="s">
        <v>38</v>
      </c>
      <c r="F173" s="88" t="str">
        <f>HYPERLINK("http://ictvonline.org/taxonomyHistory.asp?taxnode_id=20164267","20164267")</f>
        <v>20164267</v>
      </c>
      <c r="G173" s="93">
        <v>2002</v>
      </c>
      <c r="H173" s="88" t="str">
        <f>HYPERLINK("https://www.ncbi.nlm.nih.gov/pubmed/12241782", "12241782")</f>
        <v>12241782</v>
      </c>
      <c r="I173" s="91" t="s">
        <v>453</v>
      </c>
      <c r="J173" s="7">
        <v>0</v>
      </c>
      <c r="K173" s="7">
        <v>0</v>
      </c>
      <c r="L173" s="8">
        <v>0</v>
      </c>
      <c r="M173" s="7">
        <v>0</v>
      </c>
      <c r="N173" s="7">
        <v>0</v>
      </c>
      <c r="O173" s="9">
        <v>0</v>
      </c>
      <c r="P173" s="19">
        <v>1</v>
      </c>
      <c r="Q173" s="7">
        <v>0</v>
      </c>
      <c r="R173" s="18">
        <v>1</v>
      </c>
      <c r="S173" s="78" t="s">
        <v>447</v>
      </c>
      <c r="T173" s="79"/>
      <c r="U173" s="24">
        <v>2</v>
      </c>
      <c r="V173" s="24">
        <v>0</v>
      </c>
      <c r="W173" s="32" t="s">
        <v>150</v>
      </c>
      <c r="X173" s="32">
        <v>0</v>
      </c>
      <c r="Y173" s="12">
        <v>1</v>
      </c>
      <c r="Z173" s="32">
        <v>0</v>
      </c>
      <c r="AA173" s="32">
        <v>0</v>
      </c>
      <c r="AB173" s="32">
        <v>0</v>
      </c>
      <c r="AC173" s="32">
        <v>0</v>
      </c>
      <c r="AD173" s="73" t="s">
        <v>447</v>
      </c>
      <c r="AE173" s="83"/>
      <c r="AK173" s="31"/>
      <c r="AL173" s="33"/>
      <c r="AM173" s="33"/>
    </row>
    <row r="174" spans="1:40" x14ac:dyDescent="0.25">
      <c r="A174" s="100" t="s">
        <v>73</v>
      </c>
      <c r="B174" s="101" t="s">
        <v>513</v>
      </c>
      <c r="C174" s="104" t="s">
        <v>538</v>
      </c>
      <c r="D174" s="13">
        <v>1</v>
      </c>
      <c r="E174" s="29" t="s">
        <v>38</v>
      </c>
      <c r="F174" s="88" t="str">
        <f>HYPERLINK("http://ictvonline.org/taxonomyHistory.asp?taxnode_id=20164268","20164268")</f>
        <v>20164268</v>
      </c>
      <c r="G174" s="94">
        <v>1971</v>
      </c>
      <c r="H174" s="88" t="str">
        <f>HYPERLINK("https://www.ncbi.nlm.nih.gov/pubmed/4998605", "4998605")</f>
        <v>4998605</v>
      </c>
      <c r="I174" s="91" t="s">
        <v>453</v>
      </c>
      <c r="J174" s="7">
        <v>0</v>
      </c>
      <c r="K174" s="7">
        <v>0</v>
      </c>
      <c r="L174" s="8">
        <v>0</v>
      </c>
      <c r="M174" s="7">
        <v>0</v>
      </c>
      <c r="N174" s="7">
        <v>0</v>
      </c>
      <c r="O174" s="9">
        <v>0</v>
      </c>
      <c r="P174" s="19">
        <v>1</v>
      </c>
      <c r="Q174" s="7">
        <v>0</v>
      </c>
      <c r="R174" s="18">
        <v>1</v>
      </c>
      <c r="S174" s="81">
        <v>16608518</v>
      </c>
      <c r="T174" s="79"/>
      <c r="U174" s="11">
        <v>2</v>
      </c>
      <c r="V174" s="24">
        <v>0</v>
      </c>
      <c r="W174" s="32" t="s">
        <v>150</v>
      </c>
      <c r="X174" s="32">
        <v>0</v>
      </c>
      <c r="Y174" s="12">
        <v>1</v>
      </c>
      <c r="Z174" s="32">
        <v>0</v>
      </c>
      <c r="AA174" s="32">
        <v>0</v>
      </c>
      <c r="AB174" s="32">
        <v>0</v>
      </c>
      <c r="AC174" s="32">
        <v>0</v>
      </c>
      <c r="AD174" s="73" t="s">
        <v>354</v>
      </c>
      <c r="AE174" s="83"/>
      <c r="AK174" s="31"/>
      <c r="AL174" s="33"/>
      <c r="AM174" s="33"/>
    </row>
    <row r="175" spans="1:40" x14ac:dyDescent="0.25">
      <c r="A175" s="100" t="s">
        <v>14</v>
      </c>
      <c r="B175" s="101" t="s">
        <v>514</v>
      </c>
      <c r="C175" s="104" t="s">
        <v>539</v>
      </c>
      <c r="D175" s="13">
        <v>1</v>
      </c>
      <c r="E175" s="29" t="s">
        <v>10</v>
      </c>
      <c r="F175" s="88" t="str">
        <f>HYPERLINK("http://ictvonline.org/taxonomyHistory.asp?taxnode_id=20161095","20161095")</f>
        <v>20161095</v>
      </c>
      <c r="G175" s="93">
        <v>1998</v>
      </c>
      <c r="H175" s="88" t="str">
        <f>HYPERLINK("https://www.ncbi.nlm.nih.gov/pubmed/9775399", "9775399")</f>
        <v>9775399</v>
      </c>
      <c r="I175" s="91" t="s">
        <v>453</v>
      </c>
      <c r="J175" s="7">
        <v>0</v>
      </c>
      <c r="K175" s="7">
        <v>0</v>
      </c>
      <c r="L175" s="8">
        <v>0</v>
      </c>
      <c r="M175" s="7">
        <v>0</v>
      </c>
      <c r="N175" s="7">
        <v>0</v>
      </c>
      <c r="O175" s="9">
        <v>0</v>
      </c>
      <c r="P175" s="15">
        <v>1</v>
      </c>
      <c r="Q175" s="7">
        <v>0</v>
      </c>
      <c r="R175" s="16">
        <v>1</v>
      </c>
      <c r="S175" s="78" t="s">
        <v>428</v>
      </c>
      <c r="T175" s="79"/>
      <c r="U175" s="24">
        <v>2</v>
      </c>
      <c r="V175" s="24">
        <v>0</v>
      </c>
      <c r="W175" s="12" t="s">
        <v>7</v>
      </c>
      <c r="X175" s="32">
        <v>0</v>
      </c>
      <c r="Y175" s="32">
        <v>0</v>
      </c>
      <c r="Z175" s="12">
        <v>1</v>
      </c>
      <c r="AA175" s="32">
        <v>0</v>
      </c>
      <c r="AB175" s="32">
        <v>0</v>
      </c>
      <c r="AC175" s="32">
        <v>0</v>
      </c>
      <c r="AD175" s="73" t="s">
        <v>428</v>
      </c>
      <c r="AE175" s="83"/>
      <c r="AK175" s="31"/>
      <c r="AL175" s="33"/>
      <c r="AM175" s="33"/>
    </row>
    <row r="176" spans="1:40" x14ac:dyDescent="0.25">
      <c r="A176" s="100" t="s">
        <v>166</v>
      </c>
      <c r="B176" s="101" t="s">
        <v>514</v>
      </c>
      <c r="C176" s="104" t="s">
        <v>539</v>
      </c>
      <c r="D176" s="13">
        <v>1</v>
      </c>
      <c r="E176" s="29" t="s">
        <v>10</v>
      </c>
      <c r="F176" s="88" t="str">
        <f>HYPERLINK("http://ictvonline.org/taxonomyHistory.asp?taxnode_id=20161097","20161097")</f>
        <v>20161097</v>
      </c>
      <c r="G176" s="93">
        <v>1971</v>
      </c>
      <c r="H176" s="88" t="str">
        <f>HYPERLINK("https://www.ncbi.nlm.nih.gov/pubmed/5106834", "5106834")</f>
        <v>5106834</v>
      </c>
      <c r="I176" s="91" t="s">
        <v>453</v>
      </c>
      <c r="J176" s="7">
        <v>0</v>
      </c>
      <c r="K176" s="7">
        <v>0</v>
      </c>
      <c r="L176" s="8">
        <v>0</v>
      </c>
      <c r="M176" s="7">
        <v>0</v>
      </c>
      <c r="N176" s="7">
        <v>0</v>
      </c>
      <c r="O176" s="9">
        <v>0</v>
      </c>
      <c r="P176" s="17">
        <v>1</v>
      </c>
      <c r="Q176" s="7">
        <v>0</v>
      </c>
      <c r="R176" s="18">
        <v>1</v>
      </c>
      <c r="S176" s="81" t="s">
        <v>439</v>
      </c>
      <c r="T176" s="79"/>
      <c r="U176" s="24">
        <v>2</v>
      </c>
      <c r="V176" s="24">
        <v>0</v>
      </c>
      <c r="W176" s="12" t="s">
        <v>7</v>
      </c>
      <c r="X176" s="32">
        <v>0</v>
      </c>
      <c r="Y176" s="32">
        <v>0</v>
      </c>
      <c r="Z176" s="12">
        <v>1</v>
      </c>
      <c r="AA176" s="32">
        <v>0</v>
      </c>
      <c r="AB176" s="32">
        <v>0</v>
      </c>
      <c r="AC176" s="32">
        <v>0</v>
      </c>
      <c r="AD176" s="84" t="s">
        <v>439</v>
      </c>
      <c r="AE176" s="83"/>
      <c r="AK176" s="31"/>
      <c r="AL176" s="33"/>
      <c r="AM176" s="33"/>
    </row>
    <row r="177" spans="1:40" x14ac:dyDescent="0.25">
      <c r="A177" s="101" t="s">
        <v>194</v>
      </c>
      <c r="B177" s="101" t="s">
        <v>514</v>
      </c>
      <c r="C177" s="104" t="s">
        <v>539</v>
      </c>
      <c r="D177" s="13">
        <v>1</v>
      </c>
      <c r="E177" s="29" t="s">
        <v>10</v>
      </c>
      <c r="F177" s="88" t="str">
        <f>HYPERLINK("http://ictvonline.org/taxonomyHistory.asp?taxnode_id=20161098","20161098")</f>
        <v>20161098</v>
      </c>
      <c r="G177" s="93">
        <v>1989</v>
      </c>
      <c r="H177" s="88" t="str">
        <f>HYPERLINK("https://www.ncbi.nlm.nih.gov/pubmed/2576595", "2576595")</f>
        <v>2576595</v>
      </c>
      <c r="I177" s="91" t="s">
        <v>453</v>
      </c>
      <c r="J177" s="7">
        <v>0</v>
      </c>
      <c r="K177" s="7">
        <v>0</v>
      </c>
      <c r="L177" s="8">
        <v>0</v>
      </c>
      <c r="M177" s="7">
        <v>0</v>
      </c>
      <c r="N177" s="7">
        <v>0</v>
      </c>
      <c r="O177" s="9">
        <v>0</v>
      </c>
      <c r="P177" s="17">
        <v>1</v>
      </c>
      <c r="Q177" s="7">
        <v>0</v>
      </c>
      <c r="R177" s="18">
        <v>1</v>
      </c>
      <c r="S177" s="78" t="s">
        <v>440</v>
      </c>
      <c r="T177" s="79"/>
      <c r="U177" s="24">
        <v>2</v>
      </c>
      <c r="V177" s="24">
        <v>0</v>
      </c>
      <c r="W177" s="12" t="s">
        <v>7</v>
      </c>
      <c r="X177" s="32">
        <v>0</v>
      </c>
      <c r="Y177" s="32">
        <v>0</v>
      </c>
      <c r="Z177" s="12">
        <v>1</v>
      </c>
      <c r="AA177" s="32">
        <v>0</v>
      </c>
      <c r="AB177" s="32">
        <v>0</v>
      </c>
      <c r="AC177" s="32">
        <v>0</v>
      </c>
      <c r="AD177" s="73" t="s">
        <v>248</v>
      </c>
      <c r="AE177" s="84">
        <v>25192547</v>
      </c>
      <c r="AK177" s="31"/>
      <c r="AL177" s="33"/>
      <c r="AM177" s="33"/>
    </row>
    <row r="178" spans="1:40" x14ac:dyDescent="0.25">
      <c r="A178" s="100" t="s">
        <v>167</v>
      </c>
      <c r="B178" s="101" t="s">
        <v>514</v>
      </c>
      <c r="C178" s="104" t="s">
        <v>539</v>
      </c>
      <c r="D178" s="13">
        <v>1</v>
      </c>
      <c r="E178" s="29" t="s">
        <v>10</v>
      </c>
      <c r="F178" s="88" t="str">
        <f>HYPERLINK("http://ictvonline.org/taxonomyHistory.asp?taxnode_id=20161099","20161099")</f>
        <v>20161099</v>
      </c>
      <c r="G178" s="93">
        <v>1986</v>
      </c>
      <c r="H178" s="88" t="str">
        <f>HYPERLINK("https://www.ncbi.nlm.nih.gov/pubmed/2868310", "2868310")</f>
        <v>2868310</v>
      </c>
      <c r="I178" s="91" t="s">
        <v>453</v>
      </c>
      <c r="J178" s="7">
        <v>0</v>
      </c>
      <c r="K178" s="7">
        <v>0</v>
      </c>
      <c r="L178" s="8">
        <v>0</v>
      </c>
      <c r="M178" s="7">
        <v>0</v>
      </c>
      <c r="N178" s="7">
        <v>0</v>
      </c>
      <c r="O178" s="9">
        <v>0</v>
      </c>
      <c r="P178" s="17">
        <v>1</v>
      </c>
      <c r="Q178" s="7">
        <v>0</v>
      </c>
      <c r="R178" s="18">
        <v>1</v>
      </c>
      <c r="S178" s="78" t="s">
        <v>440</v>
      </c>
      <c r="T178" s="79"/>
      <c r="U178" s="24">
        <v>2</v>
      </c>
      <c r="V178" s="24">
        <v>0</v>
      </c>
      <c r="W178" s="12" t="s">
        <v>7</v>
      </c>
      <c r="X178" s="32">
        <v>0</v>
      </c>
      <c r="Y178" s="32">
        <v>0</v>
      </c>
      <c r="Z178" s="12">
        <v>1</v>
      </c>
      <c r="AA178" s="32">
        <v>0</v>
      </c>
      <c r="AB178" s="32">
        <v>0</v>
      </c>
      <c r="AC178" s="32">
        <v>0</v>
      </c>
      <c r="AD178" s="73" t="s">
        <v>249</v>
      </c>
      <c r="AE178" s="83"/>
      <c r="AK178" s="31"/>
      <c r="AL178" s="33"/>
      <c r="AM178" s="33"/>
    </row>
    <row r="179" spans="1:40" x14ac:dyDescent="0.25">
      <c r="A179" s="99" t="s">
        <v>169</v>
      </c>
      <c r="B179" s="104" t="s">
        <v>514</v>
      </c>
      <c r="C179" s="104" t="s">
        <v>539</v>
      </c>
      <c r="D179" s="13">
        <v>1</v>
      </c>
      <c r="E179" s="49" t="s">
        <v>10</v>
      </c>
      <c r="F179" s="88" t="str">
        <f>HYPERLINK("http://ictvonline.org/taxonomyHistory.asp?taxnode_id=20161101","20161101")</f>
        <v>20161101</v>
      </c>
      <c r="G179" s="93">
        <v>2013</v>
      </c>
      <c r="H179" s="88" t="str">
        <f>HYPERLINK("https://www.ncbi.nlm.nih.gov/pubmed/23505588", "23505588")</f>
        <v>23505588</v>
      </c>
      <c r="I179" s="91" t="s">
        <v>453</v>
      </c>
      <c r="J179" s="9">
        <v>0</v>
      </c>
      <c r="K179" s="45">
        <v>0</v>
      </c>
      <c r="L179" s="45">
        <v>0</v>
      </c>
      <c r="M179" s="45">
        <v>0</v>
      </c>
      <c r="N179" s="45">
        <v>0</v>
      </c>
      <c r="O179" s="44">
        <v>0</v>
      </c>
      <c r="P179" s="43">
        <v>1</v>
      </c>
      <c r="Q179" s="42">
        <v>0</v>
      </c>
      <c r="R179" s="16">
        <v>1</v>
      </c>
      <c r="S179" s="81">
        <v>16705370</v>
      </c>
      <c r="T179" s="79"/>
      <c r="U179" s="24">
        <v>2</v>
      </c>
      <c r="V179" s="24">
        <v>0</v>
      </c>
      <c r="W179" s="12" t="s">
        <v>7</v>
      </c>
      <c r="X179" s="32">
        <v>0</v>
      </c>
      <c r="Y179" s="32">
        <v>0</v>
      </c>
      <c r="Z179" s="12">
        <v>1</v>
      </c>
      <c r="AA179" s="32">
        <v>0</v>
      </c>
      <c r="AB179" s="32">
        <v>0</v>
      </c>
      <c r="AC179" s="32">
        <v>0</v>
      </c>
      <c r="AD179" s="84" t="s">
        <v>296</v>
      </c>
      <c r="AE179" s="73"/>
      <c r="AK179" s="31"/>
      <c r="AL179" s="33"/>
      <c r="AM179" s="33"/>
    </row>
    <row r="180" spans="1:40" x14ac:dyDescent="0.25">
      <c r="A180" s="100" t="s">
        <v>174</v>
      </c>
      <c r="B180" s="101" t="s">
        <v>514</v>
      </c>
      <c r="C180" s="104" t="s">
        <v>539</v>
      </c>
      <c r="D180" s="13">
        <v>1</v>
      </c>
      <c r="E180" s="29" t="s">
        <v>10</v>
      </c>
      <c r="F180" s="88" t="str">
        <f>HYPERLINK("http://ictvonline.org/taxonomyHistory.asp?taxnode_id=20161104","20161104")</f>
        <v>20161104</v>
      </c>
      <c r="G180" s="93">
        <v>1972</v>
      </c>
      <c r="H180" s="88" t="str">
        <f>HYPERLINK("https://www.ncbi.nlm.nih.gov/pubmed/4635777", "4635777")</f>
        <v>4635777</v>
      </c>
      <c r="I180" s="91" t="s">
        <v>453</v>
      </c>
      <c r="J180" s="7">
        <v>0</v>
      </c>
      <c r="K180" s="7">
        <v>0</v>
      </c>
      <c r="L180" s="8">
        <v>0</v>
      </c>
      <c r="M180" s="7">
        <v>0</v>
      </c>
      <c r="N180" s="7">
        <v>0</v>
      </c>
      <c r="O180" s="9">
        <v>0</v>
      </c>
      <c r="P180" s="72" t="s">
        <v>197</v>
      </c>
      <c r="Q180" s="7">
        <v>0</v>
      </c>
      <c r="R180" s="72" t="s">
        <v>197</v>
      </c>
      <c r="S180" s="81">
        <v>4772939</v>
      </c>
      <c r="T180" s="79"/>
      <c r="U180" s="24">
        <v>2</v>
      </c>
      <c r="V180" s="24">
        <v>0</v>
      </c>
      <c r="W180" s="12" t="s">
        <v>7</v>
      </c>
      <c r="X180" s="32">
        <v>0</v>
      </c>
      <c r="Y180" s="32">
        <v>0</v>
      </c>
      <c r="Z180" s="12">
        <v>1</v>
      </c>
      <c r="AA180" s="12">
        <v>1</v>
      </c>
      <c r="AB180" s="32">
        <v>0</v>
      </c>
      <c r="AC180" s="32">
        <v>0</v>
      </c>
      <c r="AD180" s="84">
        <v>4772939</v>
      </c>
      <c r="AE180" s="83"/>
      <c r="AK180" s="29"/>
      <c r="AL180" s="33"/>
      <c r="AM180" s="33"/>
      <c r="AN180" s="49"/>
    </row>
    <row r="181" spans="1:40" x14ac:dyDescent="0.25">
      <c r="A181" s="100" t="s">
        <v>181</v>
      </c>
      <c r="B181" s="101" t="s">
        <v>514</v>
      </c>
      <c r="C181" s="104" t="s">
        <v>539</v>
      </c>
      <c r="D181" s="13">
        <v>1</v>
      </c>
      <c r="E181" s="29" t="s">
        <v>10</v>
      </c>
      <c r="F181" s="88" t="str">
        <f>HYPERLINK("http://ictvonline.org/taxonomyHistory.asp?taxnode_id=20161105","20161105")</f>
        <v>20161105</v>
      </c>
      <c r="G181" s="93">
        <v>1903</v>
      </c>
      <c r="H181" s="88" t="str">
        <f>HYPERLINK("https://link.springer.com/article/10.1007%2FBF02217551", "Available from external site")</f>
        <v>Available from external site</v>
      </c>
      <c r="I181" s="91" t="s">
        <v>453</v>
      </c>
      <c r="J181" s="7">
        <v>0</v>
      </c>
      <c r="K181" s="7">
        <v>0</v>
      </c>
      <c r="L181" s="8">
        <v>0</v>
      </c>
      <c r="M181" s="7">
        <v>0</v>
      </c>
      <c r="N181" s="17">
        <v>1</v>
      </c>
      <c r="O181" s="9">
        <v>0</v>
      </c>
      <c r="P181" s="17">
        <v>1</v>
      </c>
      <c r="Q181" s="7">
        <v>0</v>
      </c>
      <c r="R181" s="18">
        <v>1</v>
      </c>
      <c r="S181" s="81">
        <v>23597620</v>
      </c>
      <c r="T181" s="79"/>
      <c r="U181" s="25">
        <v>3</v>
      </c>
      <c r="V181" s="26">
        <v>1</v>
      </c>
      <c r="W181" s="12" t="s">
        <v>7</v>
      </c>
      <c r="X181" s="32">
        <v>0</v>
      </c>
      <c r="Y181" s="12">
        <v>1</v>
      </c>
      <c r="Z181" s="12">
        <v>1</v>
      </c>
      <c r="AA181" s="12">
        <v>1</v>
      </c>
      <c r="AB181" s="32">
        <v>0</v>
      </c>
      <c r="AC181" s="32">
        <v>0</v>
      </c>
      <c r="AD181" s="73" t="s">
        <v>336</v>
      </c>
      <c r="AE181" s="73" t="s">
        <v>337</v>
      </c>
      <c r="AK181" s="31"/>
      <c r="AL181" s="33"/>
      <c r="AM181" s="33"/>
    </row>
    <row r="182" spans="1:40" x14ac:dyDescent="0.25">
      <c r="A182" s="100" t="s">
        <v>198</v>
      </c>
      <c r="B182" s="101" t="s">
        <v>515</v>
      </c>
      <c r="C182" s="104" t="s">
        <v>539</v>
      </c>
      <c r="D182" s="13">
        <v>1</v>
      </c>
      <c r="E182" s="29" t="s">
        <v>10</v>
      </c>
      <c r="F182" s="88" t="str">
        <f>HYPERLINK("http://ictvonline.org/taxonomyHistory.asp?taxnode_id=20165169","20165169")</f>
        <v>20165169</v>
      </c>
      <c r="G182" s="93">
        <v>2012</v>
      </c>
      <c r="H182" s="88" t="str">
        <f>HYPERLINK("https://www.ncbi.nlm.nih.gov/pubmed/23028323", "23028323")</f>
        <v>23028323</v>
      </c>
      <c r="I182" s="91" t="s">
        <v>453</v>
      </c>
      <c r="J182" s="71" t="s">
        <v>197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1" t="s">
        <v>197</v>
      </c>
      <c r="S182" s="77">
        <v>23028323</v>
      </c>
      <c r="T182" s="79"/>
      <c r="U182" s="24">
        <v>3</v>
      </c>
      <c r="V182" s="26">
        <v>1</v>
      </c>
      <c r="W182" s="69" t="s">
        <v>196</v>
      </c>
      <c r="X182" s="32" t="s">
        <v>6</v>
      </c>
      <c r="Y182" s="32" t="s">
        <v>6</v>
      </c>
      <c r="Z182" s="32" t="s">
        <v>6</v>
      </c>
      <c r="AA182" s="32" t="s">
        <v>6</v>
      </c>
      <c r="AB182" s="32" t="s">
        <v>6</v>
      </c>
      <c r="AC182" s="32" t="s">
        <v>6</v>
      </c>
      <c r="AD182" s="84">
        <v>23028323</v>
      </c>
      <c r="AE182" s="83"/>
      <c r="AK182" s="31"/>
      <c r="AL182" s="33"/>
      <c r="AM182" s="33"/>
      <c r="AN182" s="33"/>
    </row>
    <row r="183" spans="1:40" x14ac:dyDescent="0.25">
      <c r="A183" s="100" t="s">
        <v>205</v>
      </c>
      <c r="B183" s="101" t="s">
        <v>515</v>
      </c>
      <c r="C183" s="104" t="s">
        <v>539</v>
      </c>
      <c r="D183" s="13">
        <v>1</v>
      </c>
      <c r="E183" s="29" t="s">
        <v>10</v>
      </c>
      <c r="F183" s="88" t="str">
        <f>HYPERLINK("http://ictvonline.org/taxonomyHistory.asp?taxnode_id=20165170","20165170")</f>
        <v>20165170</v>
      </c>
      <c r="G183" s="95">
        <v>2015</v>
      </c>
      <c r="H183" s="88" t="str">
        <f>HYPERLINK("https://www.ncbi.nlm.nih.gov/pubmed/25781465", "25781465")</f>
        <v>25781465</v>
      </c>
      <c r="I183" s="91" t="s">
        <v>453</v>
      </c>
      <c r="J183" s="7" t="s">
        <v>6</v>
      </c>
      <c r="K183" s="7" t="s">
        <v>6</v>
      </c>
      <c r="L183" s="7" t="s">
        <v>6</v>
      </c>
      <c r="M183" s="7" t="s">
        <v>6</v>
      </c>
      <c r="N183" s="7" t="s">
        <v>6</v>
      </c>
      <c r="O183" s="7" t="s">
        <v>6</v>
      </c>
      <c r="P183" s="7" t="s">
        <v>6</v>
      </c>
      <c r="Q183" s="7" t="s">
        <v>6</v>
      </c>
      <c r="R183" s="10" t="s">
        <v>6</v>
      </c>
      <c r="S183" s="77">
        <v>23028323</v>
      </c>
      <c r="T183" s="80"/>
      <c r="U183" s="24">
        <v>2</v>
      </c>
      <c r="V183" s="24" t="s">
        <v>6</v>
      </c>
      <c r="W183" s="69" t="s">
        <v>196</v>
      </c>
      <c r="X183" s="32" t="s">
        <v>6</v>
      </c>
      <c r="Y183" s="32" t="s">
        <v>6</v>
      </c>
      <c r="Z183" s="32" t="s">
        <v>6</v>
      </c>
      <c r="AA183" s="32" t="s">
        <v>6</v>
      </c>
      <c r="AB183" s="32" t="s">
        <v>6</v>
      </c>
      <c r="AC183" s="32" t="s">
        <v>6</v>
      </c>
      <c r="AD183" s="84">
        <v>23028323</v>
      </c>
      <c r="AE183" s="82"/>
      <c r="AK183" s="31"/>
      <c r="AL183" s="33"/>
      <c r="AM183" s="33"/>
    </row>
    <row r="184" spans="1:40" x14ac:dyDescent="0.25">
      <c r="A184" s="100" t="s">
        <v>199</v>
      </c>
      <c r="B184" s="101" t="s">
        <v>515</v>
      </c>
      <c r="C184" s="104" t="s">
        <v>539</v>
      </c>
      <c r="D184" s="13">
        <v>1</v>
      </c>
      <c r="E184" s="29" t="s">
        <v>10</v>
      </c>
      <c r="F184" s="88" t="str">
        <f>HYPERLINK("http://ictvonline.org/taxonomyHistory.asp?taxnode_id=20165171","20165171")</f>
        <v>20165171</v>
      </c>
      <c r="G184" s="95">
        <v>2015</v>
      </c>
      <c r="H184" s="88" t="str">
        <f>HYPERLINK("https://www.ncbi.nlm.nih.gov/pubmed/25781465", "25781465")</f>
        <v>25781465</v>
      </c>
      <c r="I184" s="91" t="s">
        <v>453</v>
      </c>
      <c r="J184" s="7" t="s">
        <v>6</v>
      </c>
      <c r="K184" s="7" t="s">
        <v>6</v>
      </c>
      <c r="L184" s="7" t="s">
        <v>6</v>
      </c>
      <c r="M184" s="7" t="s">
        <v>6</v>
      </c>
      <c r="N184" s="7" t="s">
        <v>6</v>
      </c>
      <c r="O184" s="7" t="s">
        <v>6</v>
      </c>
      <c r="P184" s="7" t="s">
        <v>6</v>
      </c>
      <c r="Q184" s="7" t="s">
        <v>6</v>
      </c>
      <c r="R184" s="10" t="s">
        <v>6</v>
      </c>
      <c r="S184" s="77">
        <v>23028323</v>
      </c>
      <c r="T184" s="80"/>
      <c r="U184" s="24">
        <v>2</v>
      </c>
      <c r="V184" s="24" t="s">
        <v>6</v>
      </c>
      <c r="W184" s="69" t="s">
        <v>196</v>
      </c>
      <c r="X184" s="32" t="s">
        <v>6</v>
      </c>
      <c r="Y184" s="32" t="s">
        <v>6</v>
      </c>
      <c r="Z184" s="32" t="s">
        <v>6</v>
      </c>
      <c r="AA184" s="32" t="s">
        <v>6</v>
      </c>
      <c r="AB184" s="32" t="s">
        <v>6</v>
      </c>
      <c r="AC184" s="32" t="s">
        <v>6</v>
      </c>
      <c r="AD184" s="84">
        <v>23028323</v>
      </c>
      <c r="AE184" s="82"/>
      <c r="AK184" s="31"/>
      <c r="AL184" s="33"/>
      <c r="AM184" s="33"/>
    </row>
    <row r="185" spans="1:40" x14ac:dyDescent="0.25">
      <c r="A185" s="100" t="s">
        <v>188</v>
      </c>
      <c r="B185" s="101" t="s">
        <v>516</v>
      </c>
      <c r="C185" s="104" t="s">
        <v>539</v>
      </c>
      <c r="D185" s="13">
        <v>1</v>
      </c>
      <c r="E185" s="29" t="s">
        <v>10</v>
      </c>
      <c r="F185" s="88" t="str">
        <f>HYPERLINK("http://ictvonline.org/taxonomyHistory.asp?taxnode_id=20161153","20161153")</f>
        <v>20161153</v>
      </c>
      <c r="G185" s="93">
        <v>1967</v>
      </c>
      <c r="H185" s="88" t="str">
        <f>HYPERLINK("https://www.ncbi.nlm.nih.gov/pubmed/4291620", "4291620")</f>
        <v>4291620</v>
      </c>
      <c r="I185" s="92" t="s">
        <v>454</v>
      </c>
      <c r="J185" s="15">
        <v>1</v>
      </c>
      <c r="K185" s="7">
        <v>0</v>
      </c>
      <c r="L185" s="8">
        <v>0</v>
      </c>
      <c r="M185" s="7">
        <v>0</v>
      </c>
      <c r="N185" s="7">
        <v>0</v>
      </c>
      <c r="O185" s="9">
        <v>0</v>
      </c>
      <c r="P185" s="9">
        <v>0</v>
      </c>
      <c r="Q185" s="7">
        <v>0</v>
      </c>
      <c r="R185" s="10">
        <v>0</v>
      </c>
      <c r="S185" s="81">
        <v>3034087</v>
      </c>
      <c r="T185" s="85">
        <v>23034141</v>
      </c>
      <c r="U185" s="24">
        <v>2</v>
      </c>
      <c r="V185" s="24">
        <v>0</v>
      </c>
      <c r="W185" s="12" t="s">
        <v>7</v>
      </c>
      <c r="X185" s="32">
        <v>0</v>
      </c>
      <c r="Y185" s="32">
        <v>0</v>
      </c>
      <c r="Z185" s="12">
        <v>1</v>
      </c>
      <c r="AA185" s="32">
        <v>0</v>
      </c>
      <c r="AB185" s="32">
        <v>0</v>
      </c>
      <c r="AC185" s="32">
        <v>0</v>
      </c>
      <c r="AD185" s="84" t="s">
        <v>390</v>
      </c>
      <c r="AE185" s="83"/>
      <c r="AK185" s="31"/>
      <c r="AL185" s="33"/>
      <c r="AM185" s="33"/>
    </row>
    <row r="186" spans="1:40" x14ac:dyDescent="0.25">
      <c r="A186" s="100" t="s">
        <v>164</v>
      </c>
      <c r="B186" s="101" t="s">
        <v>516</v>
      </c>
      <c r="C186" s="104" t="s">
        <v>539</v>
      </c>
      <c r="D186" s="13">
        <v>1</v>
      </c>
      <c r="E186" s="29" t="s">
        <v>10</v>
      </c>
      <c r="F186" s="88" t="str">
        <f>HYPERLINK("http://ictvonline.org/taxonomyHistory.asp?taxnode_id=20161155","20161155")</f>
        <v>20161155</v>
      </c>
      <c r="G186" s="93">
        <v>1967</v>
      </c>
      <c r="H186" s="88" t="str">
        <f>HYPERLINK("https://www.ncbi.nlm.nih.gov/pubmed/4970067", "4970067")</f>
        <v>4970067</v>
      </c>
      <c r="I186" s="91" t="s">
        <v>453</v>
      </c>
      <c r="J186" s="15">
        <v>1</v>
      </c>
      <c r="K186" s="7">
        <v>0</v>
      </c>
      <c r="L186" s="8">
        <v>0</v>
      </c>
      <c r="M186" s="7">
        <v>0</v>
      </c>
      <c r="N186" s="7">
        <v>0</v>
      </c>
      <c r="O186" s="9">
        <v>0</v>
      </c>
      <c r="P186" s="9">
        <v>0</v>
      </c>
      <c r="Q186" s="7">
        <v>0</v>
      </c>
      <c r="R186" s="10">
        <v>0</v>
      </c>
      <c r="S186" s="78" t="s">
        <v>220</v>
      </c>
      <c r="T186" s="79"/>
      <c r="U186" s="24">
        <v>2</v>
      </c>
      <c r="V186" s="24">
        <v>0</v>
      </c>
      <c r="W186" s="12" t="s">
        <v>7</v>
      </c>
      <c r="X186" s="32">
        <v>0</v>
      </c>
      <c r="Y186" s="12">
        <v>1</v>
      </c>
      <c r="Z186" s="12">
        <v>1</v>
      </c>
      <c r="AA186" s="32">
        <v>0</v>
      </c>
      <c r="AB186" s="32">
        <v>0</v>
      </c>
      <c r="AC186" s="32">
        <v>0</v>
      </c>
      <c r="AD186" s="73" t="s">
        <v>220</v>
      </c>
      <c r="AE186" s="73" t="s">
        <v>221</v>
      </c>
      <c r="AK186" s="31"/>
      <c r="AL186" s="33"/>
      <c r="AM186" s="33"/>
    </row>
    <row r="187" spans="1:40" x14ac:dyDescent="0.25">
      <c r="A187" s="102" t="s">
        <v>165</v>
      </c>
      <c r="B187" s="107" t="s">
        <v>516</v>
      </c>
      <c r="C187" s="104" t="s">
        <v>539</v>
      </c>
      <c r="D187" s="13">
        <v>1</v>
      </c>
      <c r="E187" s="49" t="s">
        <v>10</v>
      </c>
      <c r="F187" s="88" t="str">
        <f>HYPERLINK("http://ictvonline.org/taxonomyHistory.asp?taxnode_id=20161156","20161156")</f>
        <v>20161156</v>
      </c>
      <c r="G187" s="93">
        <v>1964</v>
      </c>
      <c r="H187" s="88" t="str">
        <f>HYPERLINK("https://www.ncbi.nlm.nih.gov/pubmed/14103231", "14103231")</f>
        <v>14103231</v>
      </c>
      <c r="I187" s="91" t="s">
        <v>453</v>
      </c>
      <c r="J187" s="15">
        <v>1</v>
      </c>
      <c r="K187" s="7">
        <v>0</v>
      </c>
      <c r="L187" s="7">
        <v>0</v>
      </c>
      <c r="M187" s="7">
        <v>0</v>
      </c>
      <c r="N187" s="7">
        <v>0</v>
      </c>
      <c r="O187" s="9">
        <v>0</v>
      </c>
      <c r="P187" s="9">
        <v>0</v>
      </c>
      <c r="Q187" s="7">
        <v>0</v>
      </c>
      <c r="R187" s="10">
        <v>0</v>
      </c>
      <c r="S187" s="78" t="s">
        <v>225</v>
      </c>
      <c r="T187" s="79"/>
      <c r="U187" s="24">
        <v>2</v>
      </c>
      <c r="V187" s="24">
        <v>0</v>
      </c>
      <c r="W187" s="51" t="s">
        <v>7</v>
      </c>
      <c r="X187" s="41">
        <v>0</v>
      </c>
      <c r="Y187" s="41">
        <v>0</v>
      </c>
      <c r="Z187" s="12">
        <v>1</v>
      </c>
      <c r="AA187" s="57">
        <v>0</v>
      </c>
      <c r="AB187" s="57">
        <v>0</v>
      </c>
      <c r="AC187" s="32">
        <v>0</v>
      </c>
      <c r="AD187" s="73" t="s">
        <v>225</v>
      </c>
      <c r="AE187" s="83"/>
      <c r="AK187" s="31"/>
      <c r="AL187" s="33"/>
      <c r="AM187" s="33"/>
    </row>
    <row r="188" spans="1:40" x14ac:dyDescent="0.25">
      <c r="A188" s="100" t="s">
        <v>189</v>
      </c>
      <c r="B188" s="101" t="s">
        <v>516</v>
      </c>
      <c r="C188" s="104" t="s">
        <v>539</v>
      </c>
      <c r="D188" s="13">
        <v>1</v>
      </c>
      <c r="E188" s="29" t="s">
        <v>10</v>
      </c>
      <c r="F188" s="88" t="str">
        <f>HYPERLINK("http://ictvonline.org/taxonomyHistory.asp?taxnode_id=20161157","20161157")</f>
        <v>20161157</v>
      </c>
      <c r="G188" s="93">
        <v>1958</v>
      </c>
      <c r="H188" s="88" t="str">
        <f>HYPERLINK("https://www.ncbi.nlm.nih.gov/pubmed/13549332", "13549332")</f>
        <v>13549332</v>
      </c>
      <c r="I188" s="91" t="s">
        <v>453</v>
      </c>
      <c r="J188" s="15">
        <v>1</v>
      </c>
      <c r="K188" s="7">
        <v>0</v>
      </c>
      <c r="L188" s="8">
        <v>0</v>
      </c>
      <c r="M188" s="7">
        <v>0</v>
      </c>
      <c r="N188" s="7">
        <v>0</v>
      </c>
      <c r="O188" s="9">
        <v>0</v>
      </c>
      <c r="P188" s="9">
        <v>0</v>
      </c>
      <c r="Q188" s="7">
        <v>0</v>
      </c>
      <c r="R188" s="10">
        <v>0</v>
      </c>
      <c r="S188" s="85">
        <v>4335268</v>
      </c>
      <c r="T188" s="79"/>
      <c r="U188" s="24">
        <v>2</v>
      </c>
      <c r="V188" s="24">
        <v>0</v>
      </c>
      <c r="W188" s="12" t="s">
        <v>7</v>
      </c>
      <c r="X188" s="32">
        <v>0</v>
      </c>
      <c r="Y188" s="12">
        <v>1</v>
      </c>
      <c r="Z188" s="12">
        <v>1</v>
      </c>
      <c r="AA188" s="32">
        <v>0</v>
      </c>
      <c r="AB188" s="32">
        <v>0</v>
      </c>
      <c r="AC188" s="32">
        <v>0</v>
      </c>
      <c r="AD188" s="73" t="s">
        <v>290</v>
      </c>
      <c r="AE188" s="83"/>
      <c r="AK188" s="31"/>
      <c r="AL188" s="33"/>
      <c r="AM188" s="33"/>
    </row>
    <row r="189" spans="1:40" x14ac:dyDescent="0.25">
      <c r="A189" s="100" t="s">
        <v>170</v>
      </c>
      <c r="B189" s="101" t="s">
        <v>516</v>
      </c>
      <c r="C189" s="104" t="s">
        <v>539</v>
      </c>
      <c r="D189" s="13">
        <v>1</v>
      </c>
      <c r="E189" s="29" t="s">
        <v>10</v>
      </c>
      <c r="F189" s="88" t="str">
        <f>HYPERLINK("http://ictvonline.org/taxonomyHistory.asp?taxnode_id=20161158","20161158")</f>
        <v>20161158</v>
      </c>
      <c r="G189" s="93">
        <v>1977</v>
      </c>
      <c r="H189" s="88" t="str">
        <f>HYPERLINK("https://www.ncbi.nlm.nih.gov/pubmed/192094", "192094")</f>
        <v>192094</v>
      </c>
      <c r="I189" s="92" t="s">
        <v>454</v>
      </c>
      <c r="J189" s="15">
        <v>1</v>
      </c>
      <c r="K189" s="7">
        <v>0</v>
      </c>
      <c r="L189" s="8">
        <v>0</v>
      </c>
      <c r="M189" s="7">
        <v>0</v>
      </c>
      <c r="N189" s="7">
        <v>0</v>
      </c>
      <c r="O189" s="9">
        <v>0</v>
      </c>
      <c r="P189" s="9">
        <v>0</v>
      </c>
      <c r="Q189" s="7">
        <v>0</v>
      </c>
      <c r="R189" s="10">
        <v>0</v>
      </c>
      <c r="S189" s="78" t="s">
        <v>297</v>
      </c>
      <c r="T189" s="79"/>
      <c r="U189" s="11">
        <v>2</v>
      </c>
      <c r="V189" s="24">
        <v>0</v>
      </c>
      <c r="W189" s="12" t="s">
        <v>7</v>
      </c>
      <c r="X189" s="32">
        <v>0</v>
      </c>
      <c r="Y189" s="32">
        <v>0</v>
      </c>
      <c r="Z189" s="12">
        <v>1</v>
      </c>
      <c r="AA189" s="32">
        <v>0</v>
      </c>
      <c r="AB189" s="32">
        <v>0</v>
      </c>
      <c r="AC189" s="32">
        <v>0</v>
      </c>
      <c r="AD189" s="73" t="s">
        <v>297</v>
      </c>
      <c r="AE189" s="83"/>
      <c r="AK189" s="29"/>
      <c r="AL189" s="33"/>
      <c r="AM189" s="33"/>
      <c r="AN189" s="49"/>
    </row>
    <row r="190" spans="1:40" x14ac:dyDescent="0.25">
      <c r="A190" s="99" t="s">
        <v>173</v>
      </c>
      <c r="B190" s="104" t="s">
        <v>516</v>
      </c>
      <c r="C190" s="104" t="s">
        <v>539</v>
      </c>
      <c r="D190" s="13">
        <v>1</v>
      </c>
      <c r="E190" s="49" t="s">
        <v>10</v>
      </c>
      <c r="F190" s="88" t="str">
        <f>HYPERLINK("http://ictvonline.org/taxonomyHistory.asp?taxnode_id=20161159","20161159")</f>
        <v>20161159</v>
      </c>
      <c r="G190" s="93">
        <v>1984</v>
      </c>
      <c r="H190" s="88" t="str">
        <f>HYPERLINK("https://www.ncbi.nlm.nih.gov/pubmed/6091472", "6091472")</f>
        <v>6091472</v>
      </c>
      <c r="I190" s="92" t="s">
        <v>454</v>
      </c>
      <c r="J190" s="15">
        <v>1</v>
      </c>
      <c r="K190" s="7">
        <v>0</v>
      </c>
      <c r="L190" s="8">
        <v>0</v>
      </c>
      <c r="M190" s="7">
        <v>0</v>
      </c>
      <c r="N190" s="7">
        <v>0</v>
      </c>
      <c r="O190" s="9">
        <v>0</v>
      </c>
      <c r="P190" s="9">
        <v>0</v>
      </c>
      <c r="Q190" s="7">
        <v>0</v>
      </c>
      <c r="R190" s="10">
        <v>0</v>
      </c>
      <c r="S190" s="81">
        <v>6091472</v>
      </c>
      <c r="T190" s="79"/>
      <c r="U190" s="24">
        <v>2</v>
      </c>
      <c r="V190" s="24">
        <v>0</v>
      </c>
      <c r="W190" s="12" t="s">
        <v>7</v>
      </c>
      <c r="X190" s="32">
        <v>0</v>
      </c>
      <c r="Y190" s="30">
        <v>0</v>
      </c>
      <c r="Z190" s="39">
        <v>1</v>
      </c>
      <c r="AA190" s="38">
        <v>0</v>
      </c>
      <c r="AB190" s="32">
        <v>0</v>
      </c>
      <c r="AC190" s="32">
        <v>0</v>
      </c>
      <c r="AD190" s="84">
        <v>6091472</v>
      </c>
      <c r="AE190" s="83"/>
      <c r="AK190" s="31"/>
      <c r="AL190" s="33"/>
      <c r="AM190" s="33"/>
      <c r="AN190" s="49"/>
    </row>
    <row r="191" spans="1:40" x14ac:dyDescent="0.25">
      <c r="A191" s="100" t="s">
        <v>190</v>
      </c>
      <c r="B191" s="101" t="s">
        <v>516</v>
      </c>
      <c r="C191" s="104" t="s">
        <v>539</v>
      </c>
      <c r="D191" s="13">
        <v>1</v>
      </c>
      <c r="E191" s="29" t="s">
        <v>10</v>
      </c>
      <c r="F191" s="88" t="str">
        <f>HYPERLINK("http://ictvonline.org/taxonomyHistory.asp?taxnode_id=20161160","20161160")</f>
        <v>20161160</v>
      </c>
      <c r="G191" s="93">
        <v>1950</v>
      </c>
      <c r="H191" s="88" t="str">
        <f>HYPERLINK("https://www.ncbi.nlm.nih.gov/pubmed/14784641", "14784641")</f>
        <v>14784641</v>
      </c>
      <c r="I191" s="91" t="s">
        <v>453</v>
      </c>
      <c r="J191" s="15">
        <v>1</v>
      </c>
      <c r="K191" s="7">
        <v>0</v>
      </c>
      <c r="L191" s="8">
        <v>0</v>
      </c>
      <c r="M191" s="7">
        <v>0</v>
      </c>
      <c r="N191" s="7">
        <v>0</v>
      </c>
      <c r="O191" s="9">
        <v>0</v>
      </c>
      <c r="P191" s="9">
        <v>0</v>
      </c>
      <c r="Q191" s="7">
        <v>0</v>
      </c>
      <c r="R191" s="10">
        <v>0</v>
      </c>
      <c r="S191" s="85">
        <v>23034141</v>
      </c>
      <c r="T191" s="79"/>
      <c r="U191" s="24">
        <v>2</v>
      </c>
      <c r="V191" s="24">
        <v>0</v>
      </c>
      <c r="W191" s="12" t="s">
        <v>7</v>
      </c>
      <c r="X191" s="32">
        <v>0</v>
      </c>
      <c r="Y191" s="57">
        <v>0</v>
      </c>
      <c r="Z191" s="12">
        <v>1</v>
      </c>
      <c r="AA191" s="32">
        <v>0</v>
      </c>
      <c r="AB191" s="32">
        <v>0</v>
      </c>
      <c r="AC191" s="32">
        <v>0</v>
      </c>
      <c r="AD191" s="73" t="s">
        <v>290</v>
      </c>
      <c r="AE191" s="83"/>
      <c r="AK191" s="31"/>
      <c r="AL191" s="33"/>
      <c r="AM191" s="33"/>
      <c r="AN191" s="49"/>
    </row>
    <row r="192" spans="1:40" x14ac:dyDescent="0.25">
      <c r="A192" s="100" t="s">
        <v>179</v>
      </c>
      <c r="B192" s="101" t="s">
        <v>516</v>
      </c>
      <c r="C192" s="104" t="s">
        <v>539</v>
      </c>
      <c r="D192" s="13">
        <v>1</v>
      </c>
      <c r="E192" s="29" t="s">
        <v>10</v>
      </c>
      <c r="F192" s="88" t="str">
        <f>HYPERLINK("http://ictvonline.org/taxonomyHistory.asp?taxnode_id=20161161","20161161")</f>
        <v>20161161</v>
      </c>
      <c r="G192" s="93">
        <v>1974</v>
      </c>
      <c r="H192" s="88" t="str">
        <f>HYPERLINK("https://www.ncbi.nlm.nih.gov/pubmed/4604602", "4604602")</f>
        <v>4604602</v>
      </c>
      <c r="I192" s="91" t="s">
        <v>453</v>
      </c>
      <c r="J192" s="17">
        <v>1</v>
      </c>
      <c r="K192" s="7">
        <v>0</v>
      </c>
      <c r="L192" s="8">
        <v>0</v>
      </c>
      <c r="M192" s="7">
        <v>0</v>
      </c>
      <c r="N192" s="7">
        <v>0</v>
      </c>
      <c r="O192" s="9">
        <v>0</v>
      </c>
      <c r="P192" s="9">
        <v>0</v>
      </c>
      <c r="Q192" s="7">
        <v>0</v>
      </c>
      <c r="R192" s="10">
        <v>0</v>
      </c>
      <c r="S192" s="81">
        <v>4097557</v>
      </c>
      <c r="T192" s="79"/>
      <c r="U192" s="24">
        <v>2</v>
      </c>
      <c r="V192" s="24">
        <v>0</v>
      </c>
      <c r="W192" s="12" t="s">
        <v>7</v>
      </c>
      <c r="X192" s="32">
        <v>0</v>
      </c>
      <c r="Y192" s="12">
        <v>1</v>
      </c>
      <c r="Z192" s="12">
        <v>1</v>
      </c>
      <c r="AA192" s="32">
        <v>0</v>
      </c>
      <c r="AB192" s="32">
        <v>0</v>
      </c>
      <c r="AC192" s="32">
        <v>0</v>
      </c>
      <c r="AD192" s="73" t="s">
        <v>332</v>
      </c>
      <c r="AE192" s="83"/>
      <c r="AK192" s="31"/>
      <c r="AL192" s="33"/>
      <c r="AM192" s="33"/>
      <c r="AN192" s="49"/>
    </row>
    <row r="193" spans="1:40" x14ac:dyDescent="0.25">
      <c r="A193" s="100" t="s">
        <v>18</v>
      </c>
      <c r="B193" s="101" t="s">
        <v>517</v>
      </c>
      <c r="C193" s="104" t="s">
        <v>540</v>
      </c>
      <c r="D193" s="13">
        <v>1</v>
      </c>
      <c r="E193" s="29" t="s">
        <v>9</v>
      </c>
      <c r="F193" s="88" t="str">
        <f>HYPERLINK("http://ictvonline.org/taxonomyHistory.asp?taxnode_id=20164301","20164301")</f>
        <v>20164301</v>
      </c>
      <c r="G193" s="93">
        <v>1986</v>
      </c>
      <c r="H193" s="88" t="str">
        <f>HYPERLINK("https://www.ncbi.nlm.nih.gov/pubmed/3767767", "3767767")</f>
        <v>3767767</v>
      </c>
      <c r="I193" s="91" t="s">
        <v>453</v>
      </c>
      <c r="J193" s="15">
        <v>1</v>
      </c>
      <c r="K193" s="7">
        <v>0</v>
      </c>
      <c r="L193" s="8">
        <v>0</v>
      </c>
      <c r="M193" s="7">
        <v>0</v>
      </c>
      <c r="N193" s="7">
        <v>0</v>
      </c>
      <c r="O193" s="9">
        <v>0</v>
      </c>
      <c r="P193" s="9">
        <v>0</v>
      </c>
      <c r="Q193" s="7">
        <v>0</v>
      </c>
      <c r="R193" s="10">
        <v>0</v>
      </c>
      <c r="S193" s="78">
        <v>21752915</v>
      </c>
      <c r="T193" s="79"/>
      <c r="U193" s="25">
        <v>3</v>
      </c>
      <c r="V193" s="26">
        <v>1</v>
      </c>
      <c r="W193" s="12" t="s">
        <v>7</v>
      </c>
      <c r="X193" s="32">
        <v>0</v>
      </c>
      <c r="Y193" s="32">
        <v>0</v>
      </c>
      <c r="Z193" s="12">
        <v>1</v>
      </c>
      <c r="AA193" s="32">
        <v>0</v>
      </c>
      <c r="AB193" s="32">
        <v>0</v>
      </c>
      <c r="AC193" s="32">
        <v>0</v>
      </c>
      <c r="AD193" s="73">
        <v>21752915</v>
      </c>
      <c r="AE193" s="83"/>
      <c r="AK193" s="31"/>
      <c r="AL193" s="33"/>
      <c r="AM193" s="33"/>
      <c r="AN193" s="33"/>
    </row>
    <row r="194" spans="1:40" x14ac:dyDescent="0.25">
      <c r="A194" s="100" t="s">
        <v>21</v>
      </c>
      <c r="B194" s="101" t="s">
        <v>517</v>
      </c>
      <c r="C194" s="104" t="s">
        <v>540</v>
      </c>
      <c r="D194" s="13">
        <v>1</v>
      </c>
      <c r="E194" s="29" t="s">
        <v>9</v>
      </c>
      <c r="F194" s="88" t="str">
        <f>HYPERLINK("http://ictvonline.org/taxonomyHistory.asp?taxnode_id=20164304","20164304")</f>
        <v>20164304</v>
      </c>
      <c r="G194" s="93">
        <v>1956</v>
      </c>
      <c r="H194" s="88" t="str">
        <f>HYPERLINK("https://www.ncbi.nlm.nih.gov/pubmed/13346078", "13346078")</f>
        <v>13346078</v>
      </c>
      <c r="I194" s="91" t="s">
        <v>453</v>
      </c>
      <c r="J194" s="15">
        <v>1</v>
      </c>
      <c r="K194" s="7">
        <v>0</v>
      </c>
      <c r="L194" s="8">
        <v>0</v>
      </c>
      <c r="M194" s="7">
        <v>0</v>
      </c>
      <c r="N194" s="7">
        <v>0</v>
      </c>
      <c r="O194" s="9">
        <v>0</v>
      </c>
      <c r="P194" s="9">
        <v>0</v>
      </c>
      <c r="Q194" s="15">
        <v>1</v>
      </c>
      <c r="R194" s="10">
        <v>0</v>
      </c>
      <c r="S194" s="81">
        <v>20519386</v>
      </c>
      <c r="T194" s="79"/>
      <c r="U194" s="21" t="s">
        <v>24</v>
      </c>
      <c r="V194" s="26">
        <v>1</v>
      </c>
      <c r="W194" s="12" t="s">
        <v>7</v>
      </c>
      <c r="X194" s="32">
        <v>0</v>
      </c>
      <c r="Y194" s="12">
        <v>1</v>
      </c>
      <c r="Z194" s="12">
        <v>1</v>
      </c>
      <c r="AA194" s="32">
        <v>0</v>
      </c>
      <c r="AB194" s="32">
        <v>0</v>
      </c>
      <c r="AC194" s="32">
        <v>0</v>
      </c>
      <c r="AD194" s="73" t="s">
        <v>223</v>
      </c>
      <c r="AE194" s="84" t="s">
        <v>224</v>
      </c>
      <c r="AK194" s="31"/>
      <c r="AL194" s="33"/>
      <c r="AM194" s="33"/>
      <c r="AN194" s="49"/>
    </row>
    <row r="195" spans="1:40" x14ac:dyDescent="0.25">
      <c r="A195" s="100" t="s">
        <v>26</v>
      </c>
      <c r="B195" s="101" t="s">
        <v>517</v>
      </c>
      <c r="C195" s="104" t="s">
        <v>540</v>
      </c>
      <c r="D195" s="13">
        <v>1</v>
      </c>
      <c r="E195" s="29" t="s">
        <v>9</v>
      </c>
      <c r="F195" s="88" t="str">
        <f>HYPERLINK("http://ictvonline.org/taxonomyHistory.asp?taxnode_id=20164305","20164305")</f>
        <v>20164305</v>
      </c>
      <c r="G195" s="93">
        <v>1938</v>
      </c>
      <c r="H195" s="88" t="str">
        <f>HYPERLINK("https://www.ncbi.nlm.nih.gov/pubmed/17843373", "17843373")</f>
        <v>17843373</v>
      </c>
      <c r="I195" s="91" t="s">
        <v>453</v>
      </c>
      <c r="J195" s="17">
        <v>1</v>
      </c>
      <c r="K195" s="7">
        <v>0</v>
      </c>
      <c r="L195" s="8">
        <v>0</v>
      </c>
      <c r="M195" s="7">
        <v>0</v>
      </c>
      <c r="N195" s="7">
        <v>0</v>
      </c>
      <c r="O195" s="9">
        <v>0</v>
      </c>
      <c r="P195" s="9">
        <v>0</v>
      </c>
      <c r="Q195" s="7">
        <v>0</v>
      </c>
      <c r="R195" s="10">
        <v>0</v>
      </c>
      <c r="S195" s="78" t="s">
        <v>239</v>
      </c>
      <c r="T195" s="79"/>
      <c r="U195" s="24">
        <v>2</v>
      </c>
      <c r="V195" s="24">
        <v>0</v>
      </c>
      <c r="W195" s="12" t="s">
        <v>7</v>
      </c>
      <c r="X195" s="32">
        <v>0</v>
      </c>
      <c r="Y195" s="32">
        <v>0</v>
      </c>
      <c r="Z195" s="12">
        <v>1</v>
      </c>
      <c r="AA195" s="12">
        <v>1</v>
      </c>
      <c r="AB195" s="52">
        <v>1</v>
      </c>
      <c r="AC195" s="32">
        <v>0</v>
      </c>
      <c r="AD195" s="73" t="s">
        <v>239</v>
      </c>
      <c r="AE195" s="83"/>
      <c r="AK195" s="31"/>
      <c r="AL195" s="33"/>
      <c r="AM195" s="33"/>
      <c r="AN195" s="49"/>
    </row>
    <row r="196" spans="1:40" x14ac:dyDescent="0.25">
      <c r="A196" s="100" t="s">
        <v>28</v>
      </c>
      <c r="B196" s="101" t="s">
        <v>517</v>
      </c>
      <c r="C196" s="104" t="s">
        <v>540</v>
      </c>
      <c r="D196" s="13">
        <v>1</v>
      </c>
      <c r="E196" s="29" t="s">
        <v>9</v>
      </c>
      <c r="F196" s="88" t="str">
        <f>HYPERLINK("http://ictvonline.org/taxonomyHistory.asp?taxnode_id=20164307","20164307")</f>
        <v>20164307</v>
      </c>
      <c r="G196" s="93">
        <v>1970</v>
      </c>
      <c r="H196" s="88" t="str">
        <f>HYPERLINK("https://www.ncbi.nlm.nih.gov/pubmed/5410814", "5410814")</f>
        <v>5410814</v>
      </c>
      <c r="I196" s="91" t="s">
        <v>453</v>
      </c>
      <c r="J196" s="17">
        <v>1</v>
      </c>
      <c r="K196" s="7">
        <v>0</v>
      </c>
      <c r="L196" s="8">
        <v>0</v>
      </c>
      <c r="M196" s="7">
        <v>0</v>
      </c>
      <c r="N196" s="7">
        <v>0</v>
      </c>
      <c r="O196" s="9">
        <v>0</v>
      </c>
      <c r="P196" s="9">
        <v>0</v>
      </c>
      <c r="Q196" s="7">
        <v>0</v>
      </c>
      <c r="R196" s="10">
        <v>0</v>
      </c>
      <c r="S196" s="81" t="s">
        <v>250</v>
      </c>
      <c r="T196" s="79"/>
      <c r="U196" s="24">
        <v>2</v>
      </c>
      <c r="V196" s="24">
        <v>0</v>
      </c>
      <c r="W196" s="12" t="s">
        <v>7</v>
      </c>
      <c r="X196" s="32">
        <v>0</v>
      </c>
      <c r="Y196" s="32">
        <v>0</v>
      </c>
      <c r="Z196" s="12">
        <v>1</v>
      </c>
      <c r="AA196" s="32">
        <v>0</v>
      </c>
      <c r="AB196" s="32">
        <v>0</v>
      </c>
      <c r="AC196" s="32">
        <v>0</v>
      </c>
      <c r="AD196" s="84" t="s">
        <v>250</v>
      </c>
      <c r="AE196" s="83"/>
      <c r="AK196" s="31"/>
      <c r="AL196" s="33"/>
      <c r="AM196" s="33"/>
      <c r="AN196" s="49"/>
    </row>
    <row r="197" spans="1:40" x14ac:dyDescent="0.25">
      <c r="A197" s="100" t="s">
        <v>29</v>
      </c>
      <c r="B197" s="101" t="s">
        <v>517</v>
      </c>
      <c r="C197" s="104" t="s">
        <v>540</v>
      </c>
      <c r="D197" s="13">
        <v>1</v>
      </c>
      <c r="E197" s="29" t="s">
        <v>9</v>
      </c>
      <c r="F197" s="88" t="str">
        <f>HYPERLINK("http://ictvonline.org/taxonomyHistory.asp?taxnode_id=20164309","20164309")</f>
        <v>20164309</v>
      </c>
      <c r="G197" s="93">
        <v>1974</v>
      </c>
      <c r="H197" s="88" t="str">
        <f>HYPERLINK("https://www.ncbi.nlm.nih.gov/pubmed/4214338", "4214338")</f>
        <v>4214338</v>
      </c>
      <c r="I197" s="92" t="s">
        <v>454</v>
      </c>
      <c r="J197" s="17">
        <v>1</v>
      </c>
      <c r="K197" s="7">
        <v>0</v>
      </c>
      <c r="L197" s="8">
        <v>0</v>
      </c>
      <c r="M197" s="7">
        <v>0</v>
      </c>
      <c r="N197" s="7">
        <v>0</v>
      </c>
      <c r="O197" s="9">
        <v>0</v>
      </c>
      <c r="P197" s="9">
        <v>0</v>
      </c>
      <c r="Q197" s="7">
        <v>0</v>
      </c>
      <c r="R197" s="10">
        <v>0</v>
      </c>
      <c r="S197" s="78" t="s">
        <v>450</v>
      </c>
      <c r="T197" s="79"/>
      <c r="U197" s="24">
        <v>2</v>
      </c>
      <c r="V197" s="24">
        <v>0</v>
      </c>
      <c r="W197" s="12" t="s">
        <v>7</v>
      </c>
      <c r="X197" s="32">
        <v>0</v>
      </c>
      <c r="Y197" s="32">
        <v>0</v>
      </c>
      <c r="Z197" s="12">
        <v>1</v>
      </c>
      <c r="AA197" s="32">
        <v>0</v>
      </c>
      <c r="AB197" s="32">
        <v>0</v>
      </c>
      <c r="AC197" s="32">
        <v>0</v>
      </c>
      <c r="AD197" s="73" t="s">
        <v>451</v>
      </c>
      <c r="AE197" s="83"/>
      <c r="AK197" s="31"/>
      <c r="AL197" s="33"/>
      <c r="AM197" s="33"/>
      <c r="AN197" s="49"/>
    </row>
    <row r="198" spans="1:40" x14ac:dyDescent="0.25">
      <c r="A198" s="99" t="s">
        <v>97</v>
      </c>
      <c r="B198" s="104" t="s">
        <v>517</v>
      </c>
      <c r="C198" s="104" t="s">
        <v>540</v>
      </c>
      <c r="D198" s="13">
        <v>1</v>
      </c>
      <c r="E198" s="49" t="s">
        <v>9</v>
      </c>
      <c r="F198" s="88" t="str">
        <f>HYPERLINK("http://ictvonline.org/taxonomyHistory.asp?taxnode_id=20164310","20164310")</f>
        <v>20164310</v>
      </c>
      <c r="G198" s="93">
        <v>2000</v>
      </c>
      <c r="H198" s="88" t="str">
        <f>HYPERLINK("https://www.ncbi.nlm.nih.gov/pubmed/11057975", "11057975")</f>
        <v>11057975</v>
      </c>
      <c r="I198" s="92" t="s">
        <v>454</v>
      </c>
      <c r="J198" s="15">
        <v>1</v>
      </c>
      <c r="K198" s="7">
        <v>0</v>
      </c>
      <c r="L198" s="8">
        <v>0</v>
      </c>
      <c r="M198" s="7">
        <v>0</v>
      </c>
      <c r="N198" s="7">
        <v>0</v>
      </c>
      <c r="O198" s="9">
        <v>0</v>
      </c>
      <c r="P198" s="9">
        <v>0</v>
      </c>
      <c r="Q198" s="7">
        <v>0</v>
      </c>
      <c r="R198" s="10">
        <v>0</v>
      </c>
      <c r="S198" s="85">
        <v>19651164</v>
      </c>
      <c r="T198" s="79"/>
      <c r="U198" s="24">
        <v>2</v>
      </c>
      <c r="V198" s="24">
        <v>0</v>
      </c>
      <c r="W198" s="12" t="s">
        <v>7</v>
      </c>
      <c r="X198" s="32">
        <v>0</v>
      </c>
      <c r="Y198" s="32">
        <v>0</v>
      </c>
      <c r="Z198" s="56">
        <v>1</v>
      </c>
      <c r="AA198" s="12">
        <v>1</v>
      </c>
      <c r="AB198" s="32">
        <v>0</v>
      </c>
      <c r="AC198" s="32">
        <v>0</v>
      </c>
      <c r="AD198" s="84" t="s">
        <v>280</v>
      </c>
      <c r="AE198" s="73" t="s">
        <v>281</v>
      </c>
      <c r="AK198" s="31"/>
      <c r="AL198" s="33"/>
      <c r="AM198" s="33"/>
      <c r="AN198" s="49"/>
    </row>
    <row r="199" spans="1:40" x14ac:dyDescent="0.25">
      <c r="A199" s="100" t="s">
        <v>52</v>
      </c>
      <c r="B199" s="101" t="s">
        <v>517</v>
      </c>
      <c r="C199" s="104" t="s">
        <v>540</v>
      </c>
      <c r="D199" s="13">
        <v>1</v>
      </c>
      <c r="E199" s="29" t="s">
        <v>9</v>
      </c>
      <c r="F199" s="88" t="str">
        <f>HYPERLINK("http://ictvonline.org/taxonomyHistory.asp?taxnode_id=20164312","20164312")</f>
        <v>20164312</v>
      </c>
      <c r="G199" s="93">
        <v>1957</v>
      </c>
      <c r="H199" s="88" t="str">
        <f>HYPERLINK("https://www.ncbi.nlm.nih.gov/pubmed/13487973", "13487973")</f>
        <v>13487973</v>
      </c>
      <c r="I199" s="91" t="s">
        <v>453</v>
      </c>
      <c r="J199" s="15">
        <v>1</v>
      </c>
      <c r="K199" s="7">
        <v>0</v>
      </c>
      <c r="L199" s="8">
        <v>0</v>
      </c>
      <c r="M199" s="7">
        <v>0</v>
      </c>
      <c r="N199" s="7">
        <v>0</v>
      </c>
      <c r="O199" s="9">
        <v>0</v>
      </c>
      <c r="P199" s="9">
        <v>0</v>
      </c>
      <c r="Q199" s="7">
        <v>0</v>
      </c>
      <c r="R199" s="10">
        <v>0</v>
      </c>
      <c r="S199" s="81">
        <v>9037738</v>
      </c>
      <c r="T199" s="79"/>
      <c r="U199" s="24">
        <v>2</v>
      </c>
      <c r="V199" s="24">
        <v>0</v>
      </c>
      <c r="W199" s="12" t="s">
        <v>7</v>
      </c>
      <c r="X199" s="32">
        <v>0</v>
      </c>
      <c r="Y199" s="12">
        <v>1</v>
      </c>
      <c r="Z199" s="12">
        <v>1</v>
      </c>
      <c r="AA199" s="12">
        <v>1</v>
      </c>
      <c r="AB199" s="32">
        <v>0</v>
      </c>
      <c r="AC199" s="32">
        <v>0</v>
      </c>
      <c r="AD199" s="73" t="s">
        <v>316</v>
      </c>
      <c r="AE199" s="83"/>
      <c r="AK199" s="31"/>
      <c r="AL199" s="33"/>
      <c r="AM199" s="33"/>
      <c r="AN199" s="49"/>
    </row>
    <row r="200" spans="1:40" x14ac:dyDescent="0.25">
      <c r="A200" s="102" t="s">
        <v>114</v>
      </c>
      <c r="B200" s="107" t="s">
        <v>517</v>
      </c>
      <c r="C200" s="104" t="s">
        <v>540</v>
      </c>
      <c r="D200" s="13">
        <v>1</v>
      </c>
      <c r="E200" s="49" t="s">
        <v>9</v>
      </c>
      <c r="F200" s="88" t="str">
        <f>HYPERLINK("http://ictvonline.org/taxonomyHistory.asp?taxnode_id=20164314","20164314")</f>
        <v>20164314</v>
      </c>
      <c r="G200" s="93">
        <v>2013</v>
      </c>
      <c r="H200" s="88" t="str">
        <f>HYPERLINK("https://www.ncbi.nlm.nih.gov/pubmed/24349588", "24349588")</f>
        <v>24349588</v>
      </c>
      <c r="I200" s="92" t="s">
        <v>454</v>
      </c>
      <c r="J200" s="15">
        <v>1</v>
      </c>
      <c r="K200" s="7">
        <v>0</v>
      </c>
      <c r="L200" s="7">
        <v>0</v>
      </c>
      <c r="M200" s="7">
        <v>0</v>
      </c>
      <c r="N200" s="7">
        <v>0</v>
      </c>
      <c r="O200" s="9">
        <v>0</v>
      </c>
      <c r="P200" s="9">
        <v>0</v>
      </c>
      <c r="Q200" s="7">
        <v>0</v>
      </c>
      <c r="R200" s="10">
        <v>0</v>
      </c>
      <c r="S200" s="78" t="s">
        <v>317</v>
      </c>
      <c r="T200" s="79"/>
      <c r="U200" s="24">
        <v>2</v>
      </c>
      <c r="V200" s="24">
        <v>0</v>
      </c>
      <c r="W200" s="51" t="s">
        <v>7</v>
      </c>
      <c r="X200" s="41">
        <v>0</v>
      </c>
      <c r="Y200" s="41">
        <v>0</v>
      </c>
      <c r="Z200" s="12">
        <v>1</v>
      </c>
      <c r="AA200" s="32">
        <v>0</v>
      </c>
      <c r="AB200" s="32">
        <v>0</v>
      </c>
      <c r="AC200" s="32">
        <v>0</v>
      </c>
      <c r="AD200" s="73" t="s">
        <v>317</v>
      </c>
      <c r="AE200" s="83"/>
      <c r="AK200" s="31"/>
      <c r="AL200" s="33"/>
      <c r="AM200" s="33"/>
      <c r="AN200" s="49"/>
    </row>
    <row r="201" spans="1:40" x14ac:dyDescent="0.25">
      <c r="A201" s="100" t="s">
        <v>53</v>
      </c>
      <c r="B201" s="101" t="s">
        <v>517</v>
      </c>
      <c r="C201" s="104" t="s">
        <v>540</v>
      </c>
      <c r="D201" s="13">
        <v>1</v>
      </c>
      <c r="E201" s="29" t="s">
        <v>9</v>
      </c>
      <c r="F201" s="88" t="str">
        <f>HYPERLINK("http://ictvonline.org/taxonomyHistory.asp?taxnode_id=20164315","20164315")</f>
        <v>20164315</v>
      </c>
      <c r="G201" s="93">
        <v>1965</v>
      </c>
      <c r="H201" s="88" t="str">
        <f>HYPERLINK("https://www.ncbi.nlm.nih.gov/pubmed/14292756", "14292756")</f>
        <v>14292756</v>
      </c>
      <c r="I201" s="91" t="s">
        <v>453</v>
      </c>
      <c r="J201" s="17">
        <v>1</v>
      </c>
      <c r="K201" s="7">
        <v>0</v>
      </c>
      <c r="L201" s="8">
        <v>0</v>
      </c>
      <c r="M201" s="7">
        <v>0</v>
      </c>
      <c r="N201" s="7">
        <v>0</v>
      </c>
      <c r="O201" s="9">
        <v>0</v>
      </c>
      <c r="P201" s="9">
        <v>0</v>
      </c>
      <c r="Q201" s="7">
        <v>0</v>
      </c>
      <c r="R201" s="10">
        <v>0</v>
      </c>
      <c r="S201" s="78" t="s">
        <v>317</v>
      </c>
      <c r="T201" s="79"/>
      <c r="U201" s="11">
        <v>2</v>
      </c>
      <c r="V201" s="24">
        <v>0</v>
      </c>
      <c r="W201" s="12" t="s">
        <v>7</v>
      </c>
      <c r="X201" s="32">
        <v>0</v>
      </c>
      <c r="Y201" s="12">
        <v>1</v>
      </c>
      <c r="Z201" s="12">
        <v>1</v>
      </c>
      <c r="AA201" s="32">
        <v>0</v>
      </c>
      <c r="AB201" s="32">
        <v>0</v>
      </c>
      <c r="AC201" s="32">
        <v>0</v>
      </c>
      <c r="AD201" s="73" t="s">
        <v>317</v>
      </c>
      <c r="AE201" s="83"/>
      <c r="AK201" s="29"/>
      <c r="AL201" s="33"/>
      <c r="AM201" s="33"/>
      <c r="AN201" s="49"/>
    </row>
    <row r="202" spans="1:40" x14ac:dyDescent="0.25">
      <c r="A202" s="102" t="s">
        <v>115</v>
      </c>
      <c r="B202" s="107" t="s">
        <v>517</v>
      </c>
      <c r="C202" s="104" t="s">
        <v>540</v>
      </c>
      <c r="D202" s="13">
        <v>1</v>
      </c>
      <c r="E202" s="49" t="s">
        <v>9</v>
      </c>
      <c r="F202" s="88" t="str">
        <f>HYPERLINK("http://ictvonline.org/taxonomyHistory.asp?taxnode_id=20164316","20164316")</f>
        <v>20164316</v>
      </c>
      <c r="G202" s="93">
        <v>1961</v>
      </c>
      <c r="H202" s="88" t="str">
        <f>HYPERLINK("https://www.ncbi.nlm.nih.gov/pubmed/13757662", "13757662")</f>
        <v>13757662</v>
      </c>
      <c r="I202" s="92" t="s">
        <v>454</v>
      </c>
      <c r="J202" s="15">
        <v>1</v>
      </c>
      <c r="K202" s="7">
        <v>0</v>
      </c>
      <c r="L202" s="7">
        <v>0</v>
      </c>
      <c r="M202" s="7">
        <v>0</v>
      </c>
      <c r="N202" s="7">
        <v>0</v>
      </c>
      <c r="O202" s="9">
        <v>0</v>
      </c>
      <c r="P202" s="9">
        <v>0</v>
      </c>
      <c r="Q202" s="7">
        <v>0</v>
      </c>
      <c r="R202" s="10">
        <v>0</v>
      </c>
      <c r="S202" s="78" t="s">
        <v>319</v>
      </c>
      <c r="T202" s="79"/>
      <c r="U202" s="24">
        <v>2</v>
      </c>
      <c r="V202" s="24">
        <v>0</v>
      </c>
      <c r="W202" s="51" t="s">
        <v>7</v>
      </c>
      <c r="X202" s="41">
        <v>0</v>
      </c>
      <c r="Y202" s="41">
        <v>0</v>
      </c>
      <c r="Z202" s="12">
        <v>1</v>
      </c>
      <c r="AA202" s="32">
        <v>0</v>
      </c>
      <c r="AB202" s="32">
        <v>0</v>
      </c>
      <c r="AC202" s="32">
        <v>0</v>
      </c>
      <c r="AD202" s="73" t="s">
        <v>319</v>
      </c>
      <c r="AE202" s="83"/>
      <c r="AK202" s="31"/>
      <c r="AL202" s="33"/>
      <c r="AM202" s="33"/>
      <c r="AN202" s="49"/>
    </row>
    <row r="203" spans="1:40" x14ac:dyDescent="0.25">
      <c r="A203" s="106" t="s">
        <v>57</v>
      </c>
      <c r="B203" s="101" t="s">
        <v>517</v>
      </c>
      <c r="C203" s="104" t="s">
        <v>540</v>
      </c>
      <c r="D203" s="13">
        <v>1</v>
      </c>
      <c r="E203" s="29" t="s">
        <v>9</v>
      </c>
      <c r="F203" s="88" t="str">
        <f>HYPERLINK("http://ictvonline.org/taxonomyHistory.asp?taxnode_id=20164317","20164317")</f>
        <v>20164317</v>
      </c>
      <c r="G203" s="93">
        <v>1961</v>
      </c>
      <c r="H203" s="88" t="str">
        <f>HYPERLINK("https://www.ncbi.nlm.nih.gov/pubmed/13785469", "13785469")</f>
        <v>13785469</v>
      </c>
      <c r="I203" s="91" t="s">
        <v>453</v>
      </c>
      <c r="J203" s="15">
        <v>1</v>
      </c>
      <c r="K203" s="7">
        <v>0</v>
      </c>
      <c r="L203" s="8">
        <v>0</v>
      </c>
      <c r="M203" s="7">
        <v>0</v>
      </c>
      <c r="N203" s="7">
        <v>0</v>
      </c>
      <c r="O203" s="9">
        <v>0</v>
      </c>
      <c r="P203" s="9">
        <v>0</v>
      </c>
      <c r="Q203" s="7">
        <v>0</v>
      </c>
      <c r="R203" s="10">
        <v>0</v>
      </c>
      <c r="S203" s="78" t="s">
        <v>324</v>
      </c>
      <c r="T203" s="79"/>
      <c r="U203" s="25">
        <v>3</v>
      </c>
      <c r="V203" s="26">
        <v>1</v>
      </c>
      <c r="W203" s="12" t="s">
        <v>7</v>
      </c>
      <c r="X203" s="32">
        <v>0</v>
      </c>
      <c r="Y203" s="32">
        <v>0</v>
      </c>
      <c r="Z203" s="12">
        <v>1</v>
      </c>
      <c r="AA203" s="32">
        <v>0</v>
      </c>
      <c r="AB203" s="32">
        <v>0</v>
      </c>
      <c r="AC203" s="32">
        <v>0</v>
      </c>
      <c r="AD203" s="73" t="s">
        <v>324</v>
      </c>
      <c r="AE203" s="83"/>
      <c r="AK203" s="31"/>
      <c r="AL203" s="33"/>
      <c r="AM203" s="33"/>
      <c r="AN203" s="49"/>
    </row>
    <row r="204" spans="1:40" x14ac:dyDescent="0.25">
      <c r="A204" s="100" t="s">
        <v>59</v>
      </c>
      <c r="B204" s="101" t="s">
        <v>517</v>
      </c>
      <c r="C204" s="104" t="s">
        <v>540</v>
      </c>
      <c r="D204" s="13">
        <v>1</v>
      </c>
      <c r="E204" s="29" t="s">
        <v>9</v>
      </c>
      <c r="F204" s="88" t="str">
        <f>HYPERLINK("http://ictvonline.org/taxonomyHistory.asp?taxnode_id=20164318","20164318")</f>
        <v>20164318</v>
      </c>
      <c r="G204" s="93">
        <v>1991</v>
      </c>
      <c r="H204" s="88" t="str">
        <f>HYPERLINK("https://www.ncbi.nlm.nih.gov/pubmed/1844977", "1844977")</f>
        <v>1844977</v>
      </c>
      <c r="I204" s="91" t="s">
        <v>453</v>
      </c>
      <c r="J204" s="15">
        <v>1</v>
      </c>
      <c r="K204" s="7">
        <v>0</v>
      </c>
      <c r="L204" s="8">
        <v>0</v>
      </c>
      <c r="M204" s="7">
        <v>0</v>
      </c>
      <c r="N204" s="7">
        <v>0</v>
      </c>
      <c r="O204" s="9">
        <v>0</v>
      </c>
      <c r="P204" s="9">
        <v>0</v>
      </c>
      <c r="Q204" s="7">
        <v>0</v>
      </c>
      <c r="R204" s="10">
        <v>0</v>
      </c>
      <c r="S204" s="81">
        <v>19402767</v>
      </c>
      <c r="T204" s="79"/>
      <c r="U204" s="11">
        <v>2</v>
      </c>
      <c r="V204" s="24">
        <v>0</v>
      </c>
      <c r="W204" s="12" t="s">
        <v>7</v>
      </c>
      <c r="X204" s="32">
        <v>0</v>
      </c>
      <c r="Y204" s="32">
        <v>0</v>
      </c>
      <c r="Z204" s="12">
        <v>1</v>
      </c>
      <c r="AA204" s="55">
        <v>0</v>
      </c>
      <c r="AB204" s="32">
        <v>0</v>
      </c>
      <c r="AC204" s="32">
        <v>0</v>
      </c>
      <c r="AD204" s="73" t="s">
        <v>342</v>
      </c>
      <c r="AE204" s="83"/>
      <c r="AK204" s="31"/>
      <c r="AL204" s="33"/>
      <c r="AM204" s="33"/>
      <c r="AN204" s="49"/>
    </row>
    <row r="205" spans="1:40" x14ac:dyDescent="0.25">
      <c r="A205" s="99" t="s">
        <v>106</v>
      </c>
      <c r="B205" s="104" t="s">
        <v>517</v>
      </c>
      <c r="C205" s="104" t="s">
        <v>540</v>
      </c>
      <c r="D205" s="13">
        <v>1</v>
      </c>
      <c r="E205" s="49" t="s">
        <v>9</v>
      </c>
      <c r="F205" s="88" t="str">
        <f>HYPERLINK("http://ictvonline.org/taxonomyHistory.asp?taxnode_id=20164319","20164319")</f>
        <v>20164319</v>
      </c>
      <c r="G205" s="93">
        <v>1993</v>
      </c>
      <c r="H205" s="88" t="str">
        <f>HYPERLINK("https://www.ncbi.nlm.nih.gov/pubmed/8153352", "8153352")</f>
        <v>8153352</v>
      </c>
      <c r="I205" s="92" t="s">
        <v>454</v>
      </c>
      <c r="J205" s="15">
        <v>1</v>
      </c>
      <c r="K205" s="7">
        <v>0</v>
      </c>
      <c r="L205" s="8">
        <v>0</v>
      </c>
      <c r="M205" s="7">
        <v>0</v>
      </c>
      <c r="N205" s="7">
        <v>0</v>
      </c>
      <c r="O205" s="9">
        <v>0</v>
      </c>
      <c r="P205" s="9">
        <v>0</v>
      </c>
      <c r="Q205" s="7">
        <v>0</v>
      </c>
      <c r="R205" s="10">
        <v>0</v>
      </c>
      <c r="S205" s="81" t="s">
        <v>342</v>
      </c>
      <c r="T205" s="79"/>
      <c r="U205" s="24">
        <v>2</v>
      </c>
      <c r="V205" s="24">
        <v>0</v>
      </c>
      <c r="W205" s="12" t="s">
        <v>7</v>
      </c>
      <c r="X205" s="32">
        <v>0</v>
      </c>
      <c r="Y205" s="32">
        <v>0</v>
      </c>
      <c r="Z205" s="12">
        <v>1</v>
      </c>
      <c r="AA205" s="32">
        <v>0</v>
      </c>
      <c r="AB205" s="32">
        <v>0</v>
      </c>
      <c r="AC205" s="32">
        <v>0</v>
      </c>
      <c r="AD205" s="84" t="s">
        <v>342</v>
      </c>
      <c r="AE205" s="83"/>
      <c r="AK205" s="31"/>
      <c r="AL205" s="33"/>
      <c r="AM205" s="33"/>
      <c r="AN205" s="49"/>
    </row>
    <row r="206" spans="1:40" x14ac:dyDescent="0.25">
      <c r="A206" s="101" t="s">
        <v>66</v>
      </c>
      <c r="B206" s="101" t="s">
        <v>517</v>
      </c>
      <c r="C206" s="104" t="s">
        <v>540</v>
      </c>
      <c r="D206" s="13">
        <v>1</v>
      </c>
      <c r="E206" s="29" t="s">
        <v>9</v>
      </c>
      <c r="F206" s="88" t="str">
        <f>HYPERLINK("http://ictvonline.org/taxonomyHistory.asp?taxnode_id=20164320","20164320")</f>
        <v>20164320</v>
      </c>
      <c r="G206" s="93">
        <v>1972</v>
      </c>
      <c r="H206" s="88" t="str">
        <f>HYPERLINK("https://www.ncbi.nlm.nih.gov/pubmed/5040017", "5040017")</f>
        <v>5040017</v>
      </c>
      <c r="I206" s="91" t="s">
        <v>453</v>
      </c>
      <c r="J206" s="17">
        <v>1</v>
      </c>
      <c r="K206" s="7">
        <v>0</v>
      </c>
      <c r="L206" s="8">
        <v>0</v>
      </c>
      <c r="M206" s="7">
        <v>0</v>
      </c>
      <c r="N206" s="7">
        <v>0</v>
      </c>
      <c r="O206" s="9">
        <v>0</v>
      </c>
      <c r="P206" s="9">
        <v>0</v>
      </c>
      <c r="Q206" s="7">
        <v>0</v>
      </c>
      <c r="R206" s="10">
        <v>0</v>
      </c>
      <c r="S206" s="85">
        <v>24799374</v>
      </c>
      <c r="T206" s="79"/>
      <c r="U206" s="25">
        <v>3</v>
      </c>
      <c r="V206" s="26">
        <v>1</v>
      </c>
      <c r="W206" s="12" t="s">
        <v>7</v>
      </c>
      <c r="X206" s="32">
        <v>0</v>
      </c>
      <c r="Y206" s="32">
        <v>0</v>
      </c>
      <c r="Z206" s="12">
        <v>1</v>
      </c>
      <c r="AA206" s="12">
        <v>1</v>
      </c>
      <c r="AB206" s="32">
        <v>0</v>
      </c>
      <c r="AC206" s="32">
        <v>0</v>
      </c>
      <c r="AD206" s="73" t="s">
        <v>343</v>
      </c>
      <c r="AE206" s="73" t="s">
        <v>344</v>
      </c>
      <c r="AK206" s="31"/>
      <c r="AL206" s="33"/>
      <c r="AM206" s="33"/>
      <c r="AN206" s="49"/>
    </row>
    <row r="207" spans="1:40" x14ac:dyDescent="0.25">
      <c r="A207" s="100" t="s">
        <v>72</v>
      </c>
      <c r="B207" s="101" t="s">
        <v>517</v>
      </c>
      <c r="C207" s="104" t="s">
        <v>540</v>
      </c>
      <c r="D207" s="13">
        <v>1</v>
      </c>
      <c r="E207" s="29" t="s">
        <v>9</v>
      </c>
      <c r="F207" s="88" t="str">
        <f>HYPERLINK("http://ictvonline.org/taxonomyHistory.asp?taxnode_id=20164322","20164322")</f>
        <v>20164322</v>
      </c>
      <c r="G207" s="93">
        <v>1979</v>
      </c>
      <c r="H207" s="88" t="str">
        <f>HYPERLINK("https://www.ncbi.nlm.nih.gov/pubmed/424742", "424742")</f>
        <v>424742</v>
      </c>
      <c r="I207" s="91" t="s">
        <v>453</v>
      </c>
      <c r="J207" s="15">
        <v>1</v>
      </c>
      <c r="K207" s="7">
        <v>0</v>
      </c>
      <c r="L207" s="8">
        <v>0</v>
      </c>
      <c r="M207" s="7">
        <v>0</v>
      </c>
      <c r="N207" s="7">
        <v>0</v>
      </c>
      <c r="O207" s="9">
        <v>0</v>
      </c>
      <c r="P207" s="9">
        <v>0</v>
      </c>
      <c r="Q207" s="7">
        <v>0</v>
      </c>
      <c r="R207" s="10">
        <v>0</v>
      </c>
      <c r="S207" s="81">
        <v>12491154</v>
      </c>
      <c r="T207" s="79"/>
      <c r="U207" s="25">
        <v>3</v>
      </c>
      <c r="V207" s="26">
        <v>1</v>
      </c>
      <c r="W207" s="12" t="s">
        <v>7</v>
      </c>
      <c r="X207" s="32">
        <v>0</v>
      </c>
      <c r="Y207" s="12">
        <v>1</v>
      </c>
      <c r="Z207" s="12">
        <v>1</v>
      </c>
      <c r="AA207" s="32">
        <v>0</v>
      </c>
      <c r="AB207" s="32">
        <v>0</v>
      </c>
      <c r="AC207" s="32">
        <v>0</v>
      </c>
      <c r="AD207" s="73" t="s">
        <v>317</v>
      </c>
      <c r="AE207" s="83"/>
      <c r="AK207" s="31"/>
      <c r="AL207" s="33"/>
      <c r="AM207" s="33"/>
      <c r="AN207" s="49"/>
    </row>
    <row r="208" spans="1:40" x14ac:dyDescent="0.25">
      <c r="A208" s="100" t="s">
        <v>74</v>
      </c>
      <c r="B208" s="101" t="s">
        <v>517</v>
      </c>
      <c r="C208" s="104" t="s">
        <v>540</v>
      </c>
      <c r="D208" s="13">
        <v>1</v>
      </c>
      <c r="E208" s="29" t="s">
        <v>9</v>
      </c>
      <c r="F208" s="88" t="str">
        <f>HYPERLINK("http://ictvonline.org/taxonomyHistory.asp?taxnode_id=20164323","20164323")</f>
        <v>20164323</v>
      </c>
      <c r="G208" s="93">
        <v>1955</v>
      </c>
      <c r="H208" s="88" t="str">
        <f>HYPERLINK("https://www.ncbi.nlm.nih.gov/pubmed/13259009", "13259009")</f>
        <v>13259009</v>
      </c>
      <c r="I208" s="91" t="s">
        <v>453</v>
      </c>
      <c r="J208" s="15">
        <v>1</v>
      </c>
      <c r="K208" s="7">
        <v>0</v>
      </c>
      <c r="L208" s="8">
        <v>0</v>
      </c>
      <c r="M208" s="7">
        <v>0</v>
      </c>
      <c r="N208" s="7">
        <v>0</v>
      </c>
      <c r="O208" s="9">
        <v>0</v>
      </c>
      <c r="P208" s="9">
        <v>0</v>
      </c>
      <c r="Q208" s="7">
        <v>0</v>
      </c>
      <c r="R208" s="10">
        <v>0</v>
      </c>
      <c r="S208" s="78" t="s">
        <v>355</v>
      </c>
      <c r="T208" s="79"/>
      <c r="U208" s="24">
        <v>2</v>
      </c>
      <c r="V208" s="24">
        <v>0</v>
      </c>
      <c r="W208" s="12" t="s">
        <v>7</v>
      </c>
      <c r="X208" s="32">
        <v>0</v>
      </c>
      <c r="Y208" s="32">
        <v>0</v>
      </c>
      <c r="Z208" s="12">
        <v>1</v>
      </c>
      <c r="AA208" s="12">
        <v>1</v>
      </c>
      <c r="AB208" s="32">
        <v>0</v>
      </c>
      <c r="AC208" s="32">
        <v>0</v>
      </c>
      <c r="AD208" s="73" t="s">
        <v>355</v>
      </c>
      <c r="AE208" s="83"/>
      <c r="AK208" s="29"/>
      <c r="AL208" s="33"/>
      <c r="AM208" s="33"/>
      <c r="AN208" s="49"/>
    </row>
    <row r="209" spans="1:40" x14ac:dyDescent="0.25">
      <c r="A209" s="99" t="s">
        <v>96</v>
      </c>
      <c r="B209" s="104" t="s">
        <v>517</v>
      </c>
      <c r="C209" s="104" t="s">
        <v>540</v>
      </c>
      <c r="D209" s="13">
        <v>1</v>
      </c>
      <c r="E209" s="49" t="s">
        <v>9</v>
      </c>
      <c r="F209" s="88" t="str">
        <f>HYPERLINK("http://ictvonline.org/taxonomyHistory.asp?taxnode_id=20164325","20164325")</f>
        <v>20164325</v>
      </c>
      <c r="G209" s="93">
        <v>1976</v>
      </c>
      <c r="H209" s="88" t="str">
        <f>HYPERLINK("https://www.ncbi.nlm.nih.gov/pubmed/1020877", "1020877")</f>
        <v>1020877</v>
      </c>
      <c r="I209" s="91" t="s">
        <v>453</v>
      </c>
      <c r="J209" s="15">
        <v>1</v>
      </c>
      <c r="K209" s="7">
        <v>0</v>
      </c>
      <c r="L209" s="8">
        <v>0</v>
      </c>
      <c r="M209" s="7">
        <v>0</v>
      </c>
      <c r="N209" s="7">
        <v>0</v>
      </c>
      <c r="O209" s="9">
        <v>0</v>
      </c>
      <c r="P209" s="9">
        <v>0</v>
      </c>
      <c r="Q209" s="7">
        <v>0</v>
      </c>
      <c r="R209" s="10">
        <v>0</v>
      </c>
      <c r="S209" s="81" t="s">
        <v>368</v>
      </c>
      <c r="T209" s="79"/>
      <c r="U209" s="24">
        <v>2</v>
      </c>
      <c r="V209" s="24">
        <v>0</v>
      </c>
      <c r="W209" s="12" t="s">
        <v>7</v>
      </c>
      <c r="X209" s="32">
        <v>0</v>
      </c>
      <c r="Y209" s="32">
        <v>0</v>
      </c>
      <c r="Z209" s="12">
        <v>1</v>
      </c>
      <c r="AA209" s="12">
        <v>1</v>
      </c>
      <c r="AB209" s="32">
        <v>0</v>
      </c>
      <c r="AC209" s="32">
        <v>0</v>
      </c>
      <c r="AD209" s="84" t="s">
        <v>368</v>
      </c>
      <c r="AE209" s="73" t="s">
        <v>369</v>
      </c>
      <c r="AK209" s="31"/>
      <c r="AL209" s="33"/>
      <c r="AM209" s="33"/>
      <c r="AN209" s="49"/>
    </row>
    <row r="210" spans="1:40" x14ac:dyDescent="0.25">
      <c r="A210" s="99" t="s">
        <v>107</v>
      </c>
      <c r="B210" s="104" t="s">
        <v>517</v>
      </c>
      <c r="C210" s="104" t="s">
        <v>540</v>
      </c>
      <c r="D210" s="13">
        <v>1</v>
      </c>
      <c r="E210" s="49" t="s">
        <v>9</v>
      </c>
      <c r="F210" s="88" t="str">
        <f>HYPERLINK("http://ictvonline.org/taxonomyHistory.asp?taxnode_id=20164327","20164327")</f>
        <v>20164327</v>
      </c>
      <c r="G210" s="93">
        <v>1963</v>
      </c>
      <c r="H210" s="88" t="str">
        <f>HYPERLINK("https://www.ncbi.nlm.nih.gov/pubmed/14070772", "14070772")</f>
        <v>14070772</v>
      </c>
      <c r="I210" s="92" t="s">
        <v>454</v>
      </c>
      <c r="J210" s="15">
        <v>1</v>
      </c>
      <c r="K210" s="7">
        <v>0</v>
      </c>
      <c r="L210" s="8">
        <v>0</v>
      </c>
      <c r="M210" s="7">
        <v>0</v>
      </c>
      <c r="N210" s="7">
        <v>0</v>
      </c>
      <c r="O210" s="9">
        <v>0</v>
      </c>
      <c r="P210" s="9">
        <v>0</v>
      </c>
      <c r="Q210" s="7">
        <v>0</v>
      </c>
      <c r="R210" s="10">
        <v>0</v>
      </c>
      <c r="S210" s="81">
        <v>23085307</v>
      </c>
      <c r="T210" s="79"/>
      <c r="U210" s="24">
        <v>2</v>
      </c>
      <c r="V210" s="24">
        <v>0</v>
      </c>
      <c r="W210" s="12" t="s">
        <v>7</v>
      </c>
      <c r="X210" s="32">
        <v>0</v>
      </c>
      <c r="Y210" s="12">
        <v>1</v>
      </c>
      <c r="Z210" s="12">
        <v>1</v>
      </c>
      <c r="AA210" s="32">
        <v>0</v>
      </c>
      <c r="AB210" s="32">
        <v>0</v>
      </c>
      <c r="AC210" s="32">
        <v>0</v>
      </c>
      <c r="AD210" s="73" t="s">
        <v>317</v>
      </c>
      <c r="AE210" s="73" t="s">
        <v>375</v>
      </c>
      <c r="AK210" s="31"/>
      <c r="AL210" s="33"/>
      <c r="AM210" s="33"/>
      <c r="AN210" s="49"/>
    </row>
    <row r="211" spans="1:40" x14ac:dyDescent="0.25">
      <c r="A211" s="100" t="s">
        <v>80</v>
      </c>
      <c r="B211" s="101" t="s">
        <v>517</v>
      </c>
      <c r="C211" s="104" t="s">
        <v>540</v>
      </c>
      <c r="D211" s="13">
        <v>1</v>
      </c>
      <c r="E211" s="29" t="s">
        <v>9</v>
      </c>
      <c r="F211" s="88" t="str">
        <f>HYPERLINK("http://ictvonline.org/taxonomyHistory.asp?taxnode_id=20164328","20164328")</f>
        <v>20164328</v>
      </c>
      <c r="G211" s="93">
        <v>1943</v>
      </c>
      <c r="H211" s="88" t="str">
        <f>HYPERLINK("https://www.ncbi.nlm.nih.gov/pubmed/19871301", "19871301")</f>
        <v>19871301</v>
      </c>
      <c r="I211" s="91" t="s">
        <v>453</v>
      </c>
      <c r="J211" s="15">
        <v>1</v>
      </c>
      <c r="K211" s="7">
        <v>0</v>
      </c>
      <c r="L211" s="8">
        <v>0</v>
      </c>
      <c r="M211" s="7">
        <v>0</v>
      </c>
      <c r="N211" s="7">
        <v>0</v>
      </c>
      <c r="O211" s="9">
        <v>0</v>
      </c>
      <c r="P211" s="9">
        <v>0</v>
      </c>
      <c r="Q211" s="7">
        <v>0</v>
      </c>
      <c r="R211" s="10">
        <v>0</v>
      </c>
      <c r="S211" s="81">
        <v>22989182</v>
      </c>
      <c r="T211" s="79"/>
      <c r="U211" s="25">
        <v>3</v>
      </c>
      <c r="V211" s="26">
        <v>1</v>
      </c>
      <c r="W211" s="12" t="s">
        <v>7</v>
      </c>
      <c r="X211" s="32">
        <v>0</v>
      </c>
      <c r="Y211" s="32">
        <v>0</v>
      </c>
      <c r="Z211" s="12">
        <v>1</v>
      </c>
      <c r="AA211" s="12">
        <v>1</v>
      </c>
      <c r="AB211" s="32">
        <v>0</v>
      </c>
      <c r="AC211" s="32">
        <v>0</v>
      </c>
      <c r="AD211" s="73" t="s">
        <v>376</v>
      </c>
      <c r="AE211" s="73" t="s">
        <v>377</v>
      </c>
      <c r="AK211" s="31"/>
      <c r="AL211" s="33"/>
      <c r="AM211" s="33"/>
      <c r="AN211" s="49"/>
    </row>
    <row r="212" spans="1:40" x14ac:dyDescent="0.25">
      <c r="A212" s="100" t="s">
        <v>83</v>
      </c>
      <c r="B212" s="101" t="s">
        <v>517</v>
      </c>
      <c r="C212" s="104" t="s">
        <v>540</v>
      </c>
      <c r="D212" s="13">
        <v>1</v>
      </c>
      <c r="E212" s="29" t="s">
        <v>9</v>
      </c>
      <c r="F212" s="88" t="str">
        <f>HYPERLINK("http://ictvonline.org/taxonomyHistory.asp?taxnode_id=20164329","20164329")</f>
        <v>20164329</v>
      </c>
      <c r="G212" s="93">
        <v>1938</v>
      </c>
      <c r="H212" s="88" t="str">
        <f>HYPERLINK("https://www.ncbi.nlm.nih.gov/pubmed/17736946", "17736946")</f>
        <v>17736946</v>
      </c>
      <c r="I212" s="91" t="s">
        <v>453</v>
      </c>
      <c r="J212" s="15">
        <v>1</v>
      </c>
      <c r="K212" s="7">
        <v>0</v>
      </c>
      <c r="L212" s="8">
        <v>0</v>
      </c>
      <c r="M212" s="7">
        <v>0</v>
      </c>
      <c r="N212" s="7">
        <v>0</v>
      </c>
      <c r="O212" s="9">
        <v>0</v>
      </c>
      <c r="P212" s="9">
        <v>0</v>
      </c>
      <c r="Q212" s="7">
        <v>0</v>
      </c>
      <c r="R212" s="10">
        <v>0</v>
      </c>
      <c r="S212" s="81">
        <v>22989182</v>
      </c>
      <c r="T212" s="79"/>
      <c r="U212" s="24">
        <v>2</v>
      </c>
      <c r="V212" s="24">
        <v>0</v>
      </c>
      <c r="W212" s="12" t="s">
        <v>7</v>
      </c>
      <c r="X212" s="32">
        <v>0</v>
      </c>
      <c r="Y212" s="32">
        <v>0</v>
      </c>
      <c r="Z212" s="12">
        <v>1</v>
      </c>
      <c r="AA212" s="12">
        <v>1</v>
      </c>
      <c r="AB212" s="52">
        <v>1</v>
      </c>
      <c r="AC212" s="32">
        <v>0</v>
      </c>
      <c r="AD212" s="73" t="s">
        <v>376</v>
      </c>
      <c r="AE212" s="83"/>
      <c r="AK212" s="31"/>
      <c r="AL212" s="33"/>
      <c r="AM212" s="33"/>
      <c r="AN212" s="49"/>
    </row>
    <row r="213" spans="1:40" x14ac:dyDescent="0.25">
      <c r="A213" s="100" t="s">
        <v>84</v>
      </c>
      <c r="B213" s="101" t="s">
        <v>517</v>
      </c>
      <c r="C213" s="104" t="s">
        <v>540</v>
      </c>
      <c r="D213" s="13">
        <v>1</v>
      </c>
      <c r="E213" s="29" t="s">
        <v>9</v>
      </c>
      <c r="F213" s="88" t="str">
        <f>HYPERLINK("http://ictvonline.org/taxonomyHistory.asp?taxnode_id=20164330","20164330")</f>
        <v>20164330</v>
      </c>
      <c r="G213" s="93">
        <v>1964</v>
      </c>
      <c r="H213" s="88" t="str">
        <f>HYPERLINK("https://www.ncbi.nlm.nih.gov/pubmed/14244706", "14244706")</f>
        <v>14244706</v>
      </c>
      <c r="I213" s="92" t="s">
        <v>454</v>
      </c>
      <c r="J213" s="15">
        <v>1</v>
      </c>
      <c r="K213" s="7">
        <v>0</v>
      </c>
      <c r="L213" s="8">
        <v>0</v>
      </c>
      <c r="M213" s="7">
        <v>0</v>
      </c>
      <c r="N213" s="7">
        <v>0</v>
      </c>
      <c r="O213" s="9">
        <v>0</v>
      </c>
      <c r="P213" s="9">
        <v>0</v>
      </c>
      <c r="Q213" s="7">
        <v>0</v>
      </c>
      <c r="R213" s="10">
        <v>0</v>
      </c>
      <c r="S213" s="85">
        <v>15381803</v>
      </c>
      <c r="T213" s="79"/>
      <c r="U213" s="24">
        <v>2</v>
      </c>
      <c r="V213" s="24">
        <v>0</v>
      </c>
      <c r="W213" s="12" t="s">
        <v>7</v>
      </c>
      <c r="X213" s="32">
        <v>0</v>
      </c>
      <c r="Y213" s="32">
        <v>0</v>
      </c>
      <c r="Z213" s="12">
        <v>1</v>
      </c>
      <c r="AA213" s="12">
        <v>1</v>
      </c>
      <c r="AB213" s="32">
        <v>0</v>
      </c>
      <c r="AC213" s="32">
        <v>0</v>
      </c>
      <c r="AD213" s="73" t="s">
        <v>317</v>
      </c>
      <c r="AE213" s="83"/>
      <c r="AK213" s="31"/>
      <c r="AL213" s="33"/>
      <c r="AM213" s="33"/>
      <c r="AN213" s="49"/>
    </row>
    <row r="214" spans="1:40" x14ac:dyDescent="0.25">
      <c r="A214" s="100" t="s">
        <v>70</v>
      </c>
      <c r="B214" s="101" t="s">
        <v>518</v>
      </c>
      <c r="C214" s="104" t="s">
        <v>540</v>
      </c>
      <c r="D214" s="13">
        <v>1</v>
      </c>
      <c r="E214" s="29" t="s">
        <v>9</v>
      </c>
      <c r="F214" s="88" t="str">
        <f>HYPERLINK("http://ictvonline.org/taxonomyHistory.asp?taxnode_id=20164332","20164332")</f>
        <v>20164332</v>
      </c>
      <c r="G214" s="93">
        <v>1942</v>
      </c>
      <c r="H214" s="88" t="str">
        <f>HYPERLINK("http://www.jstor.org/stable/4584176", "Available from external site")</f>
        <v>Available from external site</v>
      </c>
      <c r="I214" s="91" t="s">
        <v>453</v>
      </c>
      <c r="J214" s="7">
        <v>0</v>
      </c>
      <c r="K214" s="17">
        <v>1</v>
      </c>
      <c r="L214" s="8">
        <v>0</v>
      </c>
      <c r="M214" s="7">
        <v>0</v>
      </c>
      <c r="N214" s="7">
        <v>0</v>
      </c>
      <c r="O214" s="9">
        <v>0</v>
      </c>
      <c r="P214" s="9">
        <v>0</v>
      </c>
      <c r="Q214" s="17">
        <v>1</v>
      </c>
      <c r="R214" s="18">
        <v>1</v>
      </c>
      <c r="S214" s="78" t="s">
        <v>348</v>
      </c>
      <c r="T214" s="79"/>
      <c r="U214" s="27" t="s">
        <v>8</v>
      </c>
      <c r="V214" s="26">
        <v>1</v>
      </c>
      <c r="W214" s="32" t="s">
        <v>150</v>
      </c>
      <c r="X214" s="12">
        <v>1</v>
      </c>
      <c r="Y214" s="32">
        <v>0</v>
      </c>
      <c r="Z214" s="32">
        <v>0</v>
      </c>
      <c r="AA214" s="32">
        <v>0</v>
      </c>
      <c r="AB214" s="32">
        <v>0</v>
      </c>
      <c r="AC214" s="32">
        <v>0</v>
      </c>
      <c r="AD214" s="73" t="s">
        <v>348</v>
      </c>
      <c r="AE214" s="73" t="s">
        <v>349</v>
      </c>
      <c r="AK214" s="31"/>
      <c r="AL214" s="33"/>
      <c r="AM214" s="33"/>
      <c r="AN214" s="49"/>
    </row>
    <row r="215" spans="1:40" x14ac:dyDescent="0.25">
      <c r="A215" s="100" t="s">
        <v>31</v>
      </c>
      <c r="B215" s="101" t="s">
        <v>519</v>
      </c>
      <c r="C215" s="29" t="s">
        <v>32</v>
      </c>
      <c r="D215" s="13">
        <v>1</v>
      </c>
      <c r="E215" s="29" t="s">
        <v>10</v>
      </c>
      <c r="F215" s="88" t="str">
        <f>HYPERLINK("http://ictvonline.org/taxonomyHistory.asp?taxnode_id=20164479","20164479")</f>
        <v>20164479</v>
      </c>
      <c r="G215" s="93">
        <v>1977</v>
      </c>
      <c r="H215" s="88" t="str">
        <f>HYPERLINK("https://www.ncbi.nlm.nih.gov/pubmed/75123", "75123")</f>
        <v>75123</v>
      </c>
      <c r="I215" s="91" t="s">
        <v>453</v>
      </c>
      <c r="J215" s="7">
        <v>0</v>
      </c>
      <c r="K215" s="7">
        <v>0</v>
      </c>
      <c r="L215" s="8">
        <v>0</v>
      </c>
      <c r="M215" s="7">
        <v>0</v>
      </c>
      <c r="N215" s="17">
        <v>1</v>
      </c>
      <c r="O215" s="9">
        <v>0</v>
      </c>
      <c r="P215" s="17">
        <v>1</v>
      </c>
      <c r="Q215" s="7">
        <v>0</v>
      </c>
      <c r="R215" s="10">
        <v>0</v>
      </c>
      <c r="S215" s="78" t="s">
        <v>272</v>
      </c>
      <c r="T215" s="79"/>
      <c r="U215" s="27" t="s">
        <v>8</v>
      </c>
      <c r="V215" s="26">
        <v>1</v>
      </c>
      <c r="W215" s="32" t="s">
        <v>150</v>
      </c>
      <c r="X215" s="12">
        <v>1</v>
      </c>
      <c r="Y215" s="32">
        <v>0</v>
      </c>
      <c r="Z215" s="32">
        <v>0</v>
      </c>
      <c r="AA215" s="32">
        <v>0</v>
      </c>
      <c r="AB215" s="32">
        <v>0</v>
      </c>
      <c r="AC215" s="32">
        <v>0</v>
      </c>
      <c r="AD215" s="73" t="s">
        <v>271</v>
      </c>
      <c r="AE215" s="73" t="s">
        <v>272</v>
      </c>
      <c r="AK215" s="31"/>
      <c r="AL215" s="33"/>
      <c r="AM215" s="33"/>
      <c r="AN215" s="49"/>
    </row>
    <row r="216" spans="1:40" x14ac:dyDescent="0.25">
      <c r="F216" s="89"/>
      <c r="H216" s="89"/>
      <c r="I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K216" s="31"/>
      <c r="AL216" s="33"/>
      <c r="AM216" s="33"/>
      <c r="AN216" s="49"/>
    </row>
    <row r="217" spans="1:40" x14ac:dyDescent="0.25">
      <c r="I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K217" s="31"/>
      <c r="AL217" s="33"/>
      <c r="AM217" s="33"/>
    </row>
    <row r="218" spans="1:40" x14ac:dyDescent="0.25">
      <c r="I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K218" s="31"/>
      <c r="AL218" s="33"/>
      <c r="AM218" s="33"/>
    </row>
    <row r="219" spans="1:40" x14ac:dyDescent="0.25">
      <c r="I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</row>
    <row r="220" spans="1:40" x14ac:dyDescent="0.25">
      <c r="I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</row>
    <row r="221" spans="1:40" x14ac:dyDescent="0.25">
      <c r="I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</row>
    <row r="222" spans="1:40" x14ac:dyDescent="0.25">
      <c r="I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</row>
    <row r="223" spans="1:40" x14ac:dyDescent="0.25">
      <c r="I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</row>
    <row r="224" spans="1:40" x14ac:dyDescent="0.25">
      <c r="I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</row>
    <row r="225" spans="9:34" x14ac:dyDescent="0.25">
      <c r="I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</row>
    <row r="226" spans="9:34" x14ac:dyDescent="0.25">
      <c r="I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</row>
    <row r="227" spans="9:34" x14ac:dyDescent="0.25">
      <c r="I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</row>
    <row r="228" spans="9:34" x14ac:dyDescent="0.25">
      <c r="I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</row>
    <row r="229" spans="9:34" x14ac:dyDescent="0.25">
      <c r="AF229" s="53"/>
      <c r="AG229" s="53"/>
      <c r="AH229" s="53"/>
    </row>
    <row r="230" spans="9:34" x14ac:dyDescent="0.25">
      <c r="AF230" s="53"/>
      <c r="AG230" s="53"/>
      <c r="AH230" s="53"/>
    </row>
    <row r="231" spans="9:34" x14ac:dyDescent="0.25">
      <c r="AG231" s="53"/>
      <c r="AH231" s="53"/>
    </row>
  </sheetData>
  <sortState ref="A2:AN231">
    <sortCondition ref="B2:B231"/>
    <sortCondition ref="A2:A231"/>
  </sortState>
  <conditionalFormatting sqref="F2">
    <cfRule type="cellIs" dxfId="201" priority="203" stopIfTrue="1" operator="equal">
      <formula>"NULL"</formula>
    </cfRule>
  </conditionalFormatting>
  <conditionalFormatting sqref="F3">
    <cfRule type="cellIs" dxfId="200" priority="202" stopIfTrue="1" operator="equal">
      <formula>"NULL"</formula>
    </cfRule>
  </conditionalFormatting>
  <conditionalFormatting sqref="F4">
    <cfRule type="cellIs" dxfId="199" priority="201" stopIfTrue="1" operator="equal">
      <formula>"NULL"</formula>
    </cfRule>
  </conditionalFormatting>
  <conditionalFormatting sqref="F5">
    <cfRule type="cellIs" dxfId="198" priority="200" stopIfTrue="1" operator="equal">
      <formula>"NULL"</formula>
    </cfRule>
  </conditionalFormatting>
  <conditionalFormatting sqref="F6">
    <cfRule type="cellIs" dxfId="197" priority="199" stopIfTrue="1" operator="equal">
      <formula>"NULL"</formula>
    </cfRule>
  </conditionalFormatting>
  <conditionalFormatting sqref="F7">
    <cfRule type="cellIs" dxfId="196" priority="198" stopIfTrue="1" operator="equal">
      <formula>"NULL"</formula>
    </cfRule>
  </conditionalFormatting>
  <conditionalFormatting sqref="F8">
    <cfRule type="cellIs" dxfId="195" priority="197" stopIfTrue="1" operator="equal">
      <formula>"NULL"</formula>
    </cfRule>
  </conditionalFormatting>
  <conditionalFormatting sqref="F9">
    <cfRule type="cellIs" dxfId="194" priority="196" stopIfTrue="1" operator="equal">
      <formula>"NULL"</formula>
    </cfRule>
  </conditionalFormatting>
  <conditionalFormatting sqref="F10">
    <cfRule type="cellIs" dxfId="193" priority="195" stopIfTrue="1" operator="equal">
      <formula>"NULL"</formula>
    </cfRule>
  </conditionalFormatting>
  <conditionalFormatting sqref="F11">
    <cfRule type="cellIs" dxfId="192" priority="194" stopIfTrue="1" operator="equal">
      <formula>"NULL"</formula>
    </cfRule>
  </conditionalFormatting>
  <conditionalFormatting sqref="F12">
    <cfRule type="cellIs" dxfId="191" priority="193" stopIfTrue="1" operator="equal">
      <formula>"NULL"</formula>
    </cfRule>
  </conditionalFormatting>
  <conditionalFormatting sqref="F13">
    <cfRule type="cellIs" dxfId="190" priority="192" stopIfTrue="1" operator="equal">
      <formula>"NULL"</formula>
    </cfRule>
  </conditionalFormatting>
  <conditionalFormatting sqref="F14">
    <cfRule type="cellIs" dxfId="189" priority="191" stopIfTrue="1" operator="equal">
      <formula>"NULL"</formula>
    </cfRule>
  </conditionalFormatting>
  <conditionalFormatting sqref="F15">
    <cfRule type="cellIs" dxfId="188" priority="190" stopIfTrue="1" operator="equal">
      <formula>"NULL"</formula>
    </cfRule>
  </conditionalFormatting>
  <conditionalFormatting sqref="F16">
    <cfRule type="cellIs" dxfId="187" priority="189" stopIfTrue="1" operator="equal">
      <formula>"NULL"</formula>
    </cfRule>
  </conditionalFormatting>
  <conditionalFormatting sqref="F17">
    <cfRule type="cellIs" dxfId="186" priority="188" stopIfTrue="1" operator="equal">
      <formula>"NULL"</formula>
    </cfRule>
  </conditionalFormatting>
  <conditionalFormatting sqref="F18">
    <cfRule type="cellIs" dxfId="185" priority="187" stopIfTrue="1" operator="equal">
      <formula>"NULL"</formula>
    </cfRule>
  </conditionalFormatting>
  <conditionalFormatting sqref="F19">
    <cfRule type="cellIs" dxfId="184" priority="186" stopIfTrue="1" operator="equal">
      <formula>"NULL"</formula>
    </cfRule>
  </conditionalFormatting>
  <conditionalFormatting sqref="F20">
    <cfRule type="cellIs" dxfId="183" priority="185" stopIfTrue="1" operator="equal">
      <formula>"NULL"</formula>
    </cfRule>
  </conditionalFormatting>
  <conditionalFormatting sqref="F21">
    <cfRule type="cellIs" dxfId="182" priority="184" stopIfTrue="1" operator="equal">
      <formula>"NULL"</formula>
    </cfRule>
  </conditionalFormatting>
  <conditionalFormatting sqref="F22">
    <cfRule type="cellIs" dxfId="181" priority="183" stopIfTrue="1" operator="equal">
      <formula>"NULL"</formula>
    </cfRule>
  </conditionalFormatting>
  <conditionalFormatting sqref="F23">
    <cfRule type="cellIs" dxfId="180" priority="182" stopIfTrue="1" operator="equal">
      <formula>"NULL"</formula>
    </cfRule>
  </conditionalFormatting>
  <conditionalFormatting sqref="F24">
    <cfRule type="cellIs" dxfId="179" priority="181" stopIfTrue="1" operator="equal">
      <formula>"NULL"</formula>
    </cfRule>
  </conditionalFormatting>
  <conditionalFormatting sqref="F25">
    <cfRule type="cellIs" dxfId="178" priority="180" stopIfTrue="1" operator="equal">
      <formula>"NULL"</formula>
    </cfRule>
  </conditionalFormatting>
  <conditionalFormatting sqref="F26">
    <cfRule type="cellIs" dxfId="177" priority="179" stopIfTrue="1" operator="equal">
      <formula>"NULL"</formula>
    </cfRule>
  </conditionalFormatting>
  <conditionalFormatting sqref="F27">
    <cfRule type="cellIs" dxfId="176" priority="178" stopIfTrue="1" operator="equal">
      <formula>"NULL"</formula>
    </cfRule>
  </conditionalFormatting>
  <conditionalFormatting sqref="F29">
    <cfRule type="cellIs" dxfId="175" priority="177" stopIfTrue="1" operator="equal">
      <formula>"NULL"</formula>
    </cfRule>
  </conditionalFormatting>
  <conditionalFormatting sqref="F30">
    <cfRule type="cellIs" dxfId="174" priority="176" stopIfTrue="1" operator="equal">
      <formula>"NULL"</formula>
    </cfRule>
  </conditionalFormatting>
  <conditionalFormatting sqref="F31">
    <cfRule type="cellIs" dxfId="173" priority="175" stopIfTrue="1" operator="equal">
      <formula>"NULL"</formula>
    </cfRule>
  </conditionalFormatting>
  <conditionalFormatting sqref="F32">
    <cfRule type="cellIs" dxfId="172" priority="174" stopIfTrue="1" operator="equal">
      <formula>"NULL"</formula>
    </cfRule>
  </conditionalFormatting>
  <conditionalFormatting sqref="F33">
    <cfRule type="cellIs" dxfId="171" priority="173" stopIfTrue="1" operator="equal">
      <formula>"NULL"</formula>
    </cfRule>
  </conditionalFormatting>
  <conditionalFormatting sqref="F34">
    <cfRule type="cellIs" dxfId="170" priority="172" stopIfTrue="1" operator="equal">
      <formula>"NULL"</formula>
    </cfRule>
  </conditionalFormatting>
  <conditionalFormatting sqref="F35">
    <cfRule type="cellIs" dxfId="169" priority="171" stopIfTrue="1" operator="equal">
      <formula>"NULL"</formula>
    </cfRule>
  </conditionalFormatting>
  <conditionalFormatting sqref="F36">
    <cfRule type="cellIs" dxfId="168" priority="170" stopIfTrue="1" operator="equal">
      <formula>"NULL"</formula>
    </cfRule>
  </conditionalFormatting>
  <conditionalFormatting sqref="F37">
    <cfRule type="cellIs" dxfId="167" priority="169" stopIfTrue="1" operator="equal">
      <formula>"NULL"</formula>
    </cfRule>
  </conditionalFormatting>
  <conditionalFormatting sqref="F38">
    <cfRule type="cellIs" dxfId="166" priority="168" stopIfTrue="1" operator="equal">
      <formula>"NULL"</formula>
    </cfRule>
  </conditionalFormatting>
  <conditionalFormatting sqref="F39">
    <cfRule type="cellIs" dxfId="165" priority="167" stopIfTrue="1" operator="equal">
      <formula>"NULL"</formula>
    </cfRule>
  </conditionalFormatting>
  <conditionalFormatting sqref="F40">
    <cfRule type="cellIs" dxfId="164" priority="166" stopIfTrue="1" operator="equal">
      <formula>"NULL"</formula>
    </cfRule>
  </conditionalFormatting>
  <conditionalFormatting sqref="F41">
    <cfRule type="cellIs" dxfId="163" priority="165" stopIfTrue="1" operator="equal">
      <formula>"NULL"</formula>
    </cfRule>
  </conditionalFormatting>
  <conditionalFormatting sqref="F42">
    <cfRule type="cellIs" dxfId="162" priority="164" stopIfTrue="1" operator="equal">
      <formula>"NULL"</formula>
    </cfRule>
  </conditionalFormatting>
  <conditionalFormatting sqref="F43">
    <cfRule type="cellIs" dxfId="161" priority="163" stopIfTrue="1" operator="equal">
      <formula>"NULL"</formula>
    </cfRule>
  </conditionalFormatting>
  <conditionalFormatting sqref="F44">
    <cfRule type="cellIs" dxfId="160" priority="162" stopIfTrue="1" operator="equal">
      <formula>"NULL"</formula>
    </cfRule>
  </conditionalFormatting>
  <conditionalFormatting sqref="F45">
    <cfRule type="cellIs" dxfId="159" priority="161" stopIfTrue="1" operator="equal">
      <formula>"NULL"</formula>
    </cfRule>
  </conditionalFormatting>
  <conditionalFormatting sqref="F46">
    <cfRule type="cellIs" dxfId="158" priority="160" stopIfTrue="1" operator="equal">
      <formula>"NULL"</formula>
    </cfRule>
  </conditionalFormatting>
  <conditionalFormatting sqref="F47">
    <cfRule type="cellIs" dxfId="157" priority="159" stopIfTrue="1" operator="equal">
      <formula>"NULL"</formula>
    </cfRule>
  </conditionalFormatting>
  <conditionalFormatting sqref="F48">
    <cfRule type="cellIs" dxfId="156" priority="158" stopIfTrue="1" operator="equal">
      <formula>"NULL"</formula>
    </cfRule>
  </conditionalFormatting>
  <conditionalFormatting sqref="F49">
    <cfRule type="cellIs" dxfId="155" priority="157" stopIfTrue="1" operator="equal">
      <formula>"NULL"</formula>
    </cfRule>
  </conditionalFormatting>
  <conditionalFormatting sqref="F50">
    <cfRule type="cellIs" dxfId="154" priority="156" stopIfTrue="1" operator="equal">
      <formula>"NULL"</formula>
    </cfRule>
  </conditionalFormatting>
  <conditionalFormatting sqref="F51">
    <cfRule type="cellIs" dxfId="153" priority="155" stopIfTrue="1" operator="equal">
      <formula>"NULL"</formula>
    </cfRule>
  </conditionalFormatting>
  <conditionalFormatting sqref="F52">
    <cfRule type="cellIs" dxfId="152" priority="154" stopIfTrue="1" operator="equal">
      <formula>"NULL"</formula>
    </cfRule>
  </conditionalFormatting>
  <conditionalFormatting sqref="F53">
    <cfRule type="cellIs" dxfId="151" priority="153" stopIfTrue="1" operator="equal">
      <formula>"NULL"</formula>
    </cfRule>
  </conditionalFormatting>
  <conditionalFormatting sqref="F54">
    <cfRule type="cellIs" dxfId="150" priority="152" stopIfTrue="1" operator="equal">
      <formula>"NULL"</formula>
    </cfRule>
  </conditionalFormatting>
  <conditionalFormatting sqref="F55">
    <cfRule type="cellIs" dxfId="149" priority="151" stopIfTrue="1" operator="equal">
      <formula>"NULL"</formula>
    </cfRule>
  </conditionalFormatting>
  <conditionalFormatting sqref="F56">
    <cfRule type="cellIs" dxfId="148" priority="150" stopIfTrue="1" operator="equal">
      <formula>"NULL"</formula>
    </cfRule>
  </conditionalFormatting>
  <conditionalFormatting sqref="F57">
    <cfRule type="cellIs" dxfId="147" priority="149" stopIfTrue="1" operator="equal">
      <formula>"NULL"</formula>
    </cfRule>
  </conditionalFormatting>
  <conditionalFormatting sqref="F58">
    <cfRule type="cellIs" dxfId="146" priority="148" stopIfTrue="1" operator="equal">
      <formula>"NULL"</formula>
    </cfRule>
  </conditionalFormatting>
  <conditionalFormatting sqref="F59">
    <cfRule type="cellIs" dxfId="145" priority="147" stopIfTrue="1" operator="equal">
      <formula>"NULL"</formula>
    </cfRule>
  </conditionalFormatting>
  <conditionalFormatting sqref="F60">
    <cfRule type="cellIs" dxfId="144" priority="146" stopIfTrue="1" operator="equal">
      <formula>"NULL"</formula>
    </cfRule>
  </conditionalFormatting>
  <conditionalFormatting sqref="F61">
    <cfRule type="cellIs" dxfId="143" priority="145" stopIfTrue="1" operator="equal">
      <formula>"NULL"</formula>
    </cfRule>
  </conditionalFormatting>
  <conditionalFormatting sqref="F65">
    <cfRule type="cellIs" dxfId="142" priority="144" stopIfTrue="1" operator="equal">
      <formula>"NULL"</formula>
    </cfRule>
  </conditionalFormatting>
  <conditionalFormatting sqref="F66">
    <cfRule type="cellIs" dxfId="141" priority="143" stopIfTrue="1" operator="equal">
      <formula>"NULL"</formula>
    </cfRule>
  </conditionalFormatting>
  <conditionalFormatting sqref="F67">
    <cfRule type="cellIs" dxfId="140" priority="142" stopIfTrue="1" operator="equal">
      <formula>"NULL"</formula>
    </cfRule>
  </conditionalFormatting>
  <conditionalFormatting sqref="F68">
    <cfRule type="cellIs" dxfId="139" priority="141" stopIfTrue="1" operator="equal">
      <formula>"NULL"</formula>
    </cfRule>
  </conditionalFormatting>
  <conditionalFormatting sqref="F69">
    <cfRule type="cellIs" dxfId="138" priority="140" stopIfTrue="1" operator="equal">
      <formula>"NULL"</formula>
    </cfRule>
  </conditionalFormatting>
  <conditionalFormatting sqref="F70">
    <cfRule type="cellIs" dxfId="137" priority="139" stopIfTrue="1" operator="equal">
      <formula>"NULL"</formula>
    </cfRule>
  </conditionalFormatting>
  <conditionalFormatting sqref="F71">
    <cfRule type="cellIs" dxfId="136" priority="138" stopIfTrue="1" operator="equal">
      <formula>"NULL"</formula>
    </cfRule>
  </conditionalFormatting>
  <conditionalFormatting sqref="F72">
    <cfRule type="cellIs" dxfId="135" priority="137" stopIfTrue="1" operator="equal">
      <formula>"NULL"</formula>
    </cfRule>
  </conditionalFormatting>
  <conditionalFormatting sqref="F73">
    <cfRule type="cellIs" dxfId="134" priority="136" stopIfTrue="1" operator="equal">
      <formula>"NULL"</formula>
    </cfRule>
  </conditionalFormatting>
  <conditionalFormatting sqref="F74">
    <cfRule type="cellIs" dxfId="133" priority="135" stopIfTrue="1" operator="equal">
      <formula>"NULL"</formula>
    </cfRule>
  </conditionalFormatting>
  <conditionalFormatting sqref="F75">
    <cfRule type="cellIs" dxfId="132" priority="134" stopIfTrue="1" operator="equal">
      <formula>"NULL"</formula>
    </cfRule>
  </conditionalFormatting>
  <conditionalFormatting sqref="F76">
    <cfRule type="cellIs" dxfId="131" priority="133" stopIfTrue="1" operator="equal">
      <formula>"NULL"</formula>
    </cfRule>
  </conditionalFormatting>
  <conditionalFormatting sqref="F77">
    <cfRule type="cellIs" dxfId="130" priority="132" stopIfTrue="1" operator="equal">
      <formula>"NULL"</formula>
    </cfRule>
  </conditionalFormatting>
  <conditionalFormatting sqref="F78">
    <cfRule type="cellIs" dxfId="129" priority="131" stopIfTrue="1" operator="equal">
      <formula>"NULL"</formula>
    </cfRule>
  </conditionalFormatting>
  <conditionalFormatting sqref="F79">
    <cfRule type="cellIs" dxfId="128" priority="130" stopIfTrue="1" operator="equal">
      <formula>"NULL"</formula>
    </cfRule>
  </conditionalFormatting>
  <conditionalFormatting sqref="F80">
    <cfRule type="cellIs" dxfId="127" priority="129" stopIfTrue="1" operator="equal">
      <formula>"NULL"</formula>
    </cfRule>
  </conditionalFormatting>
  <conditionalFormatting sqref="F81">
    <cfRule type="cellIs" dxfId="126" priority="128" stopIfTrue="1" operator="equal">
      <formula>"NULL"</formula>
    </cfRule>
  </conditionalFormatting>
  <conditionalFormatting sqref="F82">
    <cfRule type="cellIs" dxfId="125" priority="127" stopIfTrue="1" operator="equal">
      <formula>"NULL"</formula>
    </cfRule>
  </conditionalFormatting>
  <conditionalFormatting sqref="F83">
    <cfRule type="cellIs" dxfId="124" priority="126" stopIfTrue="1" operator="equal">
      <formula>"NULL"</formula>
    </cfRule>
  </conditionalFormatting>
  <conditionalFormatting sqref="F84">
    <cfRule type="cellIs" dxfId="123" priority="125" stopIfTrue="1" operator="equal">
      <formula>"NULL"</formula>
    </cfRule>
  </conditionalFormatting>
  <conditionalFormatting sqref="F85">
    <cfRule type="cellIs" dxfId="122" priority="124" stopIfTrue="1" operator="equal">
      <formula>"NULL"</formula>
    </cfRule>
  </conditionalFormatting>
  <conditionalFormatting sqref="F86">
    <cfRule type="cellIs" dxfId="121" priority="123" stopIfTrue="1" operator="equal">
      <formula>"NULL"</formula>
    </cfRule>
  </conditionalFormatting>
  <conditionalFormatting sqref="F87">
    <cfRule type="cellIs" dxfId="120" priority="122" stopIfTrue="1" operator="equal">
      <formula>"NULL"</formula>
    </cfRule>
  </conditionalFormatting>
  <conditionalFormatting sqref="F88">
    <cfRule type="cellIs" dxfId="119" priority="121" stopIfTrue="1" operator="equal">
      <formula>"NULL"</formula>
    </cfRule>
  </conditionalFormatting>
  <conditionalFormatting sqref="F89">
    <cfRule type="cellIs" dxfId="118" priority="120" stopIfTrue="1" operator="equal">
      <formula>"NULL"</formula>
    </cfRule>
  </conditionalFormatting>
  <conditionalFormatting sqref="F90">
    <cfRule type="cellIs" dxfId="117" priority="119" stopIfTrue="1" operator="equal">
      <formula>"NULL"</formula>
    </cfRule>
  </conditionalFormatting>
  <conditionalFormatting sqref="F91">
    <cfRule type="cellIs" dxfId="116" priority="118" stopIfTrue="1" operator="equal">
      <formula>"NULL"</formula>
    </cfRule>
  </conditionalFormatting>
  <conditionalFormatting sqref="F92">
    <cfRule type="cellIs" dxfId="115" priority="117" stopIfTrue="1" operator="equal">
      <formula>"NULL"</formula>
    </cfRule>
  </conditionalFormatting>
  <conditionalFormatting sqref="F93">
    <cfRule type="cellIs" dxfId="114" priority="116" stopIfTrue="1" operator="equal">
      <formula>"NULL"</formula>
    </cfRule>
  </conditionalFormatting>
  <conditionalFormatting sqref="F94">
    <cfRule type="cellIs" dxfId="113" priority="115" stopIfTrue="1" operator="equal">
      <formula>"NULL"</formula>
    </cfRule>
  </conditionalFormatting>
  <conditionalFormatting sqref="F95">
    <cfRule type="cellIs" dxfId="112" priority="114" stopIfTrue="1" operator="equal">
      <formula>"NULL"</formula>
    </cfRule>
  </conditionalFormatting>
  <conditionalFormatting sqref="F97">
    <cfRule type="cellIs" dxfId="111" priority="113" stopIfTrue="1" operator="equal">
      <formula>"NULL"</formula>
    </cfRule>
  </conditionalFormatting>
  <conditionalFormatting sqref="F98">
    <cfRule type="cellIs" dxfId="110" priority="112" stopIfTrue="1" operator="equal">
      <formula>"NULL"</formula>
    </cfRule>
  </conditionalFormatting>
  <conditionalFormatting sqref="F99">
    <cfRule type="cellIs" dxfId="109" priority="111" stopIfTrue="1" operator="equal">
      <formula>"NULL"</formula>
    </cfRule>
  </conditionalFormatting>
  <conditionalFormatting sqref="F101">
    <cfRule type="cellIs" dxfId="108" priority="110" stopIfTrue="1" operator="equal">
      <formula>"NULL"</formula>
    </cfRule>
  </conditionalFormatting>
  <conditionalFormatting sqref="F102">
    <cfRule type="cellIs" dxfId="107" priority="109" stopIfTrue="1" operator="equal">
      <formula>"NULL"</formula>
    </cfRule>
  </conditionalFormatting>
  <conditionalFormatting sqref="F103">
    <cfRule type="cellIs" dxfId="106" priority="108" stopIfTrue="1" operator="equal">
      <formula>"NULL"</formula>
    </cfRule>
  </conditionalFormatting>
  <conditionalFormatting sqref="F104">
    <cfRule type="cellIs" dxfId="105" priority="107" stopIfTrue="1" operator="equal">
      <formula>"NULL"</formula>
    </cfRule>
  </conditionalFormatting>
  <conditionalFormatting sqref="F105">
    <cfRule type="cellIs" dxfId="104" priority="106" stopIfTrue="1" operator="equal">
      <formula>"NULL"</formula>
    </cfRule>
  </conditionalFormatting>
  <conditionalFormatting sqref="F106">
    <cfRule type="cellIs" dxfId="103" priority="105" stopIfTrue="1" operator="equal">
      <formula>"NULL"</formula>
    </cfRule>
  </conditionalFormatting>
  <conditionalFormatting sqref="F107">
    <cfRule type="cellIs" dxfId="102" priority="104" stopIfTrue="1" operator="equal">
      <formula>"NULL"</formula>
    </cfRule>
  </conditionalFormatting>
  <conditionalFormatting sqref="F108">
    <cfRule type="cellIs" dxfId="101" priority="103" stopIfTrue="1" operator="equal">
      <formula>"NULL"</formula>
    </cfRule>
  </conditionalFormatting>
  <conditionalFormatting sqref="F109">
    <cfRule type="cellIs" dxfId="100" priority="102" stopIfTrue="1" operator="equal">
      <formula>"NULL"</formula>
    </cfRule>
  </conditionalFormatting>
  <conditionalFormatting sqref="F110">
    <cfRule type="cellIs" dxfId="99" priority="101" stopIfTrue="1" operator="equal">
      <formula>"NULL"</formula>
    </cfRule>
  </conditionalFormatting>
  <conditionalFormatting sqref="F111">
    <cfRule type="cellIs" dxfId="98" priority="100" stopIfTrue="1" operator="equal">
      <formula>"NULL"</formula>
    </cfRule>
  </conditionalFormatting>
  <conditionalFormatting sqref="F112">
    <cfRule type="cellIs" dxfId="97" priority="99" stopIfTrue="1" operator="equal">
      <formula>"NULL"</formula>
    </cfRule>
  </conditionalFormatting>
  <conditionalFormatting sqref="F113">
    <cfRule type="cellIs" dxfId="96" priority="98" stopIfTrue="1" operator="equal">
      <formula>"NULL"</formula>
    </cfRule>
  </conditionalFormatting>
  <conditionalFormatting sqref="F114">
    <cfRule type="cellIs" dxfId="95" priority="97" stopIfTrue="1" operator="equal">
      <formula>"NULL"</formula>
    </cfRule>
  </conditionalFormatting>
  <conditionalFormatting sqref="F115">
    <cfRule type="cellIs" dxfId="94" priority="96" stopIfTrue="1" operator="equal">
      <formula>"NULL"</formula>
    </cfRule>
  </conditionalFormatting>
  <conditionalFormatting sqref="F116">
    <cfRule type="cellIs" dxfId="93" priority="95" stopIfTrue="1" operator="equal">
      <formula>"NULL"</formula>
    </cfRule>
  </conditionalFormatting>
  <conditionalFormatting sqref="F117">
    <cfRule type="cellIs" dxfId="92" priority="94" stopIfTrue="1" operator="equal">
      <formula>"NULL"</formula>
    </cfRule>
  </conditionalFormatting>
  <conditionalFormatting sqref="F118">
    <cfRule type="cellIs" dxfId="91" priority="93" stopIfTrue="1" operator="equal">
      <formula>"NULL"</formula>
    </cfRule>
  </conditionalFormatting>
  <conditionalFormatting sqref="F119">
    <cfRule type="cellIs" dxfId="90" priority="92" stopIfTrue="1" operator="equal">
      <formula>"NULL"</formula>
    </cfRule>
  </conditionalFormatting>
  <conditionalFormatting sqref="F120">
    <cfRule type="cellIs" dxfId="89" priority="91" stopIfTrue="1" operator="equal">
      <formula>"NULL"</formula>
    </cfRule>
  </conditionalFormatting>
  <conditionalFormatting sqref="F121">
    <cfRule type="cellIs" dxfId="88" priority="90" stopIfTrue="1" operator="equal">
      <formula>"NULL"</formula>
    </cfRule>
  </conditionalFormatting>
  <conditionalFormatting sqref="F126">
    <cfRule type="cellIs" dxfId="87" priority="89" stopIfTrue="1" operator="equal">
      <formula>"NULL"</formula>
    </cfRule>
  </conditionalFormatting>
  <conditionalFormatting sqref="F127">
    <cfRule type="cellIs" dxfId="86" priority="88" stopIfTrue="1" operator="equal">
      <formula>"NULL"</formula>
    </cfRule>
  </conditionalFormatting>
  <conditionalFormatting sqref="F128">
    <cfRule type="cellIs" dxfId="85" priority="87" stopIfTrue="1" operator="equal">
      <formula>"NULL"</formula>
    </cfRule>
  </conditionalFormatting>
  <conditionalFormatting sqref="F129">
    <cfRule type="cellIs" dxfId="84" priority="86" stopIfTrue="1" operator="equal">
      <formula>"NULL"</formula>
    </cfRule>
  </conditionalFormatting>
  <conditionalFormatting sqref="F130">
    <cfRule type="cellIs" dxfId="83" priority="85" stopIfTrue="1" operator="equal">
      <formula>"NULL"</formula>
    </cfRule>
  </conditionalFormatting>
  <conditionalFormatting sqref="F131">
    <cfRule type="cellIs" dxfId="82" priority="84" stopIfTrue="1" operator="equal">
      <formula>"NULL"</formula>
    </cfRule>
  </conditionalFormatting>
  <conditionalFormatting sqref="F132">
    <cfRule type="cellIs" dxfId="81" priority="83" stopIfTrue="1" operator="equal">
      <formula>"NULL"</formula>
    </cfRule>
  </conditionalFormatting>
  <conditionalFormatting sqref="F133">
    <cfRule type="cellIs" dxfId="80" priority="82" stopIfTrue="1" operator="equal">
      <formula>"NULL"</formula>
    </cfRule>
  </conditionalFormatting>
  <conditionalFormatting sqref="F134">
    <cfRule type="cellIs" dxfId="79" priority="81" stopIfTrue="1" operator="equal">
      <formula>"NULL"</formula>
    </cfRule>
  </conditionalFormatting>
  <conditionalFormatting sqref="F135">
    <cfRule type="cellIs" dxfId="78" priority="80" stopIfTrue="1" operator="equal">
      <formula>"NULL"</formula>
    </cfRule>
  </conditionalFormatting>
  <conditionalFormatting sqref="F136">
    <cfRule type="cellIs" dxfId="77" priority="79" stopIfTrue="1" operator="equal">
      <formula>"NULL"</formula>
    </cfRule>
  </conditionalFormatting>
  <conditionalFormatting sqref="F137">
    <cfRule type="cellIs" dxfId="76" priority="78" stopIfTrue="1" operator="equal">
      <formula>"NULL"</formula>
    </cfRule>
  </conditionalFormatting>
  <conditionalFormatting sqref="F138">
    <cfRule type="cellIs" dxfId="75" priority="77" stopIfTrue="1" operator="equal">
      <formula>"NULL"</formula>
    </cfRule>
  </conditionalFormatting>
  <conditionalFormatting sqref="F139">
    <cfRule type="cellIs" dxfId="74" priority="76" stopIfTrue="1" operator="equal">
      <formula>"NULL"</formula>
    </cfRule>
  </conditionalFormatting>
  <conditionalFormatting sqref="F140">
    <cfRule type="cellIs" dxfId="73" priority="75" stopIfTrue="1" operator="equal">
      <formula>"NULL"</formula>
    </cfRule>
  </conditionalFormatting>
  <conditionalFormatting sqref="F141">
    <cfRule type="cellIs" dxfId="72" priority="74" stopIfTrue="1" operator="equal">
      <formula>"NULL"</formula>
    </cfRule>
  </conditionalFormatting>
  <conditionalFormatting sqref="F142">
    <cfRule type="cellIs" dxfId="71" priority="73" stopIfTrue="1" operator="equal">
      <formula>"NULL"</formula>
    </cfRule>
  </conditionalFormatting>
  <conditionalFormatting sqref="F143">
    <cfRule type="cellIs" dxfId="70" priority="72" stopIfTrue="1" operator="equal">
      <formula>"NULL"</formula>
    </cfRule>
  </conditionalFormatting>
  <conditionalFormatting sqref="F144">
    <cfRule type="cellIs" dxfId="69" priority="71" stopIfTrue="1" operator="equal">
      <formula>"NULL"</formula>
    </cfRule>
  </conditionalFormatting>
  <conditionalFormatting sqref="F145">
    <cfRule type="cellIs" dxfId="68" priority="70" stopIfTrue="1" operator="equal">
      <formula>"NULL"</formula>
    </cfRule>
  </conditionalFormatting>
  <conditionalFormatting sqref="F146">
    <cfRule type="cellIs" dxfId="67" priority="69" stopIfTrue="1" operator="equal">
      <formula>"NULL"</formula>
    </cfRule>
  </conditionalFormatting>
  <conditionalFormatting sqref="F147">
    <cfRule type="cellIs" dxfId="66" priority="68" stopIfTrue="1" operator="equal">
      <formula>"NULL"</formula>
    </cfRule>
  </conditionalFormatting>
  <conditionalFormatting sqref="F148">
    <cfRule type="cellIs" dxfId="65" priority="67" stopIfTrue="1" operator="equal">
      <formula>"NULL"</formula>
    </cfRule>
  </conditionalFormatting>
  <conditionalFormatting sqref="F149">
    <cfRule type="cellIs" dxfId="64" priority="66" stopIfTrue="1" operator="equal">
      <formula>"NULL"</formula>
    </cfRule>
  </conditionalFormatting>
  <conditionalFormatting sqref="F151">
    <cfRule type="cellIs" dxfId="63" priority="65" stopIfTrue="1" operator="equal">
      <formula>"NULL"</formula>
    </cfRule>
  </conditionalFormatting>
  <conditionalFormatting sqref="F152">
    <cfRule type="cellIs" dxfId="62" priority="64" stopIfTrue="1" operator="equal">
      <formula>"NULL"</formula>
    </cfRule>
  </conditionalFormatting>
  <conditionalFormatting sqref="F153">
    <cfRule type="cellIs" dxfId="61" priority="63" stopIfTrue="1" operator="equal">
      <formula>"NULL"</formula>
    </cfRule>
  </conditionalFormatting>
  <conditionalFormatting sqref="F154">
    <cfRule type="cellIs" dxfId="60" priority="62" stopIfTrue="1" operator="equal">
      <formula>"NULL"</formula>
    </cfRule>
  </conditionalFormatting>
  <conditionalFormatting sqref="F155">
    <cfRule type="cellIs" dxfId="59" priority="60" stopIfTrue="1" operator="equal">
      <formula>"NULL"</formula>
    </cfRule>
  </conditionalFormatting>
  <conditionalFormatting sqref="F156">
    <cfRule type="cellIs" dxfId="58" priority="59" stopIfTrue="1" operator="equal">
      <formula>"NULL"</formula>
    </cfRule>
  </conditionalFormatting>
  <conditionalFormatting sqref="F157">
    <cfRule type="cellIs" dxfId="57" priority="58" stopIfTrue="1" operator="equal">
      <formula>"NULL"</formula>
    </cfRule>
  </conditionalFormatting>
  <conditionalFormatting sqref="F158">
    <cfRule type="cellIs" dxfId="56" priority="57" stopIfTrue="1" operator="equal">
      <formula>"NULL"</formula>
    </cfRule>
  </conditionalFormatting>
  <conditionalFormatting sqref="F159">
    <cfRule type="cellIs" dxfId="55" priority="56" stopIfTrue="1" operator="equal">
      <formula>"NULL"</formula>
    </cfRule>
  </conditionalFormatting>
  <conditionalFormatting sqref="F160">
    <cfRule type="cellIs" dxfId="54" priority="55" stopIfTrue="1" operator="equal">
      <formula>"NULL"</formula>
    </cfRule>
  </conditionalFormatting>
  <conditionalFormatting sqref="F161">
    <cfRule type="cellIs" dxfId="53" priority="54" stopIfTrue="1" operator="equal">
      <formula>"NULL"</formula>
    </cfRule>
  </conditionalFormatting>
  <conditionalFormatting sqref="F162">
    <cfRule type="cellIs" dxfId="52" priority="53" stopIfTrue="1" operator="equal">
      <formula>"NULL"</formula>
    </cfRule>
  </conditionalFormatting>
  <conditionalFormatting sqref="F163">
    <cfRule type="cellIs" dxfId="51" priority="52" stopIfTrue="1" operator="equal">
      <formula>"NULL"</formula>
    </cfRule>
  </conditionalFormatting>
  <conditionalFormatting sqref="F164">
    <cfRule type="cellIs" dxfId="50" priority="51" stopIfTrue="1" operator="equal">
      <formula>"NULL"</formula>
    </cfRule>
  </conditionalFormatting>
  <conditionalFormatting sqref="F165">
    <cfRule type="cellIs" dxfId="49" priority="50" stopIfTrue="1" operator="equal">
      <formula>"NULL"</formula>
    </cfRule>
  </conditionalFormatting>
  <conditionalFormatting sqref="F166">
    <cfRule type="cellIs" dxfId="48" priority="49" stopIfTrue="1" operator="equal">
      <formula>"NULL"</formula>
    </cfRule>
  </conditionalFormatting>
  <conditionalFormatting sqref="F167">
    <cfRule type="cellIs" dxfId="47" priority="48" stopIfTrue="1" operator="equal">
      <formula>"NULL"</formula>
    </cfRule>
  </conditionalFormatting>
  <conditionalFormatting sqref="F168">
    <cfRule type="cellIs" dxfId="46" priority="47" stopIfTrue="1" operator="equal">
      <formula>"NULL"</formula>
    </cfRule>
  </conditionalFormatting>
  <conditionalFormatting sqref="F169">
    <cfRule type="cellIs" dxfId="45" priority="46" stopIfTrue="1" operator="equal">
      <formula>"NULL"</formula>
    </cfRule>
  </conditionalFormatting>
  <conditionalFormatting sqref="F170">
    <cfRule type="cellIs" dxfId="44" priority="45" stopIfTrue="1" operator="equal">
      <formula>"NULL"</formula>
    </cfRule>
  </conditionalFormatting>
  <conditionalFormatting sqref="F171">
    <cfRule type="cellIs" dxfId="43" priority="44" stopIfTrue="1" operator="equal">
      <formula>"NULL"</formula>
    </cfRule>
  </conditionalFormatting>
  <conditionalFormatting sqref="F172">
    <cfRule type="cellIs" dxfId="42" priority="43" stopIfTrue="1" operator="equal">
      <formula>"NULL"</formula>
    </cfRule>
  </conditionalFormatting>
  <conditionalFormatting sqref="F173">
    <cfRule type="cellIs" dxfId="41" priority="42" stopIfTrue="1" operator="equal">
      <formula>"NULL"</formula>
    </cfRule>
  </conditionalFormatting>
  <conditionalFormatting sqref="F174">
    <cfRule type="cellIs" dxfId="40" priority="41" stopIfTrue="1" operator="equal">
      <formula>"NULL"</formula>
    </cfRule>
  </conditionalFormatting>
  <conditionalFormatting sqref="F175">
    <cfRule type="cellIs" dxfId="39" priority="40" stopIfTrue="1" operator="equal">
      <formula>"NULL"</formula>
    </cfRule>
  </conditionalFormatting>
  <conditionalFormatting sqref="F176">
    <cfRule type="cellIs" dxfId="38" priority="39" stopIfTrue="1" operator="equal">
      <formula>"NULL"</formula>
    </cfRule>
  </conditionalFormatting>
  <conditionalFormatting sqref="F177">
    <cfRule type="cellIs" dxfId="37" priority="38" stopIfTrue="1" operator="equal">
      <formula>"NULL"</formula>
    </cfRule>
  </conditionalFormatting>
  <conditionalFormatting sqref="F178">
    <cfRule type="cellIs" dxfId="36" priority="37" stopIfTrue="1" operator="equal">
      <formula>"NULL"</formula>
    </cfRule>
  </conditionalFormatting>
  <conditionalFormatting sqref="F179">
    <cfRule type="cellIs" dxfId="35" priority="36" stopIfTrue="1" operator="equal">
      <formula>"NULL"</formula>
    </cfRule>
  </conditionalFormatting>
  <conditionalFormatting sqref="F180">
    <cfRule type="cellIs" dxfId="34" priority="35" stopIfTrue="1" operator="equal">
      <formula>"NULL"</formula>
    </cfRule>
  </conditionalFormatting>
  <conditionalFormatting sqref="F181">
    <cfRule type="cellIs" dxfId="33" priority="34" stopIfTrue="1" operator="equal">
      <formula>"NULL"</formula>
    </cfRule>
  </conditionalFormatting>
  <conditionalFormatting sqref="F182">
    <cfRule type="cellIs" dxfId="32" priority="33" stopIfTrue="1" operator="equal">
      <formula>"NULL"</formula>
    </cfRule>
  </conditionalFormatting>
  <conditionalFormatting sqref="F183">
    <cfRule type="cellIs" dxfId="31" priority="32" stopIfTrue="1" operator="equal">
      <formula>"NULL"</formula>
    </cfRule>
  </conditionalFormatting>
  <conditionalFormatting sqref="F184">
    <cfRule type="cellIs" dxfId="30" priority="31" stopIfTrue="1" operator="equal">
      <formula>"NULL"</formula>
    </cfRule>
  </conditionalFormatting>
  <conditionalFormatting sqref="F185">
    <cfRule type="cellIs" dxfId="29" priority="30" stopIfTrue="1" operator="equal">
      <formula>"NULL"</formula>
    </cfRule>
  </conditionalFormatting>
  <conditionalFormatting sqref="F186">
    <cfRule type="cellIs" dxfId="28" priority="29" stopIfTrue="1" operator="equal">
      <formula>"NULL"</formula>
    </cfRule>
  </conditionalFormatting>
  <conditionalFormatting sqref="F187">
    <cfRule type="cellIs" dxfId="27" priority="28" stopIfTrue="1" operator="equal">
      <formula>"NULL"</formula>
    </cfRule>
  </conditionalFormatting>
  <conditionalFormatting sqref="F188">
    <cfRule type="cellIs" dxfId="26" priority="27" stopIfTrue="1" operator="equal">
      <formula>"NULL"</formula>
    </cfRule>
  </conditionalFormatting>
  <conditionalFormatting sqref="F189">
    <cfRule type="cellIs" dxfId="25" priority="26" stopIfTrue="1" operator="equal">
      <formula>"NULL"</formula>
    </cfRule>
  </conditionalFormatting>
  <conditionalFormatting sqref="F190">
    <cfRule type="cellIs" dxfId="24" priority="25" stopIfTrue="1" operator="equal">
      <formula>"NULL"</formula>
    </cfRule>
  </conditionalFormatting>
  <conditionalFormatting sqref="F191">
    <cfRule type="cellIs" dxfId="23" priority="24" stopIfTrue="1" operator="equal">
      <formula>"NULL"</formula>
    </cfRule>
  </conditionalFormatting>
  <conditionalFormatting sqref="F192">
    <cfRule type="cellIs" dxfId="22" priority="23" stopIfTrue="1" operator="equal">
      <formula>"NULL"</formula>
    </cfRule>
  </conditionalFormatting>
  <conditionalFormatting sqref="F193">
    <cfRule type="cellIs" dxfId="21" priority="22" stopIfTrue="1" operator="equal">
      <formula>"NULL"</formula>
    </cfRule>
  </conditionalFormatting>
  <conditionalFormatting sqref="F194">
    <cfRule type="cellIs" dxfId="20" priority="21" stopIfTrue="1" operator="equal">
      <formula>"NULL"</formula>
    </cfRule>
  </conditionalFormatting>
  <conditionalFormatting sqref="F195">
    <cfRule type="cellIs" dxfId="19" priority="20" stopIfTrue="1" operator="equal">
      <formula>"NULL"</formula>
    </cfRule>
  </conditionalFormatting>
  <conditionalFormatting sqref="F196">
    <cfRule type="cellIs" dxfId="18" priority="19" stopIfTrue="1" operator="equal">
      <formula>"NULL"</formula>
    </cfRule>
  </conditionalFormatting>
  <conditionalFormatting sqref="F199">
    <cfRule type="cellIs" dxfId="17" priority="18" stopIfTrue="1" operator="equal">
      <formula>"NULL"</formula>
    </cfRule>
  </conditionalFormatting>
  <conditionalFormatting sqref="F200">
    <cfRule type="cellIs" dxfId="16" priority="17" stopIfTrue="1" operator="equal">
      <formula>"NULL"</formula>
    </cfRule>
  </conditionalFormatting>
  <conditionalFormatting sqref="F201">
    <cfRule type="cellIs" dxfId="15" priority="16" stopIfTrue="1" operator="equal">
      <formula>"NULL"</formula>
    </cfRule>
  </conditionalFormatting>
  <conditionalFormatting sqref="F202">
    <cfRule type="cellIs" dxfId="14" priority="15" stopIfTrue="1" operator="equal">
      <formula>"NULL"</formula>
    </cfRule>
  </conditionalFormatting>
  <conditionalFormatting sqref="F203">
    <cfRule type="cellIs" dxfId="13" priority="14" stopIfTrue="1" operator="equal">
      <formula>"NULL"</formula>
    </cfRule>
  </conditionalFormatting>
  <conditionalFormatting sqref="F204">
    <cfRule type="cellIs" dxfId="12" priority="13" stopIfTrue="1" operator="equal">
      <formula>"NULL"</formula>
    </cfRule>
  </conditionalFormatting>
  <conditionalFormatting sqref="F205">
    <cfRule type="cellIs" dxfId="11" priority="12" stopIfTrue="1" operator="equal">
      <formula>"NULL"</formula>
    </cfRule>
  </conditionalFormatting>
  <conditionalFormatting sqref="F206">
    <cfRule type="cellIs" dxfId="10" priority="11" stopIfTrue="1" operator="equal">
      <formula>"NULL"</formula>
    </cfRule>
  </conditionalFormatting>
  <conditionalFormatting sqref="F208">
    <cfRule type="cellIs" dxfId="9" priority="10" stopIfTrue="1" operator="equal">
      <formula>"NULL"</formula>
    </cfRule>
  </conditionalFormatting>
  <conditionalFormatting sqref="F209">
    <cfRule type="cellIs" dxfId="8" priority="9" stopIfTrue="1" operator="equal">
      <formula>"NULL"</formula>
    </cfRule>
  </conditionalFormatting>
  <conditionalFormatting sqref="F210">
    <cfRule type="cellIs" dxfId="7" priority="8" stopIfTrue="1" operator="equal">
      <formula>"NULL"</formula>
    </cfRule>
  </conditionalFormatting>
  <conditionalFormatting sqref="F211">
    <cfRule type="cellIs" dxfId="6" priority="7" stopIfTrue="1" operator="equal">
      <formula>"NULL"</formula>
    </cfRule>
  </conditionalFormatting>
  <conditionalFormatting sqref="F212">
    <cfRule type="cellIs" dxfId="5" priority="6" stopIfTrue="1" operator="equal">
      <formula>"NULL"</formula>
    </cfRule>
  </conditionalFormatting>
  <conditionalFormatting sqref="F213">
    <cfRule type="cellIs" dxfId="4" priority="5" stopIfTrue="1" operator="equal">
      <formula>"NULL"</formula>
    </cfRule>
  </conditionalFormatting>
  <conditionalFormatting sqref="F214">
    <cfRule type="cellIs" dxfId="3" priority="4" stopIfTrue="1" operator="equal">
      <formula>"NULL"</formula>
    </cfRule>
  </conditionalFormatting>
  <conditionalFormatting sqref="F215">
    <cfRule type="cellIs" dxfId="2" priority="3" stopIfTrue="1" operator="equal">
      <formula>"NULL"</formula>
    </cfRule>
  </conditionalFormatting>
  <conditionalFormatting sqref="H2">
    <cfRule type="containsText" dxfId="1" priority="1" operator="containsText" text="N">
      <formula>NOT(ISERROR(SEARCH("N",H2)))</formula>
    </cfRule>
    <cfRule type="containsText" dxfId="0" priority="2" operator="containsText" text="Y">
      <formula>NOT(ISERROR(SEARCH("Y",H2)))</formula>
    </cfRule>
  </conditionalFormatting>
  <hyperlinks>
    <hyperlink ref="AD22" r:id="rId1" display="https://www.ncbi.nlm.nih.gov/pubmed/22320357"/>
    <hyperlink ref="AD146" r:id="rId2" display="https://www.ncbi.nlm.nih.gov/pubmed/25996404"/>
    <hyperlink ref="S146" r:id="rId3" display="https://www.ncbi.nlm.nih.gov/pubmed/25996404"/>
    <hyperlink ref="S185" r:id="rId4" display="https://www.ncbi.nlm.nih.gov/pubmed/3034087"/>
    <hyperlink ref="S22" r:id="rId5" display="https://www.ncbi.nlm.nih.gov/pubmed/22320357"/>
    <hyperlink ref="AD89" r:id="rId6"/>
    <hyperlink ref="S89" r:id="rId7"/>
    <hyperlink ref="T150" r:id="rId8" display="https://www.ncbi.nlm.nih.gov/pubmed/22874773"/>
    <hyperlink ref="AD37" r:id="rId9" display="https://www.ncbi.nlm.nih.gov/pubmed/22486922"/>
    <hyperlink ref="S165" r:id="rId10" display="https://www.ncbi.nlm.nih.gov/pubmed/18680655"/>
    <hyperlink ref="AD165" r:id="rId11" display="https://www.ncbi.nlm.nih.gov/pubmed/18680655"/>
    <hyperlink ref="AD38" r:id="rId12" display="https://www.ncbi.nlm.nih.gov/pubmed/6300226"/>
    <hyperlink ref="S38" r:id="rId13" display="http://www.sciencedirect.com/science/article/pii/0042682281900702"/>
    <hyperlink ref="AD193" r:id="rId14" display="https://www.ncbi.nlm.nih.gov/pubmed/21752915"/>
    <hyperlink ref="S193" r:id="rId15" display="https://www.ncbi.nlm.nih.gov/pubmed/21752915"/>
    <hyperlink ref="AD67" r:id="rId16" display="https://www.ncbi.nlm.nih.gov/pubmed/20836801"/>
    <hyperlink ref="AD25" r:id="rId17" display="https://www.ncbi.nlm.nih.gov/pubmed/22362949"/>
    <hyperlink ref="AD65" r:id="rId18" display="https://www.ncbi.nlm.nih.gov/pubmed/20638945"/>
    <hyperlink ref="S65" r:id="rId19" display="https://www.ncbi.nlm.nih.gov/pubmed/19833455"/>
    <hyperlink ref="AD103" r:id="rId20" display="https://www.ncbi.nlm.nih.gov/pubmed/19501478"/>
    <hyperlink ref="S103" r:id="rId21" display="https://www.ncbi.nlm.nih.gov/pubmed/19501478"/>
    <hyperlink ref="AD104" r:id="rId22" display="https://www.ncbi.nlm.nih.gov/pubmed/12789111"/>
    <hyperlink ref="S104" r:id="rId23" display="https://www.ncbi.nlm.nih.gov/pubmed/12789111"/>
    <hyperlink ref="AD105" r:id="rId24" display="https://www.ncbi.nlm.nih.gov/pubmed/6126267"/>
    <hyperlink ref="AE105" r:id="rId25"/>
    <hyperlink ref="AD120" r:id="rId26" display="https://www.ncbi.nlm.nih.gov/pubmed/21289119"/>
    <hyperlink ref="S120" r:id="rId27" display="https://www.ncbi.nlm.nih.gov/pubmed/21289119"/>
    <hyperlink ref="AD92" r:id="rId28" display="https://www.ncbi.nlm.nih.gov/pubmed/22214864"/>
    <hyperlink ref="S92" r:id="rId29" display="https://www.ncbi.nlm.nih.gov/pubmed/22214864"/>
    <hyperlink ref="AD106" r:id="rId30" display="https://www.ncbi.nlm.nih.gov/pubmed/17705031"/>
    <hyperlink ref="AD129" r:id="rId31"/>
    <hyperlink ref="AE129" r:id="rId32"/>
    <hyperlink ref="S129" r:id="rId33" display="https://www.ncbi.nlm.nih.gov/pubmed/15099508"/>
    <hyperlink ref="AD130" r:id="rId34"/>
    <hyperlink ref="S130" r:id="rId35"/>
    <hyperlink ref="AD107" r:id="rId36"/>
    <hyperlink ref="AD186" r:id="rId37"/>
    <hyperlink ref="AE186" r:id="rId38"/>
    <hyperlink ref="S186" r:id="rId39"/>
    <hyperlink ref="AD2" r:id="rId40"/>
    <hyperlink ref="S2" r:id="rId41" display="https://www.ncbi.nlm.nih.gov/pubmed/12615305"/>
    <hyperlink ref="AD194" r:id="rId42"/>
    <hyperlink ref="S194" r:id="rId43" display="https://www.ncbi.nlm.nih.gov/pubmed/20519386"/>
    <hyperlink ref="AD69" r:id="rId44"/>
    <hyperlink ref="AD187" r:id="rId45"/>
    <hyperlink ref="AD153" r:id="rId46"/>
    <hyperlink ref="S153" r:id="rId47"/>
    <hyperlink ref="S155" r:id="rId48" display="24986085"/>
    <hyperlink ref="AD81" r:id="rId49"/>
    <hyperlink ref="AE81" r:id="rId50"/>
    <hyperlink ref="S81" r:id="rId51" display="https://www.ncbi.nlm.nih.gov/pubmed/22300969"/>
    <hyperlink ref="T81" r:id="rId52" display="https://www.ncbi.nlm.nih.gov/pubmed/10747269"/>
    <hyperlink ref="AD40" r:id="rId53"/>
    <hyperlink ref="AE40" r:id="rId54"/>
    <hyperlink ref="AD87" r:id="rId55"/>
    <hyperlink ref="S87" r:id="rId56"/>
    <hyperlink ref="AD70" r:id="rId57"/>
    <hyperlink ref="S70" r:id="rId58"/>
    <hyperlink ref="AD195" r:id="rId59"/>
    <hyperlink ref="S195" r:id="rId60"/>
    <hyperlink ref="AD41" r:id="rId61"/>
    <hyperlink ref="S41" r:id="rId62"/>
    <hyperlink ref="AE136" r:id="rId63"/>
    <hyperlink ref="S136" r:id="rId64" display="https://academic.oup.com/aje/article/91/1/78/155251/AIRBORNE-TRANSMISSION-OF-RESPIRATORY-INFECTION"/>
    <hyperlink ref="AD137" r:id="rId65"/>
    <hyperlink ref="AD138" r:id="rId66"/>
    <hyperlink ref="AD139" r:id="rId67"/>
    <hyperlink ref="AD127" r:id="rId68"/>
    <hyperlink ref="S127" r:id="rId69"/>
    <hyperlink ref="AD144" r:id="rId70"/>
    <hyperlink ref="S144" r:id="rId71"/>
    <hyperlink ref="AD177" r:id="rId72"/>
    <hyperlink ref="AD178" r:id="rId73"/>
    <hyperlink ref="AD154" r:id="rId74"/>
    <hyperlink ref="AD128" r:id="rId75"/>
    <hyperlink ref="S128" r:id="rId76"/>
    <hyperlink ref="AD42" r:id="rId77"/>
    <hyperlink ref="S42" r:id="rId78"/>
    <hyperlink ref="AD108" r:id="rId79"/>
    <hyperlink ref="AD3" r:id="rId80"/>
    <hyperlink ref="AD109" r:id="rId81"/>
    <hyperlink ref="AE109" r:id="rId82"/>
    <hyperlink ref="AD63" r:id="rId83"/>
    <hyperlink ref="AD215" r:id="rId84"/>
    <hyperlink ref="AE215" r:id="rId85"/>
    <hyperlink ref="S215" r:id="rId86"/>
    <hyperlink ref="AD198" r:id="rId87"/>
    <hyperlink ref="AE198" r:id="rId88"/>
    <hyperlink ref="AD23" r:id="rId89"/>
    <hyperlink ref="AD26" r:id="rId90"/>
    <hyperlink ref="S26" r:id="rId91"/>
    <hyperlink ref="S24" r:id="rId92"/>
    <hyperlink ref="AD24" r:id="rId93"/>
    <hyperlink ref="AD169" r:id="rId94"/>
    <hyperlink ref="AD170" r:id="rId95"/>
    <hyperlink ref="S151" r:id="rId96" display="https://www.ncbi.nlm.nih.gov/pubmed/22874773"/>
    <hyperlink ref="AD152" r:id="rId97"/>
    <hyperlink ref="AD126" r:id="rId98"/>
    <hyperlink ref="S126" r:id="rId99"/>
    <hyperlink ref="S95" r:id="rId100"/>
    <hyperlink ref="AD95" r:id="rId101"/>
    <hyperlink ref="AD29" r:id="rId102"/>
    <hyperlink ref="S29" r:id="rId103"/>
    <hyperlink ref="AD43" r:id="rId104"/>
    <hyperlink ref="AE43" r:id="rId105" display="https://www.ncbi.nlm.nih.gov/pubmed/11113383"/>
    <hyperlink ref="AD188" r:id="rId106"/>
    <hyperlink ref="AE84" r:id="rId107"/>
    <hyperlink ref="S84" r:id="rId108" display="https://www.ncbi.nlm.nih.gov/pubmed/23746799"/>
    <hyperlink ref="T84" r:id="rId109" display="https://www.ncbi.nlm.nih.gov/pubmed/28302313"/>
    <hyperlink ref="AD85" r:id="rId110"/>
    <hyperlink ref="AE85" r:id="rId111"/>
    <hyperlink ref="AD86" r:id="rId112"/>
    <hyperlink ref="AE86" r:id="rId113"/>
    <hyperlink ref="S179" r:id="rId114" display="https://www.ncbi.nlm.nih.gov/pubmed/16705370"/>
    <hyperlink ref="AD189" r:id="rId115"/>
    <hyperlink ref="S189" r:id="rId116"/>
    <hyperlink ref="AD44" r:id="rId117"/>
    <hyperlink ref="AE44" r:id="rId118"/>
    <hyperlink ref="S44" r:id="rId119" display="https://www.ncbi.nlm.nih.gov/pubmed/19786116"/>
    <hyperlink ref="AD4" r:id="rId120"/>
    <hyperlink ref="AD110" r:id="rId121"/>
    <hyperlink ref="AD45" r:id="rId122"/>
    <hyperlink ref="S45" r:id="rId123"/>
    <hyperlink ref="AD46" r:id="rId124"/>
    <hyperlink ref="S46" r:id="rId125"/>
    <hyperlink ref="AD72" r:id="rId126"/>
    <hyperlink ref="S72" r:id="rId127"/>
    <hyperlink ref="AD157" r:id="rId128"/>
    <hyperlink ref="S157" r:id="rId129"/>
    <hyperlink ref="AD8" r:id="rId130"/>
    <hyperlink ref="AD111" r:id="rId131"/>
    <hyperlink ref="AD13" r:id="rId132"/>
    <hyperlink ref="S13" r:id="rId133"/>
    <hyperlink ref="AD17" r:id="rId134"/>
    <hyperlink ref="S17" r:id="rId135"/>
    <hyperlink ref="AD159" r:id="rId136"/>
    <hyperlink ref="AE159" r:id="rId137"/>
    <hyperlink ref="S159" r:id="rId138" display="https://www.ncbi.nlm.nih.gov/pubmed/22905211"/>
    <hyperlink ref="AD98" r:id="rId139"/>
    <hyperlink ref="AE98" r:id="rId140" display="https://www.ncbi.nlm.nih.gov/pubmed/26583313"/>
    <hyperlink ref="S98" r:id="rId141" display="http://www.nature.com/nature/journal/v213/n5078/abs/213827b0.html"/>
    <hyperlink ref="T98" r:id="rId142" display="https://www.ncbi.nlm.nih.gov/pubmed/26583313"/>
    <hyperlink ref="S190" r:id="rId143" display="https://www.ncbi.nlm.nih.gov/pubmed/6091472"/>
    <hyperlink ref="AD35" r:id="rId144"/>
    <hyperlink ref="S35" r:id="rId145"/>
    <hyperlink ref="AD112" r:id="rId146"/>
    <hyperlink ref="AD199" r:id="rId147"/>
    <hyperlink ref="S199" r:id="rId148" display="https://www.ncbi.nlm.nih.gov/pubmed/9037738"/>
    <hyperlink ref="AD27" r:id="rId149"/>
    <hyperlink ref="S27" r:id="rId150"/>
    <hyperlink ref="S180" r:id="rId151" display="https://link.springer.com/article/10.1007/BF01250419"/>
    <hyperlink ref="AD200" r:id="rId152"/>
    <hyperlink ref="S200" r:id="rId153"/>
    <hyperlink ref="S201" r:id="rId154"/>
    <hyperlink ref="AD201" r:id="rId155"/>
    <hyperlink ref="AD99" r:id="rId156"/>
    <hyperlink ref="S99" r:id="rId157" display="https://www.ncbi.nlm.nih.gov/pubmed/28068914"/>
    <hyperlink ref="S49" r:id="rId158"/>
    <hyperlink ref="AD49" r:id="rId159"/>
    <hyperlink ref="S202" r:id="rId160"/>
    <hyperlink ref="AD202" r:id="rId161"/>
    <hyperlink ref="S160" r:id="rId162" display="https://www.ncbi.nlm.nih.gov/pubmed/22905211"/>
    <hyperlink ref="AD191" r:id="rId163"/>
    <hyperlink ref="AD91" r:id="rId164"/>
    <hyperlink ref="S91" r:id="rId165"/>
    <hyperlink ref="S19" r:id="rId166" display="https://www.ncbi.nlm.nih.gov/pubmed/19796107"/>
    <hyperlink ref="T19" r:id="rId167" display="https://www.ncbi.nlm.nih.gov/pubmed/22317811"/>
    <hyperlink ref="AD19" r:id="rId168"/>
    <hyperlink ref="AD50" r:id="rId169"/>
    <hyperlink ref="AD51" r:id="rId170"/>
    <hyperlink ref="S51" r:id="rId171"/>
    <hyperlink ref="S203" r:id="rId172"/>
    <hyperlink ref="AD203" r:id="rId173"/>
    <hyperlink ref="AD114" r:id="rId174"/>
    <hyperlink ref="AD115" r:id="rId175"/>
    <hyperlink ref="AE115" r:id="rId176"/>
    <hyperlink ref="AD80" r:id="rId177"/>
    <hyperlink ref="S80" r:id="rId178"/>
    <hyperlink ref="AD147" r:id="rId179"/>
    <hyperlink ref="AE147" r:id="rId180"/>
    <hyperlink ref="S147" r:id="rId181" display="https://www.ncbi.nlm.nih.gov/pubmed/11438028"/>
    <hyperlink ref="T147" r:id="rId182" display="https://www.ncbi.nlm.nih.gov/pubmed/16220089"/>
    <hyperlink ref="AD148" r:id="rId183"/>
    <hyperlink ref="AE148" r:id="rId184"/>
    <hyperlink ref="AD116" r:id="rId185"/>
    <hyperlink ref="AD64" r:id="rId186" display="https://www.ncbi.nlm.nih.gov/pubmed/22752515"/>
    <hyperlink ref="S64" r:id="rId187" display="https://www.ncbi.nlm.nih.gov/pubmed/22752515"/>
    <hyperlink ref="AD192" r:id="rId188"/>
    <hyperlink ref="S192" r:id="rId189" display="https://link.springer.com/article/10.1007/BF01241673"/>
    <hyperlink ref="AD204" r:id="rId190"/>
    <hyperlink ref="S204" r:id="rId191" display="https://www.ncbi.nlm.nih.gov/pubmed/19402767"/>
    <hyperlink ref="AD52" r:id="rId192"/>
    <hyperlink ref="S52" r:id="rId193" display="https://www.ncbi.nlm.nih.gov/pubmed/20434750"/>
    <hyperlink ref="AD166" r:id="rId194"/>
    <hyperlink ref="AD167" r:id="rId195"/>
    <hyperlink ref="AD168" r:id="rId196"/>
    <hyperlink ref="AD121" r:id="rId197"/>
    <hyperlink ref="S73" r:id="rId198"/>
    <hyperlink ref="AD73" r:id="rId199"/>
    <hyperlink ref="AD181" r:id="rId200"/>
    <hyperlink ref="AE181" r:id="rId201"/>
    <hyperlink ref="AD31" r:id="rId202"/>
    <hyperlink ref="AE31" r:id="rId203"/>
    <hyperlink ref="S31" r:id="rId204" display="https://www.ncbi.nlm.nih.gov/pubmed/10024977"/>
    <hyperlink ref="AD141" r:id="rId205"/>
    <hyperlink ref="AD142" r:id="rId206"/>
    <hyperlink ref="AD143" r:id="rId207"/>
    <hyperlink ref="T141" r:id="rId208" display="https://www.ncbi.nlm.nih.gov/pubmed/205151"/>
    <hyperlink ref="T142" r:id="rId209" display="https://www.ncbi.nlm.nih.gov/pubmed/205151"/>
    <hyperlink ref="T143" r:id="rId210" display="https://www.ncbi.nlm.nih.gov/pubmed/205151"/>
    <hyperlink ref="AD122" r:id="rId211"/>
    <hyperlink ref="AD53" r:id="rId212"/>
    <hyperlink ref="S53" r:id="rId213"/>
    <hyperlink ref="AD206" r:id="rId214"/>
    <hyperlink ref="AE206" r:id="rId215"/>
    <hyperlink ref="AD161" r:id="rId216"/>
    <hyperlink ref="AE161" r:id="rId217"/>
    <hyperlink ref="T161" r:id="rId218" display="https://www.ncbi.nlm.nih.gov/pubmed/18712810"/>
    <hyperlink ref="AD163" r:id="rId219"/>
    <hyperlink ref="AD214" r:id="rId220"/>
    <hyperlink ref="AE214" r:id="rId221"/>
    <hyperlink ref="S214" r:id="rId222"/>
    <hyperlink ref="AD11" r:id="rId223"/>
    <hyperlink ref="S11" r:id="rId224"/>
    <hyperlink ref="S123" r:id="rId225" display="https://www.ncbi.nlm.nih.gov/pubmed/4206329"/>
    <hyperlink ref="AD20" r:id="rId226"/>
    <hyperlink ref="AD207" r:id="rId227"/>
    <hyperlink ref="S207" r:id="rId228" display="https://www.ncbi.nlm.nih.gov/pubmed/12491154"/>
    <hyperlink ref="S28" r:id="rId229" display="https://www.ncbi.nlm.nih.gov/pubmed/15018126"/>
    <hyperlink ref="AD28" r:id="rId230"/>
    <hyperlink ref="AD117" r:id="rId231"/>
    <hyperlink ref="AD174" r:id="rId232"/>
    <hyperlink ref="S174" r:id="rId233" display="https://www.ncbi.nlm.nih.gov/pubmed/16608518"/>
    <hyperlink ref="AD171" r:id="rId234"/>
    <hyperlink ref="S171" r:id="rId235" display="https://www.ncbi.nlm.nih.gov/pubmed/22673358"/>
    <hyperlink ref="S208" r:id="rId236"/>
    <hyperlink ref="AD208" r:id="rId237"/>
    <hyperlink ref="AD54" r:id="rId238"/>
    <hyperlink ref="AD32" r:id="rId239"/>
    <hyperlink ref="AE32" r:id="rId240"/>
    <hyperlink ref="S32" r:id="rId241"/>
    <hyperlink ref="AD33" r:id="rId242"/>
    <hyperlink ref="AE33" r:id="rId243"/>
    <hyperlink ref="S33" r:id="rId244"/>
    <hyperlink ref="AD55" r:id="rId245"/>
    <hyperlink ref="S55" r:id="rId246"/>
    <hyperlink ref="AD77" r:id="rId247"/>
    <hyperlink ref="AD88" r:id="rId248"/>
    <hyperlink ref="S88" r:id="rId249"/>
    <hyperlink ref="AD78" r:id="rId250"/>
    <hyperlink ref="S78" r:id="rId251"/>
    <hyperlink ref="AD56" r:id="rId252"/>
    <hyperlink ref="AE56" r:id="rId253"/>
    <hyperlink ref="S56" r:id="rId254" display="https://www.ncbi.nlm.nih.gov/pubmed/18240970"/>
    <hyperlink ref="AE209" r:id="rId255"/>
    <hyperlink ref="AD79" r:id="rId256"/>
    <hyperlink ref="S79" r:id="rId257"/>
    <hyperlink ref="S57" r:id="rId258" display="https://www.ncbi.nlm.nih.gov/pubmed/1659238"/>
    <hyperlink ref="AD57" r:id="rId259"/>
    <hyperlink ref="AD210" r:id="rId260"/>
    <hyperlink ref="AE210" r:id="rId261"/>
    <hyperlink ref="S210" r:id="rId262" display="https://www.ncbi.nlm.nih.gov/pubmed/23085307"/>
    <hyperlink ref="AD58" r:id="rId263"/>
    <hyperlink ref="AE58" r:id="rId264"/>
    <hyperlink ref="S58" r:id="rId265"/>
    <hyperlink ref="S125" r:id="rId266" display="https://www.ncbi.nlm.nih.gov/pubmed/23239568"/>
    <hyperlink ref="AD125" r:id="rId267"/>
    <hyperlink ref="AD211" r:id="rId268"/>
    <hyperlink ref="AE211" r:id="rId269"/>
    <hyperlink ref="AD59" r:id="rId270"/>
    <hyperlink ref="S59" r:id="rId271" display="https://www.ncbi.nlm.nih.gov/pubmed/15958020"/>
    <hyperlink ref="AD60" r:id="rId272"/>
    <hyperlink ref="AD212" r:id="rId273"/>
    <hyperlink ref="AD213" r:id="rId274"/>
    <hyperlink ref="AD61" r:id="rId275"/>
    <hyperlink ref="AE61" r:id="rId276"/>
    <hyperlink ref="AD34" r:id="rId277"/>
    <hyperlink ref="AE34" r:id="rId278"/>
    <hyperlink ref="AD62" r:id="rId279"/>
    <hyperlink ref="S34" r:id="rId280"/>
    <hyperlink ref="S62" r:id="rId281"/>
    <hyperlink ref="AD18" r:id="rId282"/>
    <hyperlink ref="S18" r:id="rId283"/>
    <hyperlink ref="S25" r:id="rId284" display="https://www.ncbi.nlm.nih.gov/pubmed/28549438"/>
    <hyperlink ref="AE25" r:id="rId285" display="https://www.ncbi.nlm.nih.gov/pubmed/28549438"/>
    <hyperlink ref="AE22" r:id="rId286" display="https://www.ncbi.nlm.nih.gov/pubmed/28549438"/>
    <hyperlink ref="AD30" r:id="rId287"/>
    <hyperlink ref="S30" r:id="rId288"/>
    <hyperlink ref="S36" r:id="rId289" display="https://www.ncbi.nlm.nih.gov/pubmed/6293325"/>
    <hyperlink ref="AD36" r:id="rId290" display="https://www.ncbi.nlm.nih.gov/pubmed/6293325"/>
    <hyperlink ref="AD182" r:id="rId291" display="https://www.ncbi.nlm.nih.gov/pubmed/23028323"/>
    <hyperlink ref="S182" r:id="rId292" display="https://www.ncbi.nlm.nih.gov/pubmed/23028323"/>
    <hyperlink ref="S39" r:id="rId293"/>
    <hyperlink ref="AE39" r:id="rId294" display="https://www.ncbi.nlm.nih.gov/pubmed/11113383"/>
    <hyperlink ref="AD39" r:id="rId295"/>
    <hyperlink ref="S105" r:id="rId296"/>
    <hyperlink ref="S106" r:id="rId297" display="https://www.ncbi.nlm.nih.gov/pubmed/27074162"/>
    <hyperlink ref="S107" r:id="rId298"/>
    <hyperlink ref="S69" r:id="rId299"/>
    <hyperlink ref="S187" r:id="rId300"/>
    <hyperlink ref="AD155" r:id="rId301" display="24285662"/>
    <hyperlink ref="T155" r:id="rId302" display="https://www.ncbi.nlm.nih.gov/pubmed/27213426"/>
    <hyperlink ref="S82" r:id="rId303"/>
    <hyperlink ref="AD82" r:id="rId304"/>
    <hyperlink ref="S137" r:id="rId305" display="https://www.ncbi.nlm.nih.gov/pubmed/26053872"/>
    <hyperlink ref="S138" r:id="rId306" display="https://www.ncbi.nlm.nih.gov/pubmed/9203732"/>
    <hyperlink ref="S139" r:id="rId307" display="https://www.ncbi.nlm.nih.gov/pubmed/28367789"/>
    <hyperlink ref="S140" r:id="rId308" display="https://www.ncbi.nlm.nih.gov/pubmed/28367789"/>
    <hyperlink ref="AD156" r:id="rId309"/>
    <hyperlink ref="AE156" r:id="rId310"/>
    <hyperlink ref="S156" r:id="rId311"/>
    <hyperlink ref="T156" r:id="rId312"/>
    <hyperlink ref="S108" r:id="rId313" display="https://www.ncbi.nlm.nih.gov/pubmed/234206"/>
    <hyperlink ref="S109" r:id="rId314"/>
    <hyperlink ref="S23" r:id="rId315" display="https://www.ncbi.nlm.nih.gov/pubmed/26556276"/>
    <hyperlink ref="S170" r:id="rId316"/>
    <hyperlink ref="S152" r:id="rId317"/>
    <hyperlink ref="AD96" r:id="rId318"/>
    <hyperlink ref="S96" r:id="rId319" display="https://www.ncbi.nlm.nih.gov/pubmed/19386708"/>
    <hyperlink ref="S97" r:id="rId320" display="https://www.ncbi.nlm.nih.gov/pubmed/19386708"/>
    <hyperlink ref="T96" r:id="rId321"/>
    <hyperlink ref="T97" r:id="rId322"/>
    <hyperlink ref="AD97" r:id="rId323"/>
    <hyperlink ref="S6" r:id="rId324" display="https://www.ncbi.nlm.nih.gov/pubmed/25393244"/>
    <hyperlink ref="AD6" r:id="rId325"/>
    <hyperlink ref="S111" r:id="rId326" display="https://www.ncbi.nlm.nih.gov/pubmed/24633174"/>
    <hyperlink ref="AD14" r:id="rId327"/>
    <hyperlink ref="S14" r:id="rId328"/>
    <hyperlink ref="T14" r:id="rId329" display="https://www.ncbi.nlm.nih.gov/pubmed/24789796"/>
    <hyperlink ref="S15" r:id="rId330"/>
    <hyperlink ref="S16" r:id="rId331"/>
    <hyperlink ref="AD15" r:id="rId332"/>
    <hyperlink ref="AD16" r:id="rId333"/>
    <hyperlink ref="AD190" r:id="rId334" display="https://www.ncbi.nlm.nih.gov/pubmed/6091472"/>
    <hyperlink ref="AD9" r:id="rId335" display="https://www.ncbi.nlm.nih.gov/pubmed/26982388"/>
    <hyperlink ref="S112" r:id="rId336" display="https://www.ncbi.nlm.nih.gov/pubmed/24633174"/>
    <hyperlink ref="S50" r:id="rId337"/>
    <hyperlink ref="S113" r:id="rId338"/>
    <hyperlink ref="AD113" r:id="rId339"/>
    <hyperlink ref="S114" r:id="rId340"/>
    <hyperlink ref="S115" r:id="rId341"/>
    <hyperlink ref="S158" r:id="rId342"/>
    <hyperlink ref="AD158" r:id="rId343"/>
    <hyperlink ref="S148" r:id="rId344"/>
    <hyperlink ref="S116" r:id="rId345"/>
    <hyperlink ref="AD10" r:id="rId346"/>
    <hyperlink ref="S10" r:id="rId347"/>
    <hyperlink ref="AD164" r:id="rId348"/>
    <hyperlink ref="S163" r:id="rId349" display="https://www.ncbi.nlm.nih.gov/pubmed/28558823"/>
    <hyperlink ref="S164" r:id="rId350"/>
    <hyperlink ref="AD123" r:id="rId351"/>
    <hyperlink ref="S74" r:id="rId352"/>
    <hyperlink ref="AD74" r:id="rId353"/>
    <hyperlink ref="AE124" r:id="rId354"/>
    <hyperlink ref="S124" r:id="rId355"/>
    <hyperlink ref="S118" r:id="rId356"/>
    <hyperlink ref="S77" r:id="rId357"/>
    <hyperlink ref="AD119" r:id="rId358"/>
    <hyperlink ref="S119" r:id="rId359"/>
    <hyperlink ref="AD172" r:id="rId360"/>
    <hyperlink ref="S172" r:id="rId361"/>
    <hyperlink ref="S175" r:id="rId362"/>
    <hyperlink ref="AD175" r:id="rId363"/>
    <hyperlink ref="S150" r:id="rId364" display="https://www.ncbi.nlm.nih.gov/pubmed/24637582"/>
    <hyperlink ref="AD150" r:id="rId365"/>
    <hyperlink ref="AE150" r:id="rId366"/>
    <hyperlink ref="S37" r:id="rId367" display="https://www.ncbi.nlm.nih.gov/pubmed/24056604"/>
    <hyperlink ref="S67" r:id="rId368" display="https://www.ncbi.nlm.nih.gov/pubmed/20836801"/>
    <hyperlink ref="S68" r:id="rId369"/>
    <hyperlink ref="AD68" r:id="rId370"/>
    <hyperlink ref="S76" r:id="rId371"/>
    <hyperlink ref="AD76" r:id="rId372"/>
    <hyperlink ref="AD75" r:id="rId373"/>
    <hyperlink ref="S75" r:id="rId374"/>
    <hyperlink ref="S206" r:id="rId375" display="https://www.ncbi.nlm.nih.gov/pubmed/24799374"/>
    <hyperlink ref="T154" r:id="rId376" display="https://www.ncbi.nlm.nih.gov/pubmed/22526290"/>
    <hyperlink ref="S154" r:id="rId377" display="https://www.ncbi.nlm.nih.gov/pubmed/6508529"/>
    <hyperlink ref="S40" r:id="rId378"/>
    <hyperlink ref="S43" r:id="rId379" display="https://www.ncbi.nlm.nih.gov/pubmed/23875051"/>
    <hyperlink ref="T47" r:id="rId380"/>
    <hyperlink ref="S47" r:id="rId381" display="https://www.ncbi.nlm.nih.gov/pubmed/22984545"/>
    <hyperlink ref="AE47" r:id="rId382"/>
    <hyperlink ref="AD47" r:id="rId383" display="https://www.ncbi.nlm.nih.gov/pubmed/180846"/>
    <hyperlink ref="S48" r:id="rId384" display="https://www.ncbi.nlm.nih.gov/pubmed/24552787"/>
    <hyperlink ref="T48" r:id="rId385"/>
    <hyperlink ref="AD48" r:id="rId386" display="https://www.ncbi.nlm.nih.gov/pubmed/24552787"/>
    <hyperlink ref="AE48" r:id="rId387"/>
    <hyperlink ref="S54" r:id="rId388" display="https://www.ncbi.nlm.nih.gov/pubmed/23474474"/>
    <hyperlink ref="T54" r:id="rId389"/>
    <hyperlink ref="AE54" r:id="rId390" display="https://www.ncbi.nlm.nih.gov/pubmed/23474474"/>
    <hyperlink ref="T61" r:id="rId391"/>
    <hyperlink ref="S61" r:id="rId392" display="https://www.ncbi.nlm.nih.gov/pubmed/25672346"/>
    <hyperlink ref="AD90" r:id="rId393"/>
    <hyperlink ref="S90" r:id="rId394"/>
    <hyperlink ref="T91" r:id="rId395"/>
    <hyperlink ref="AE91" r:id="rId396"/>
    <hyperlink ref="S63" r:id="rId397" display="https://www.ncbi.nlm.nih.gov/pubmed/26212868"/>
    <hyperlink ref="S145" r:id="rId398"/>
    <hyperlink ref="AD145" r:id="rId399"/>
    <hyperlink ref="AD84" r:id="rId400"/>
    <hyperlink ref="T85" r:id="rId401" display="https://www.ncbi.nlm.nih.gov/pubmed/28302313"/>
    <hyperlink ref="T86" r:id="rId402" display="https://www.ncbi.nlm.nih.gov/pubmed/28302313"/>
    <hyperlink ref="S85" r:id="rId403" display="https://www.ncbi.nlm.nih.gov/pubmed/25268241"/>
    <hyperlink ref="S86" r:id="rId404" display="https://www.ncbi.nlm.nih.gov/pubmed/23408893"/>
    <hyperlink ref="AE177" r:id="rId405" display="https://www.ncbi.nlm.nih.gov/pubmed/25192547"/>
    <hyperlink ref="S177" r:id="rId406"/>
    <hyperlink ref="S178" r:id="rId407"/>
    <hyperlink ref="AD180" r:id="rId408" display="https://link.springer.com/article/10.1007/BF01250419"/>
    <hyperlink ref="S181" r:id="rId409" display="https://www.ncbi.nlm.nih.gov/pubmed/23597620"/>
    <hyperlink ref="T3" r:id="rId410" display="https://www.ncbi.nlm.nih.gov/pubmed/12615305"/>
    <hyperlink ref="S3" r:id="rId411" display="https://www.ncbi.nlm.nih.gov/pubmed/8166352"/>
    <hyperlink ref="S4" r:id="rId412" display="https://www.ncbi.nlm.nih.gov/pubmed/24901990"/>
    <hyperlink ref="T4" r:id="rId413" display="https://www.ncbi.nlm.nih.gov/pubmed/12615305"/>
    <hyperlink ref="AE4" r:id="rId414" display="https://www.ncbi.nlm.nih.gov/pubmed/24901990"/>
    <hyperlink ref="T5" r:id="rId415"/>
    <hyperlink ref="S5" r:id="rId416"/>
    <hyperlink ref="AE5" r:id="rId417"/>
    <hyperlink ref="AD5" r:id="rId418"/>
    <hyperlink ref="S7" r:id="rId419" display="https://www.ncbi.nlm.nih.gov/pubmed/26631809"/>
    <hyperlink ref="T7" r:id="rId420" display="https://www.ncbi.nlm.nih.gov/pubmed/23666045"/>
    <hyperlink ref="AD7" r:id="rId421" display="https://www.ncbi.nlm.nih.gov/pubmed/23666045"/>
    <hyperlink ref="S8" r:id="rId422" display="https://www.ncbi.nlm.nih.gov/pubmed/25031335"/>
    <hyperlink ref="S9" r:id="rId423" display="https://www.ncbi.nlm.nih.gov/pubmed/26982388"/>
    <hyperlink ref="AD12" r:id="rId424"/>
    <hyperlink ref="S12" r:id="rId425"/>
    <hyperlink ref="AE151" r:id="rId426" display="https://www.ncbi.nlm.nih.gov/pubmed/25417845"/>
    <hyperlink ref="AD151" r:id="rId427"/>
    <hyperlink ref="T93" r:id="rId428" display="https://www.ncbi.nlm.nih.gov/pubmed/24929750"/>
    <hyperlink ref="AD93" r:id="rId429" display="https://www.ncbi.nlm.nih.gov/pubmed/24929750"/>
    <hyperlink ref="AE93" r:id="rId430" display="https://www.ncbi.nlm.nih.gov/pubmed/24501402"/>
    <hyperlink ref="S110" r:id="rId431" display="https://www.ncbi.nlm.nih.gov/pubmed/13793361"/>
    <hyperlink ref="S117" r:id="rId432"/>
    <hyperlink ref="S71" r:id="rId433" display="https://www.ncbi.nlm.nih.gov/pubmed/18305044"/>
    <hyperlink ref="S122" r:id="rId434" display="https://www.ncbi.nlm.nih.gov/pubmed/25569474"/>
    <hyperlink ref="AD94" r:id="rId435"/>
    <hyperlink ref="S94" r:id="rId436"/>
    <hyperlink ref="S20" r:id="rId437" display="https://www.ncbi.nlm.nih.gov/pubmed/27120472"/>
    <hyperlink ref="S173" r:id="rId438"/>
    <hyperlink ref="AD173" r:id="rId439"/>
    <hyperlink ref="S149" r:id="rId440" display="https://www.ncbi.nlm.nih.gov/pubmed/26193371"/>
    <hyperlink ref="S188" r:id="rId441" display="https://www.ncbi.nlm.nih.gov/pubmed/?term=4335268"/>
    <hyperlink ref="S21" r:id="rId442" display="https://www.ncbi.nlm.nih.gov/pubmed/6283714"/>
    <hyperlink ref="S183" r:id="rId443" display="https://www.ncbi.nlm.nih.gov/pubmed/23028323"/>
    <hyperlink ref="S184" r:id="rId444" display="https://www.ncbi.nlm.nih.gov/pubmed/23028323"/>
    <hyperlink ref="AD183" r:id="rId445" display="https://www.ncbi.nlm.nih.gov/pubmed/23028323"/>
    <hyperlink ref="AD184" r:id="rId446" display="https://www.ncbi.nlm.nih.gov/pubmed/23028323"/>
    <hyperlink ref="AD149" r:id="rId447" display="https://www.ncbi.nlm.nih.gov/pubmed/25889358"/>
    <hyperlink ref="AE131" r:id="rId448"/>
    <hyperlink ref="AE132" r:id="rId449"/>
    <hyperlink ref="AE133" r:id="rId450"/>
    <hyperlink ref="S197" r:id="rId451"/>
    <hyperlink ref="AD197" r:id="rId452"/>
    <hyperlink ref="AD185" r:id="rId453"/>
    <hyperlink ref="T185" r:id="rId454" display="https://www.ncbi.nlm.nih.gov/pubmed/23034141"/>
    <hyperlink ref="AD66" r:id="rId455"/>
    <hyperlink ref="S66" r:id="rId456" display="https://www.ncbi.nlm.nih.gov/pubmed/15479837"/>
    <hyperlink ref="AE194" r:id="rId457"/>
    <hyperlink ref="AD131" r:id="rId458"/>
    <hyperlink ref="AD132" r:id="rId459"/>
    <hyperlink ref="AD133" r:id="rId460"/>
    <hyperlink ref="AD134" r:id="rId461"/>
    <hyperlink ref="AD135" r:id="rId462"/>
    <hyperlink ref="AD176" r:id="rId463"/>
    <hyperlink ref="AD136" r:id="rId464"/>
    <hyperlink ref="AD140" r:id="rId465"/>
    <hyperlink ref="AD196" r:id="rId466"/>
    <hyperlink ref="AD71" r:id="rId467"/>
    <hyperlink ref="AD179" r:id="rId468"/>
    <hyperlink ref="AE35" r:id="rId469"/>
    <hyperlink ref="AD160" r:id="rId470"/>
    <hyperlink ref="AE80" r:id="rId471"/>
    <hyperlink ref="AD205" r:id="rId472"/>
    <hyperlink ref="AD162" r:id="rId473"/>
    <hyperlink ref="AD124" r:id="rId474"/>
    <hyperlink ref="AD100" r:id="rId475" display="https://www.ncbi.nlm.nih.gov/pubmed/2212992"/>
    <hyperlink ref="AD101" r:id="rId476"/>
    <hyperlink ref="AD118" r:id="rId477"/>
    <hyperlink ref="AD83" r:id="rId478"/>
    <hyperlink ref="AD102" r:id="rId479"/>
    <hyperlink ref="AD209" r:id="rId480"/>
    <hyperlink ref="AD21" r:id="rId481"/>
    <hyperlink ref="S213" r:id="rId482" display="https://www.ncbi.nlm.nih.gov/pubmed/15381803"/>
    <hyperlink ref="S212" r:id="rId483" display="https://www.ncbi.nlm.nih.gov/pubmed/22989182"/>
    <hyperlink ref="S60" r:id="rId484" display="https://www.ncbi.nlm.nih.gov/pubmed/17332186"/>
    <hyperlink ref="S211" r:id="rId485" display="https://www.ncbi.nlm.nih.gov/pubmed/22989182"/>
    <hyperlink ref="S209" r:id="rId486"/>
    <hyperlink ref="S102" r:id="rId487" display="https://www.ncbi.nlm.nih.gov/pubmed/17703419/"/>
    <hyperlink ref="S83" r:id="rId488"/>
    <hyperlink ref="S101" r:id="rId489"/>
    <hyperlink ref="S100" r:id="rId490" display="https://www.ncbi.nlm.nih.gov/pubmed/2212992"/>
    <hyperlink ref="S162" r:id="rId491"/>
    <hyperlink ref="S161" r:id="rId492" display="https://www.ncbi.nlm.nih.gov/pubmed/21575246/"/>
    <hyperlink ref="S205" r:id="rId493"/>
    <hyperlink ref="S141" r:id="rId494" display="https://www.ncbi.nlm.nih.gov/pubmed/6261689/"/>
    <hyperlink ref="S142" r:id="rId495" display="https://www.ncbi.nlm.nih.gov/pubmed/6261689/"/>
    <hyperlink ref="S143" r:id="rId496" display="https://www.ncbi.nlm.nih.gov/pubmed/6261689/"/>
    <hyperlink ref="S121" r:id="rId497" display="https://www.ncbi.nlm.nih.gov/pubmed/4206329/"/>
    <hyperlink ref="S166" r:id="rId498" display="https://www.ncbi.nlm.nih.gov/pubmed/15911757/"/>
    <hyperlink ref="S167" r:id="rId499" display="https://www.ncbi.nlm.nih.gov/pubmed/15911757/"/>
    <hyperlink ref="S168" r:id="rId500" display="https://www.ncbi.nlm.nih.gov/pubmed/15911757/"/>
    <hyperlink ref="S191" r:id="rId501" display="https://www.ncbi.nlm.nih.gov/pubmed/23034141/"/>
    <hyperlink ref="S93" r:id="rId502" display="https://www.ncbi.nlm.nih.gov/pubmed/18568081/"/>
    <hyperlink ref="S169" r:id="rId503"/>
    <hyperlink ref="S198" r:id="rId504" display="https://www.ncbi.nlm.nih.gov/pubmed/19651164"/>
    <hyperlink ref="S196" r:id="rId505"/>
    <hyperlink ref="S176" r:id="rId506"/>
    <hyperlink ref="T135" r:id="rId507" display="https://www.ncbi.nlm.nih.gov/pubmed/19033469"/>
    <hyperlink ref="S135" r:id="rId508"/>
    <hyperlink ref="S134" r:id="rId509"/>
    <hyperlink ref="S133" r:id="rId510"/>
    <hyperlink ref="S132" r:id="rId511"/>
    <hyperlink ref="S131" r:id="rId512"/>
    <hyperlink ref="T134" r:id="rId513" display="https://www.ncbi.nlm.nih.gov/pubmed/19033469"/>
    <hyperlink ref="T133" r:id="rId514" display="https://www.ncbi.nlm.nih.gov/pubmed/19033469"/>
    <hyperlink ref="T132" r:id="rId515" display="https://www.ncbi.nlm.nih.gov/pubmed/19033469"/>
    <hyperlink ref="T131" r:id="rId516" display="https://www.ncbi.nlm.nih.gov/pubmed/19033469"/>
  </hyperlinks>
  <pageMargins left="0.7" right="0.7" top="0.75" bottom="0.75" header="0.3" footer="0.3"/>
  <pageSetup paperSize="9" orientation="portrait" r:id="rId5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Virus data 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ADAIR Kyle</dc:creator>
  <cp:lastModifiedBy>Pauline Ward</cp:lastModifiedBy>
  <cp:lastPrinted>2017-07-12T13:26:18Z</cp:lastPrinted>
  <dcterms:created xsi:type="dcterms:W3CDTF">2012-03-19T16:48:27Z</dcterms:created>
  <dcterms:modified xsi:type="dcterms:W3CDTF">2017-12-11T13:18:12Z</dcterms:modified>
  <cp:contentStatus/>
</cp:coreProperties>
</file>