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150" windowWidth="11385" windowHeight="7710"/>
  </bookViews>
  <sheets>
    <sheet name="Information" sheetId="2" r:id="rId1"/>
    <sheet name="Encounters" sheetId="3" r:id="rId2"/>
    <sheet name="Tables" sheetId="1" r:id="rId3"/>
    <sheet name="Sheet1" sheetId="8" r:id="rId4"/>
  </sheets>
  <definedNames>
    <definedName name="animal">Tables!$N$40:$O$48</definedName>
    <definedName name="Big">Tables!$D$1005:$E$1104</definedName>
    <definedName name="Bonus">Tables!$T$236:$U$237</definedName>
    <definedName name="BOOK">Tables!$R$511:$S$661</definedName>
    <definedName name="BOTTLE">Tables!$R$3:$S$17</definedName>
    <definedName name="Bugs">Tables!$N$116:$O$145</definedName>
    <definedName name="BW">Tables!$T$15:$U$16</definedName>
    <definedName name="CC">Tables!$N$745:$O$750</definedName>
    <definedName name="CHANGE">Tables!$T$30:$U$130</definedName>
    <definedName name="chase">Tables!$N$104:$O$113</definedName>
    <definedName name="Chess">Tables!$R$277:$S$282</definedName>
    <definedName name="Civil">Tables!$N$18:$O$20</definedName>
    <definedName name="classes">Sheet1!$A$2:$B$7</definedName>
    <definedName name="CLOTHES">Tables!$N$565:$O$584</definedName>
    <definedName name="coat">Tables!$N$22:$O$25</definedName>
    <definedName name="Compas">Tables!$N$3:$O$10</definedName>
    <definedName name="creature">Tables!$R$664:$S$788</definedName>
    <definedName name="critter">Tables!$N$65:$O$84</definedName>
    <definedName name="CULT">Tables!$T$240:$U$241</definedName>
    <definedName name="DATE">Tables!$P$729:$Q$740</definedName>
    <definedName name="DAY">Tables!$P$483:$Q$489</definedName>
    <definedName name="Deck">Tables!$P$582:$Q$594</definedName>
    <definedName name="DICE">Tables!$T$133:$U$134</definedName>
    <definedName name="DIME">Tables!$R$285:$S$384</definedName>
    <definedName name="Disposition">Tables!$N$444:$O$562</definedName>
    <definedName name="DRINKS">Tables!$R$387:$S$408</definedName>
    <definedName name="ELIXIR">Tables!$R$71:$S$170</definedName>
    <definedName name="FILL">Tables!$T$19:$U$23</definedName>
    <definedName name="fish">Tables!$N$87:$O$96</definedName>
    <definedName name="FIT">Tables!$T$11:$U$12</definedName>
    <definedName name="FOBBS">Tables!$P$717:$Q$726</definedName>
    <definedName name="GAME">Tables!$N$599:$O$655</definedName>
    <definedName name="Guns">Tables!$N$13:$O$15</definedName>
    <definedName name="HATS">Tables!$N$587:$O$596</definedName>
    <definedName name="HIDE">Tables!$R$411:$S$416</definedName>
    <definedName name="HOYLES">Tables!$R$419:$S$424</definedName>
    <definedName name="Hunt">Tables!$R$791:$S$872</definedName>
    <definedName name="ING">Tables!$R$213:$S$262</definedName>
    <definedName name="InTown">Tables!$D$2:$E$1001</definedName>
    <definedName name="InWilderness">Tables!$F$2:$G$1001</definedName>
    <definedName name="kidnapped">Sheet1!$H$2:$H$8</definedName>
    <definedName name="LANG">Tables!$R$191:$S$210</definedName>
    <definedName name="LETTERS">Tables!$P$554:$Q$579</definedName>
    <definedName name="LUCK">Tables!$T$26:$U$27</definedName>
    <definedName name="MAGAZINE">Tables!$R$469:$S$508</definedName>
    <definedName name="MAGIC">Tables!$T$7:$U$8</definedName>
    <definedName name="MARKED">Tables!$T$137:$U$138</definedName>
    <definedName name="MONTH">Tables!$P$743:$Q$754</definedName>
    <definedName name="NAME">Tables!$P$35:$Q$267</definedName>
    <definedName name="NEWS">Tables!$R$427:$S$466</definedName>
    <definedName name="NPCS">Tables!$H$2:$I$1001</definedName>
    <definedName name="OCCULT">Tables!$T$254:$U$261</definedName>
    <definedName name="OLE_LINK1" localSheetId="2">Tables!#REF!</definedName>
    <definedName name="PAPER">Tables!$T$219:$U$233</definedName>
    <definedName name="Place">Tables!$P$270:$Q$377</definedName>
    <definedName name="plight">Tables!$N$422:$O$441</definedName>
    <definedName name="POCKET">Tables!$K$2:$L$901</definedName>
    <definedName name="POUCH">Tables!$R$20:$S$41</definedName>
    <definedName name="profession" localSheetId="2">Tables!$P$381:$Q$480</definedName>
    <definedName name="quake">Tables!$N$99:$O$101</definedName>
    <definedName name="REMEDY">Tables!$R$173:$S$182</definedName>
    <definedName name="SECRET">Tables!$P$603:$Q$714</definedName>
    <definedName name="sex">Tables!$N$28:$O$29</definedName>
    <definedName name="SHIP">Tables!$T$248:$U$252</definedName>
    <definedName name="SIZE">Tables!$T$244:$U$246</definedName>
    <definedName name="SN">Tables!$N$734:$O$742</definedName>
    <definedName name="store">Tables!$N$202:$O$251</definedName>
    <definedName name="STREET">Tables!$R$265:$S$274</definedName>
    <definedName name="stuff">Tables!$N$180:$O$199</definedName>
    <definedName name="Suite">Tables!$P$597:$Q$600</definedName>
    <definedName name="TDT">Tables!$N$659:$O$666</definedName>
    <definedName name="TGB">Tables!$N$670:$O$678</definedName>
    <definedName name="TGML">Tables!$N$681:$O$687</definedName>
    <definedName name="TGMS">Tables!$N$690:$O$697</definedName>
    <definedName name="TGN">Tables!$N$701:$O$709</definedName>
    <definedName name="things">Tables!$N$254:$O$273</definedName>
    <definedName name="THP">Tables!$N$713:$O$720</definedName>
    <definedName name="Time">Tables!$N$360:$O$419</definedName>
    <definedName name="TINMAN">Tables!$T$263:$U$264</definedName>
    <definedName name="TONICS">Tables!$R$44:$S$68</definedName>
    <definedName name="town">Tables!$N$318:$O$357</definedName>
    <definedName name="trait">Tables!$N$51:$O$62</definedName>
    <definedName name="TRD">Tables!$N$724:$O$730</definedName>
    <definedName name="tributes">Sheet1!$C$2:$D$10</definedName>
    <definedName name="TWS">Tables!$N$754:$O$764</definedName>
    <definedName name="Vampire">Tables!$N$32:$O$37</definedName>
    <definedName name="varmints">Tables!$N$148:$O$177</definedName>
    <definedName name="wilderness">Tables!$N$276:$O$315</definedName>
    <definedName name="WORKS">Tables!$T$3:$U$4</definedName>
  </definedNames>
  <calcPr calcId="145621"/>
</workbook>
</file>

<file path=xl/calcChain.xml><?xml version="1.0" encoding="utf-8"?>
<calcChain xmlns="http://schemas.openxmlformats.org/spreadsheetml/2006/main">
  <c r="G270" i="1" l="1"/>
  <c r="G91" i="1"/>
  <c r="G401" i="1"/>
  <c r="G286" i="1" l="1"/>
  <c r="I177" i="1"/>
  <c r="G236" i="1"/>
  <c r="I153" i="1" l="1"/>
  <c r="E1" i="3" l="1"/>
  <c r="L144" i="1" l="1"/>
  <c r="S826" i="1"/>
  <c r="S819" i="1"/>
  <c r="S820" i="1"/>
  <c r="S656" i="1"/>
  <c r="S654" i="1"/>
  <c r="S651" i="1"/>
  <c r="S650" i="1"/>
  <c r="S649" i="1"/>
  <c r="S648" i="1"/>
  <c r="S647" i="1"/>
  <c r="L3" i="1" l="1"/>
  <c r="L12" i="1"/>
  <c r="L11" i="1"/>
  <c r="L10" i="1"/>
  <c r="L7" i="1"/>
  <c r="L8" i="1"/>
  <c r="L6" i="1"/>
  <c r="L9" i="1"/>
  <c r="L2" i="1"/>
  <c r="L4" i="1"/>
  <c r="L5" i="1"/>
  <c r="E1012" i="1"/>
  <c r="G334" i="1"/>
  <c r="G107" i="1"/>
  <c r="I268" i="1"/>
  <c r="E373" i="1"/>
  <c r="E380" i="1"/>
  <c r="E376" i="1"/>
  <c r="E375" i="1"/>
  <c r="E363" i="1"/>
  <c r="E350" i="1"/>
  <c r="E347" i="1"/>
  <c r="E343" i="1"/>
  <c r="E338" i="1"/>
  <c r="L100" i="1"/>
  <c r="S646" i="1" l="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2" i="1"/>
  <c r="S611" i="1"/>
  <c r="S616" i="1"/>
  <c r="S615" i="1"/>
  <c r="S614" i="1"/>
  <c r="S613" i="1"/>
  <c r="S610" i="1"/>
  <c r="S609" i="1"/>
  <c r="S608" i="1"/>
  <c r="S607" i="1"/>
  <c r="S606" i="1"/>
  <c r="S605" i="1"/>
  <c r="S604" i="1"/>
  <c r="S603" i="1"/>
  <c r="S602" i="1"/>
  <c r="S601" i="1"/>
  <c r="S600" i="1"/>
  <c r="S599" i="1"/>
  <c r="S598" i="1"/>
  <c r="S595" i="1"/>
  <c r="S581" i="1"/>
  <c r="S556" i="1"/>
  <c r="S591" i="1"/>
  <c r="S580" i="1"/>
  <c r="S568" i="1"/>
  <c r="S557" i="1"/>
  <c r="S547" i="1"/>
  <c r="S545" i="1"/>
  <c r="S529" i="1"/>
  <c r="S528" i="1"/>
  <c r="S526" i="1"/>
  <c r="S523" i="1"/>
  <c r="S521" i="1"/>
  <c r="S520" i="1"/>
  <c r="S518" i="1"/>
  <c r="S514" i="1"/>
  <c r="S511" i="1"/>
  <c r="S384" i="1"/>
  <c r="S381" i="1"/>
  <c r="S379" i="1"/>
  <c r="S377" i="1"/>
  <c r="S376" i="1"/>
  <c r="S375" i="1"/>
  <c r="S374" i="1"/>
  <c r="S373" i="1"/>
  <c r="S370" i="1"/>
  <c r="S369" i="1"/>
  <c r="S368" i="1"/>
  <c r="S365" i="1"/>
  <c r="S357" i="1"/>
  <c r="S356" i="1"/>
  <c r="S355" i="1"/>
  <c r="S294" i="1"/>
  <c r="S305" i="1"/>
  <c r="S304" i="1"/>
  <c r="S303" i="1"/>
  <c r="S302" i="1"/>
  <c r="S301" i="1"/>
  <c r="S300" i="1"/>
  <c r="S299" i="1"/>
  <c r="S298" i="1"/>
  <c r="S297" i="1"/>
  <c r="S296" i="1"/>
  <c r="S295" i="1"/>
  <c r="S293" i="1"/>
  <c r="S292" i="1"/>
  <c r="S291" i="1"/>
  <c r="S290" i="1"/>
  <c r="S289" i="1"/>
  <c r="S288" i="1"/>
  <c r="S287" i="1"/>
  <c r="S286" i="1"/>
  <c r="S285" i="1"/>
  <c r="S665" i="1"/>
  <c r="S667" i="1"/>
  <c r="S668" i="1"/>
  <c r="S669" i="1"/>
  <c r="S672" i="1"/>
  <c r="S676" i="1"/>
  <c r="G196" i="1"/>
  <c r="G339" i="1"/>
  <c r="G299" i="1"/>
  <c r="D2" i="3"/>
  <c r="L199" i="1" l="1"/>
  <c r="L206" i="1"/>
  <c r="L198" i="1"/>
  <c r="L200" i="1"/>
  <c r="L201" i="1"/>
  <c r="O764" i="1"/>
  <c r="O763" i="1"/>
  <c r="O762" i="1"/>
  <c r="O761" i="1"/>
  <c r="O750" i="1"/>
  <c r="O749" i="1"/>
  <c r="O742" i="1"/>
  <c r="O741" i="1"/>
  <c r="O740" i="1"/>
  <c r="O738" i="1"/>
  <c r="O737" i="1"/>
  <c r="O728" i="1"/>
  <c r="O725" i="1"/>
  <c r="O724" i="1"/>
  <c r="O720" i="1"/>
  <c r="O717" i="1"/>
  <c r="O716" i="1"/>
  <c r="O708" i="1"/>
  <c r="O707" i="1"/>
  <c r="O706" i="1"/>
  <c r="O696" i="1"/>
  <c r="O695" i="1"/>
  <c r="O690" i="1"/>
  <c r="O687" i="1"/>
  <c r="O686" i="1"/>
  <c r="O683" i="1"/>
  <c r="O682" i="1"/>
  <c r="O681" i="1"/>
  <c r="N680" i="1"/>
  <c r="O684" i="1" s="1"/>
  <c r="O678" i="1"/>
  <c r="O677" i="1"/>
  <c r="O675" i="1"/>
  <c r="O674" i="1"/>
  <c r="O673" i="1"/>
  <c r="O672" i="1"/>
  <c r="O671" i="1"/>
  <c r="O670" i="1"/>
  <c r="O662" i="1"/>
  <c r="O661" i="1"/>
  <c r="O660" i="1"/>
  <c r="O659" i="1"/>
  <c r="Q729" i="1"/>
  <c r="Q730" i="1"/>
  <c r="Q731" i="1"/>
  <c r="Q732" i="1"/>
  <c r="Q733" i="1"/>
  <c r="Q734" i="1"/>
  <c r="Q735" i="1"/>
  <c r="Q736" i="1"/>
  <c r="Q737" i="1"/>
  <c r="Q738" i="1"/>
  <c r="Q739" i="1"/>
  <c r="Q740" i="1"/>
  <c r="U248" i="1"/>
  <c r="U249" i="1"/>
  <c r="B56" i="1" l="1"/>
  <c r="B77" i="1"/>
  <c r="B84" i="1"/>
  <c r="B63" i="1"/>
  <c r="B49" i="1"/>
  <c r="B70" i="1"/>
  <c r="B35" i="1"/>
  <c r="B28" i="1"/>
  <c r="B21" i="1"/>
  <c r="O697" i="1"/>
  <c r="B43" i="1" s="1"/>
  <c r="B57" i="1"/>
  <c r="B22" i="1"/>
  <c r="B64" i="1"/>
  <c r="B71" i="1"/>
  <c r="B85" i="1"/>
  <c r="B78" i="1"/>
  <c r="B36" i="1"/>
  <c r="B50" i="1"/>
  <c r="B29" i="1"/>
  <c r="B42" i="1" l="1"/>
  <c r="G336" i="1"/>
  <c r="AE3" i="1"/>
  <c r="E276" i="1"/>
  <c r="E141" i="1"/>
  <c r="E40" i="1"/>
  <c r="O251" i="1"/>
  <c r="O250" i="1"/>
  <c r="O249" i="1"/>
  <c r="O248" i="1"/>
  <c r="O247" i="1"/>
  <c r="O246" i="1"/>
  <c r="O245" i="1"/>
  <c r="O244" i="1"/>
  <c r="O243" i="1"/>
  <c r="O242" i="1"/>
  <c r="O241" i="1"/>
  <c r="O240" i="1"/>
  <c r="O239" i="1"/>
  <c r="O238" i="1"/>
  <c r="O237" i="1"/>
  <c r="O214" i="1"/>
  <c r="O215" i="1"/>
  <c r="O225" i="1"/>
  <c r="O226" i="1"/>
  <c r="O233" i="1"/>
  <c r="O232" i="1"/>
  <c r="O234" i="1"/>
  <c r="O236" i="1"/>
  <c r="O235" i="1"/>
  <c r="O231" i="1"/>
  <c r="O230" i="1"/>
  <c r="O229" i="1"/>
  <c r="O228" i="1"/>
  <c r="O227" i="1"/>
  <c r="O224" i="1"/>
  <c r="O220" i="1"/>
  <c r="O221" i="1"/>
  <c r="O222" i="1"/>
  <c r="O223" i="1"/>
  <c r="O219" i="1"/>
  <c r="O218" i="1"/>
  <c r="O217" i="1"/>
  <c r="O216" i="1"/>
  <c r="O213" i="1"/>
  <c r="O203" i="1"/>
  <c r="O210" i="1"/>
  <c r="O212" i="1"/>
  <c r="O211" i="1"/>
  <c r="O206" i="1"/>
  <c r="O209" i="1"/>
  <c r="O208" i="1"/>
  <c r="O207" i="1"/>
  <c r="O202" i="1"/>
  <c r="S487" i="1"/>
  <c r="O205" i="1"/>
  <c r="O204" i="1"/>
  <c r="L15" i="1"/>
  <c r="L16" i="1"/>
  <c r="L192" i="1"/>
  <c r="L101" i="1"/>
  <c r="S823" i="1"/>
  <c r="S496" i="1"/>
  <c r="S489" i="1"/>
  <c r="S478" i="1"/>
  <c r="S508" i="1"/>
  <c r="S507" i="1"/>
  <c r="S506" i="1"/>
  <c r="S505" i="1"/>
  <c r="S504" i="1"/>
  <c r="S503" i="1"/>
  <c r="S502" i="1"/>
  <c r="S501" i="1"/>
  <c r="S500" i="1"/>
  <c r="S499" i="1"/>
  <c r="S498" i="1"/>
  <c r="S497" i="1"/>
  <c r="S495" i="1"/>
  <c r="S494" i="1"/>
  <c r="S493" i="1"/>
  <c r="S492" i="1"/>
  <c r="S490" i="1"/>
  <c r="S488" i="1"/>
  <c r="S486" i="1"/>
  <c r="S485" i="1"/>
  <c r="S484" i="1"/>
  <c r="S483" i="1"/>
  <c r="S482" i="1"/>
  <c r="S481" i="1"/>
  <c r="S471" i="1"/>
  <c r="S480" i="1"/>
  <c r="S479" i="1"/>
  <c r="S477" i="1"/>
  <c r="S476" i="1"/>
  <c r="S475" i="1"/>
  <c r="S474" i="1"/>
  <c r="S473" i="1"/>
  <c r="S472" i="1"/>
  <c r="S470" i="1"/>
  <c r="S469" i="1"/>
  <c r="L17" i="1"/>
  <c r="L14" i="1"/>
  <c r="S836" i="1"/>
  <c r="S805" i="1"/>
  <c r="S857" i="1"/>
  <c r="S845" i="1"/>
  <c r="S791" i="1"/>
  <c r="I242" i="1"/>
  <c r="S797" i="1"/>
  <c r="S867" i="1"/>
  <c r="S843" i="1"/>
  <c r="S830" i="1"/>
  <c r="S829" i="1"/>
  <c r="S828" i="1"/>
  <c r="S696" i="1"/>
  <c r="S687" i="1"/>
  <c r="S690" i="1"/>
  <c r="S684" i="1"/>
  <c r="S869" i="1"/>
  <c r="S866" i="1"/>
  <c r="S864" i="1"/>
  <c r="S863" i="1"/>
  <c r="S862" i="1"/>
  <c r="S860" i="1"/>
  <c r="S859" i="1"/>
  <c r="S856" i="1"/>
  <c r="S855" i="1"/>
  <c r="S850" i="1"/>
  <c r="S844" i="1"/>
  <c r="S853" i="1"/>
  <c r="S851" i="1"/>
  <c r="S852" i="1"/>
  <c r="S849" i="1"/>
  <c r="S847" i="1"/>
  <c r="S846" i="1"/>
  <c r="S839" i="1"/>
  <c r="S838" i="1"/>
  <c r="S837" i="1"/>
  <c r="S835" i="1"/>
  <c r="S834" i="1"/>
  <c r="S833" i="1"/>
  <c r="S827" i="1"/>
  <c r="S824" i="1"/>
  <c r="S822" i="1"/>
  <c r="S818" i="1"/>
  <c r="S816" i="1"/>
  <c r="S817" i="1"/>
  <c r="S814" i="1"/>
  <c r="S815" i="1"/>
  <c r="S811" i="1"/>
  <c r="S810" i="1"/>
  <c r="S809" i="1"/>
  <c r="S808" i="1"/>
  <c r="S806" i="1"/>
  <c r="S804" i="1"/>
  <c r="S803" i="1"/>
  <c r="S802" i="1"/>
  <c r="S801" i="1"/>
  <c r="S800" i="1"/>
  <c r="S799" i="1"/>
  <c r="S798" i="1"/>
  <c r="S796" i="1"/>
  <c r="S795" i="1"/>
  <c r="S794" i="1"/>
  <c r="S793" i="1"/>
  <c r="S792" i="1"/>
  <c r="I266" i="1"/>
  <c r="I334" i="1"/>
  <c r="I244" i="1"/>
  <c r="I331" i="1"/>
  <c r="I241" i="1"/>
  <c r="I329" i="1"/>
  <c r="I224" i="1"/>
  <c r="I223" i="1"/>
  <c r="I218" i="1"/>
  <c r="I183" i="1"/>
  <c r="G403" i="1"/>
  <c r="G402" i="1"/>
  <c r="G193" i="1"/>
  <c r="G309" i="1"/>
  <c r="G280" i="1"/>
  <c r="G206" i="1"/>
  <c r="G170" i="1"/>
  <c r="E63" i="1"/>
  <c r="G157" i="1"/>
  <c r="G111" i="1"/>
  <c r="G109" i="1"/>
  <c r="W211" i="1"/>
  <c r="W214" i="1" s="1"/>
  <c r="V213" i="1"/>
  <c r="V214" i="1" s="1"/>
  <c r="U213" i="1"/>
  <c r="U211" i="1"/>
  <c r="W209" i="1"/>
  <c r="W212" i="1" s="1"/>
  <c r="V211" i="1"/>
  <c r="V212" i="1" s="1"/>
  <c r="U207" i="1"/>
  <c r="O163" i="1"/>
  <c r="O160" i="1"/>
  <c r="L194" i="1"/>
  <c r="L193" i="1"/>
  <c r="L191" i="1"/>
  <c r="L267" i="1"/>
  <c r="L266" i="1"/>
  <c r="L265" i="1"/>
  <c r="L264" i="1"/>
  <c r="O583" i="1"/>
  <c r="O578" i="1"/>
  <c r="O577" i="1"/>
  <c r="O575" i="1"/>
  <c r="O574" i="1"/>
  <c r="O573" i="1"/>
  <c r="O572" i="1"/>
  <c r="O571" i="1"/>
  <c r="O570" i="1"/>
  <c r="O568" i="1"/>
  <c r="O567" i="1"/>
  <c r="O566" i="1"/>
  <c r="O565" i="1"/>
  <c r="L302" i="1"/>
  <c r="L123" i="1"/>
  <c r="L272" i="1"/>
  <c r="L137" i="1"/>
  <c r="L136" i="1"/>
  <c r="L135" i="1"/>
  <c r="S277" i="1"/>
  <c r="S282" i="1"/>
  <c r="S281" i="1"/>
  <c r="S280" i="1"/>
  <c r="S279" i="1"/>
  <c r="S278" i="1"/>
  <c r="S237" i="1"/>
  <c r="L169" i="1"/>
  <c r="L72" i="1"/>
  <c r="L60" i="1"/>
  <c r="L58" i="1"/>
  <c r="L39" i="1"/>
  <c r="L21" i="1"/>
  <c r="L113" i="1"/>
  <c r="L279" i="1"/>
  <c r="L278" i="1"/>
  <c r="L277" i="1"/>
  <c r="L276" i="1"/>
  <c r="L275" i="1"/>
  <c r="L274" i="1"/>
  <c r="L273" i="1"/>
  <c r="L271" i="1"/>
  <c r="L270" i="1"/>
  <c r="L269" i="1"/>
  <c r="L268" i="1"/>
  <c r="L263" i="1"/>
  <c r="L262" i="1"/>
  <c r="L261" i="1"/>
  <c r="L260" i="1"/>
  <c r="L259" i="1"/>
  <c r="L258" i="1"/>
  <c r="L243" i="1"/>
  <c r="L242" i="1"/>
  <c r="L116" i="1"/>
  <c r="L115" i="1"/>
  <c r="L114" i="1"/>
  <c r="L61" i="1"/>
  <c r="L57" i="1"/>
  <c r="L217" i="1"/>
  <c r="L216" i="1"/>
  <c r="L215" i="1"/>
  <c r="L13" i="1"/>
  <c r="L224" i="1"/>
  <c r="L214" i="1"/>
  <c r="L213" i="1"/>
  <c r="L171" i="1"/>
  <c r="L155" i="1"/>
  <c r="L160" i="1"/>
  <c r="L159" i="1"/>
  <c r="L43" i="1"/>
  <c r="L254" i="1"/>
  <c r="L239" i="1"/>
  <c r="L238" i="1"/>
  <c r="L237" i="1"/>
  <c r="L236" i="1"/>
  <c r="L235" i="1"/>
  <c r="L189" i="1"/>
  <c r="L149" i="1"/>
  <c r="L145" i="1"/>
  <c r="L140" i="1"/>
  <c r="L139" i="1"/>
  <c r="L138" i="1"/>
  <c r="L134" i="1"/>
  <c r="L120" i="1"/>
  <c r="L118" i="1"/>
  <c r="L190" i="1"/>
  <c r="L188" i="1"/>
  <c r="L102" i="1"/>
  <c r="L96" i="1"/>
  <c r="L95" i="1"/>
  <c r="L89" i="1"/>
  <c r="L86" i="1"/>
  <c r="L82" i="1"/>
  <c r="L76" i="1"/>
  <c r="L75" i="1"/>
  <c r="L74" i="1"/>
  <c r="L70" i="1"/>
  <c r="L71" i="1"/>
  <c r="L67" i="1"/>
  <c r="L66" i="1"/>
  <c r="L65" i="1"/>
  <c r="L64" i="1"/>
  <c r="L63" i="1"/>
  <c r="L103" i="1"/>
  <c r="L185" i="1"/>
  <c r="L186" i="1"/>
  <c r="L187" i="1"/>
  <c r="L184" i="1"/>
  <c r="M331" i="1"/>
  <c r="L161" i="1"/>
  <c r="L62" i="1"/>
  <c r="L59" i="1"/>
  <c r="L56" i="1"/>
  <c r="L55" i="1"/>
  <c r="L45" i="1"/>
  <c r="L32" i="1"/>
  <c r="L31" i="1"/>
  <c r="L29" i="1"/>
  <c r="L27" i="1"/>
  <c r="L22" i="1"/>
  <c r="L20" i="1"/>
  <c r="L30" i="1"/>
  <c r="L28" i="1"/>
  <c r="S261" i="1"/>
  <c r="O96" i="1"/>
  <c r="G203" i="1" s="1"/>
  <c r="O109" i="1"/>
  <c r="O111" i="1"/>
  <c r="O112" i="1"/>
  <c r="O113" i="1"/>
  <c r="O180" i="1"/>
  <c r="L220" i="1" s="1"/>
  <c r="S232" i="1"/>
  <c r="S233" i="1"/>
  <c r="S238" i="1"/>
  <c r="S239" i="1"/>
  <c r="S262" i="1"/>
  <c r="O256" i="1"/>
  <c r="O265" i="1"/>
  <c r="O270" i="1"/>
  <c r="O319" i="1"/>
  <c r="Q330" i="1"/>
  <c r="Q345" i="1"/>
  <c r="O357" i="1"/>
  <c r="Q358" i="1"/>
  <c r="Q363" i="1"/>
  <c r="Q364" i="1"/>
  <c r="O546" i="1"/>
  <c r="C1005" i="1"/>
  <c r="E1106" i="1"/>
  <c r="E1039" i="1" s="1"/>
  <c r="L230" i="1"/>
  <c r="L231" i="1"/>
  <c r="L232" i="1"/>
  <c r="L233" i="1"/>
  <c r="L234" i="1"/>
  <c r="L284" i="1"/>
  <c r="L286" i="1"/>
  <c r="L288" i="1"/>
  <c r="E237" i="1"/>
  <c r="E163" i="1"/>
  <c r="E136" i="1"/>
  <c r="G142" i="1"/>
  <c r="E4" i="1"/>
  <c r="G251" i="1"/>
  <c r="E224" i="1"/>
  <c r="E1033" i="1"/>
  <c r="I155" i="1"/>
  <c r="G374" i="1"/>
  <c r="G131" i="1"/>
  <c r="G130" i="1"/>
  <c r="G129" i="1"/>
  <c r="G127" i="1"/>
  <c r="G126" i="1"/>
  <c r="G125" i="1"/>
  <c r="G124" i="1"/>
  <c r="G123" i="1"/>
  <c r="G122" i="1"/>
  <c r="G121" i="1"/>
  <c r="G120" i="1"/>
  <c r="G118" i="1"/>
  <c r="G117" i="1"/>
  <c r="G116" i="1"/>
  <c r="G115" i="1"/>
  <c r="G114" i="1"/>
  <c r="G113" i="1"/>
  <c r="G112" i="1"/>
  <c r="G110" i="1"/>
  <c r="G108" i="1"/>
  <c r="G106" i="1"/>
  <c r="G105" i="1"/>
  <c r="G104" i="1"/>
  <c r="G103" i="1"/>
  <c r="G102" i="1"/>
  <c r="G101" i="1"/>
  <c r="G100" i="1"/>
  <c r="G99" i="1"/>
  <c r="G98" i="1"/>
  <c r="G97" i="1"/>
  <c r="G96" i="1"/>
  <c r="G93" i="1"/>
  <c r="G92" i="1"/>
  <c r="G90" i="1"/>
  <c r="G89" i="1"/>
  <c r="G87" i="1"/>
  <c r="I279" i="1"/>
  <c r="I156" i="1"/>
  <c r="I265" i="1"/>
  <c r="I264" i="1"/>
  <c r="I152" i="1"/>
  <c r="I151" i="1"/>
  <c r="I263" i="1"/>
  <c r="I262" i="1"/>
  <c r="I261" i="1"/>
  <c r="I150" i="1"/>
  <c r="I149" i="1"/>
  <c r="I260" i="1"/>
  <c r="I148" i="1"/>
  <c r="I147" i="1"/>
  <c r="I146" i="1"/>
  <c r="I259" i="1"/>
  <c r="I258" i="1"/>
  <c r="I145" i="1"/>
  <c r="I144" i="1"/>
  <c r="I143" i="1"/>
  <c r="I142" i="1"/>
  <c r="I140" i="1"/>
  <c r="I139" i="1"/>
  <c r="I138" i="1"/>
  <c r="I137" i="1"/>
  <c r="I136" i="1"/>
  <c r="I127" i="1"/>
  <c r="I257" i="1"/>
  <c r="I125" i="1"/>
  <c r="I123" i="1"/>
  <c r="I122" i="1"/>
  <c r="I255" i="1"/>
  <c r="I120" i="1"/>
  <c r="I254" i="1"/>
  <c r="I253" i="1"/>
  <c r="I119" i="1"/>
  <c r="I118" i="1"/>
  <c r="I135" i="1"/>
  <c r="I134" i="1"/>
  <c r="I132" i="1"/>
  <c r="I131" i="1"/>
  <c r="I130" i="1"/>
  <c r="I129" i="1"/>
  <c r="I128" i="1"/>
  <c r="I252" i="1"/>
  <c r="I117" i="1"/>
  <c r="I256" i="1"/>
  <c r="I141" i="1"/>
  <c r="I245" i="1"/>
  <c r="I330" i="1"/>
  <c r="E1036" i="1"/>
  <c r="E1013" i="1"/>
  <c r="E5" i="1"/>
  <c r="I274" i="1"/>
  <c r="I273" i="1"/>
  <c r="I272" i="1"/>
  <c r="I271" i="1"/>
  <c r="I297" i="1"/>
  <c r="I296" i="1"/>
  <c r="I295" i="1"/>
  <c r="I294" i="1"/>
  <c r="I293" i="1"/>
  <c r="I291" i="1"/>
  <c r="I290" i="1"/>
  <c r="I289" i="1"/>
  <c r="I288" i="1"/>
  <c r="I287" i="1"/>
  <c r="I2" i="1"/>
  <c r="I285" i="1"/>
  <c r="I284" i="1"/>
  <c r="I282" i="1"/>
  <c r="I281" i="1"/>
  <c r="I280" i="1"/>
  <c r="I278" i="1"/>
  <c r="I277" i="1"/>
  <c r="I276" i="1"/>
  <c r="I275" i="1"/>
  <c r="E27" i="1"/>
  <c r="E161" i="1"/>
  <c r="E109" i="1"/>
  <c r="G380" i="1"/>
  <c r="G378" i="1"/>
  <c r="G346" i="1"/>
  <c r="G345" i="1"/>
  <c r="G341" i="1"/>
  <c r="G335" i="1"/>
  <c r="G324" i="1"/>
  <c r="G316" i="1"/>
  <c r="G268" i="1"/>
  <c r="G249" i="1"/>
  <c r="G246" i="1"/>
  <c r="G241" i="1"/>
  <c r="G221" i="1"/>
  <c r="G231" i="1"/>
  <c r="G187" i="1"/>
  <c r="G177" i="1"/>
  <c r="G143" i="1"/>
  <c r="G141" i="1"/>
  <c r="G94" i="1"/>
  <c r="I96" i="1"/>
  <c r="I217" i="1"/>
  <c r="I160" i="1"/>
  <c r="I195" i="1"/>
  <c r="I14" i="1"/>
  <c r="G356" i="1"/>
  <c r="G172" i="1"/>
  <c r="G289" i="1"/>
  <c r="G275" i="1"/>
  <c r="G325" i="1"/>
  <c r="G265" i="1"/>
  <c r="G400" i="1"/>
  <c r="G381" i="1"/>
  <c r="G213" i="1"/>
  <c r="G240" i="1"/>
  <c r="G353" i="1"/>
  <c r="G254" i="1"/>
  <c r="G264" i="1"/>
  <c r="G263" i="1"/>
  <c r="G305" i="1"/>
  <c r="I158" i="1"/>
  <c r="I154" i="1"/>
  <c r="I133" i="1"/>
  <c r="I126" i="1"/>
  <c r="I121" i="1"/>
  <c r="I124" i="1"/>
  <c r="O288" i="1" l="1"/>
  <c r="L146" i="1"/>
  <c r="L147" i="1"/>
  <c r="B109" i="1"/>
  <c r="B102" i="1"/>
  <c r="S664" i="1"/>
  <c r="G364" i="1" s="1"/>
  <c r="I179" i="1"/>
  <c r="I188" i="1"/>
  <c r="I186" i="1"/>
  <c r="I15" i="1"/>
  <c r="E137" i="1"/>
  <c r="I201" i="1"/>
  <c r="I324" i="1"/>
  <c r="I68" i="1"/>
  <c r="L218" i="1"/>
  <c r="L48" i="1"/>
  <c r="U212" i="1"/>
  <c r="U215" i="1" s="1"/>
  <c r="S446" i="1" s="1"/>
  <c r="I234" i="1"/>
  <c r="L141" i="1"/>
  <c r="G287" i="1"/>
  <c r="I214" i="1"/>
  <c r="I162" i="1"/>
  <c r="I171" i="1"/>
  <c r="E128" i="1"/>
  <c r="I314" i="1"/>
  <c r="L219" i="1"/>
  <c r="I228" i="1"/>
  <c r="E129" i="1"/>
  <c r="E70" i="1"/>
  <c r="I227" i="1"/>
  <c r="I9" i="1"/>
  <c r="I189" i="1"/>
  <c r="I166" i="1"/>
  <c r="I27" i="1"/>
  <c r="I209" i="1"/>
  <c r="I312" i="1"/>
  <c r="I19" i="1"/>
  <c r="O269" i="1"/>
  <c r="G293" i="1" s="1"/>
  <c r="G361" i="1"/>
  <c r="I170" i="1"/>
  <c r="I304" i="1"/>
  <c r="I211" i="1"/>
  <c r="I176" i="1"/>
  <c r="I206" i="1"/>
  <c r="I302" i="1"/>
  <c r="I168" i="1"/>
  <c r="I196" i="1"/>
  <c r="I40" i="1"/>
  <c r="U214" i="1"/>
  <c r="U216" i="1" s="1"/>
  <c r="S445" i="1" s="1"/>
  <c r="I172" i="1"/>
  <c r="I55" i="1"/>
  <c r="E160" i="1"/>
  <c r="I230" i="1"/>
  <c r="I190" i="1"/>
  <c r="I317" i="1"/>
  <c r="I300" i="1"/>
  <c r="I202" i="1"/>
  <c r="I198" i="1"/>
  <c r="O307" i="1"/>
  <c r="I205" i="1" s="1"/>
  <c r="S461" i="1"/>
  <c r="S444" i="1"/>
  <c r="G237" i="1"/>
  <c r="L255" i="1"/>
  <c r="E88" i="1"/>
  <c r="E110" i="1"/>
  <c r="G301" i="1"/>
  <c r="I207" i="1"/>
  <c r="L212" i="1"/>
  <c r="S456" i="1"/>
  <c r="I303" i="1"/>
  <c r="L51" i="1"/>
  <c r="S447" i="1"/>
  <c r="I292" i="1"/>
  <c r="S452" i="1"/>
  <c r="S443" i="1"/>
  <c r="L211" i="1"/>
  <c r="S451" i="1"/>
  <c r="L257" i="1"/>
  <c r="S437" i="1"/>
  <c r="S431" i="1"/>
  <c r="S455" i="1"/>
  <c r="S460" i="1"/>
  <c r="S450" i="1"/>
  <c r="S429" i="1"/>
  <c r="L143" i="1"/>
  <c r="S427" i="1"/>
  <c r="S466" i="1"/>
  <c r="L156" i="1"/>
  <c r="I231" i="1"/>
  <c r="L256" i="1"/>
  <c r="L142" i="1"/>
  <c r="S463" i="1"/>
  <c r="S465" i="1"/>
  <c r="G255" i="1"/>
  <c r="S441" i="1"/>
  <c r="E134" i="1"/>
  <c r="S438" i="1"/>
  <c r="S464" i="1"/>
  <c r="S442" i="1"/>
  <c r="S462" i="1"/>
  <c r="S453" i="1"/>
  <c r="S448" i="1"/>
  <c r="S459" i="1"/>
  <c r="S457" i="1"/>
  <c r="S436" i="1"/>
  <c r="S434" i="1"/>
  <c r="S428" i="1"/>
  <c r="S440" i="1"/>
  <c r="S454" i="1"/>
  <c r="S430" i="1"/>
  <c r="S439" i="1"/>
  <c r="S458" i="1"/>
  <c r="S433" i="1"/>
  <c r="S449" i="1"/>
  <c r="S491" i="1"/>
  <c r="L204" i="1" s="1"/>
  <c r="S435" i="1"/>
  <c r="S432" i="1"/>
  <c r="B6" i="1" l="1"/>
  <c r="I220" i="1"/>
  <c r="B99" i="1"/>
  <c r="E1041" i="1"/>
  <c r="L208" i="1"/>
  <c r="L207" i="1"/>
  <c r="E234" i="1"/>
  <c r="B4" i="1" s="1"/>
  <c r="S872" i="1"/>
  <c r="L104" i="1" s="1"/>
  <c r="B103" i="1" s="1"/>
  <c r="I249" i="1"/>
  <c r="I178" i="1"/>
  <c r="I299" i="1"/>
  <c r="I310" i="1"/>
  <c r="I315" i="1"/>
  <c r="I233" i="1"/>
  <c r="I219" i="1"/>
  <c r="I308" i="1"/>
  <c r="I316" i="1"/>
  <c r="G128" i="1"/>
  <c r="I163" i="1"/>
  <c r="L202" i="1"/>
  <c r="I248" i="1"/>
  <c r="G165" i="1"/>
  <c r="G257" i="1"/>
  <c r="G258" i="1"/>
  <c r="I54" i="1"/>
  <c r="I311" i="1"/>
  <c r="I283" i="1"/>
  <c r="I267" i="1"/>
  <c r="G119" i="1"/>
  <c r="G218" i="1"/>
  <c r="I199" i="1"/>
  <c r="I319" i="1"/>
  <c r="I321" i="1"/>
  <c r="I213" i="1"/>
  <c r="I216" i="1"/>
  <c r="L205" i="1"/>
  <c r="I236" i="1"/>
  <c r="I327" i="1"/>
  <c r="I212" i="1"/>
  <c r="G252" i="1"/>
  <c r="G214" i="1"/>
  <c r="I298" i="1"/>
  <c r="G134" i="1"/>
  <c r="I309" i="1"/>
  <c r="I318" i="1"/>
  <c r="I221" i="1"/>
  <c r="I238" i="1"/>
  <c r="I307" i="1"/>
  <c r="I210" i="1"/>
  <c r="I226" i="1"/>
  <c r="I269" i="1"/>
  <c r="G95" i="1"/>
  <c r="I194" i="1"/>
  <c r="I305" i="1"/>
  <c r="G253" i="1"/>
  <c r="I200" i="1"/>
  <c r="I203" i="1"/>
  <c r="I286" i="1"/>
  <c r="I157" i="1"/>
  <c r="L203" i="1"/>
  <c r="I229" i="1"/>
  <c r="I320" i="1"/>
  <c r="G88" i="1"/>
  <c r="I208" i="1"/>
  <c r="I313" i="1"/>
  <c r="G259" i="1"/>
  <c r="I197" i="1"/>
  <c r="I325" i="1"/>
  <c r="I187" i="1"/>
  <c r="I270" i="1"/>
  <c r="L196" i="1"/>
  <c r="L197" i="1"/>
  <c r="B39" i="1" l="1"/>
  <c r="E381" i="1"/>
  <c r="B83" i="1"/>
  <c r="B41" i="1"/>
  <c r="B48" i="1"/>
  <c r="B55" i="1"/>
  <c r="E307" i="1"/>
  <c r="B62" i="1"/>
  <c r="B69" i="1"/>
  <c r="B76" i="1"/>
  <c r="B20" i="1"/>
  <c r="B27" i="1"/>
  <c r="B105" i="1"/>
  <c r="B110" i="1"/>
  <c r="B112" i="1"/>
  <c r="B106" i="1"/>
  <c r="B104" i="1"/>
  <c r="B111" i="1"/>
  <c r="B113" i="1"/>
  <c r="B8" i="1"/>
  <c r="B15" i="1"/>
  <c r="B88" i="1"/>
  <c r="B89" i="1"/>
  <c r="B90" i="1"/>
  <c r="B92" i="1"/>
  <c r="B91" i="1"/>
  <c r="B98" i="1"/>
  <c r="B95" i="1"/>
  <c r="B97" i="1"/>
  <c r="B96" i="1"/>
  <c r="B34" i="1"/>
  <c r="G415" i="1"/>
  <c r="B13" i="1" s="1"/>
  <c r="B5" i="1" l="1"/>
  <c r="B7" i="1"/>
  <c r="B7" i="3"/>
  <c r="B5" i="3"/>
  <c r="B14" i="1"/>
  <c r="B11" i="1"/>
  <c r="B33" i="1"/>
  <c r="B12" i="1"/>
  <c r="B40" i="1"/>
  <c r="B81" i="1"/>
  <c r="B46" i="1"/>
  <c r="B25" i="1"/>
  <c r="B47" i="1"/>
  <c r="B61" i="1"/>
  <c r="B60" i="1"/>
  <c r="B19" i="1"/>
  <c r="B53" i="1"/>
  <c r="B18" i="1"/>
  <c r="B68" i="1"/>
  <c r="B32" i="1"/>
  <c r="B82" i="1"/>
  <c r="B26" i="1"/>
  <c r="B67" i="1"/>
  <c r="B54" i="1"/>
  <c r="B74" i="1"/>
  <c r="B75" i="1"/>
  <c r="B6" i="3" l="1"/>
  <c r="B4" i="3"/>
  <c r="B3" i="3"/>
</calcChain>
</file>

<file path=xl/sharedStrings.xml><?xml version="1.0" encoding="utf-8"?>
<sst xmlns="http://schemas.openxmlformats.org/spreadsheetml/2006/main" count="3727" uniqueCount="3019">
  <si>
    <t>A gunshot echoes, a hat flies into the air, another shot, the hat spins, another shot, and another, the hat stays afloat.  Two more shots sound as the hat seems to dance.  As the hat slowly descends the Posse notices something odd.  THERE ARE NO HOLES IN THE HAT!!!</t>
  </si>
  <si>
    <t xml:space="preserve">Howling/barking in the distance </t>
  </si>
  <si>
    <t xml:space="preserve">Giant feather </t>
  </si>
  <si>
    <t xml:space="preserve">Active bees nest </t>
  </si>
  <si>
    <t>Random Encounters</t>
  </si>
  <si>
    <t>Enjoy,</t>
  </si>
  <si>
    <t xml:space="preserve">      --JGrimm &amp; Lord Skudley</t>
  </si>
  <si>
    <t>A crashed wagon with a large steamer trunk containing 1 zombie of LaCroix craft</t>
  </si>
  <si>
    <t>A photographer who wants to take the Posse’s picture</t>
  </si>
  <si>
    <t>Local Major Creature Feature</t>
  </si>
  <si>
    <t>Dust Devil.  Not the critter, just a swirling cloud of "dust".</t>
  </si>
  <si>
    <t>Today is a sunny day, not to hot and nothing really happens…</t>
  </si>
  <si>
    <t>A lone coyote or wolf.</t>
  </si>
  <si>
    <t>The train derails.  Maybe it's a hold up or just something sinister.</t>
  </si>
  <si>
    <t>The Random Encounter Table</t>
  </si>
  <si>
    <t>Click on Tools --&gt; addins</t>
  </si>
  <si>
    <t>Check mark both analysis tookpacks.</t>
  </si>
  <si>
    <t>Click "OK".</t>
  </si>
  <si>
    <t>Now the generators should function correctly.  Hit F9 to recalculate the values.</t>
  </si>
  <si>
    <t>A Sifu from a prominent school.</t>
  </si>
  <si>
    <t>Werewolf Attack:  The full moon peaks in and out of the night's clouds.  Off in the distance a lonely howl can be heard, padded footsteps approach from behind.  With a vicious growl the wolf pounces…</t>
  </si>
  <si>
    <t>A drifter, his clothes threadbare, his battered hats pulled down over his eyes, passes by.  Upon noticing the Posse, he quickly change directions AWAY from them…</t>
  </si>
  <si>
    <t>Lone Preacher with no powers, just the will of God…</t>
  </si>
  <si>
    <t>rabbit</t>
  </si>
  <si>
    <t>rat</t>
  </si>
  <si>
    <t>mouse</t>
  </si>
  <si>
    <t>possum</t>
  </si>
  <si>
    <t>prairie dog</t>
  </si>
  <si>
    <t>squirrel</t>
  </si>
  <si>
    <t>gopher</t>
  </si>
  <si>
    <t>Dormouse</t>
  </si>
  <si>
    <t>woodchuck</t>
  </si>
  <si>
    <t>chipmunk</t>
  </si>
  <si>
    <t>muskrat</t>
  </si>
  <si>
    <t>hare</t>
  </si>
  <si>
    <t>lemming</t>
  </si>
  <si>
    <t>ferret</t>
  </si>
  <si>
    <t>polecat</t>
  </si>
  <si>
    <t>weasel</t>
  </si>
  <si>
    <t>A bounty hunter who is looking for someone the Posse knows, perhaps a recent acquaintance.</t>
  </si>
  <si>
    <t>A snowstorm! Even if the Posse happens to be smack right out into the dessert and its summer!  If the Posse checks it out they can hear the wailing of a woman in the midst of the storm, what or who could it be?</t>
  </si>
  <si>
    <t>Buffalo stampede!!! The rumble of the approaching buffalo can heard by everyone, and the roar quickly grows louder and louder... in the distance the Posse can see a cloud of dust that grows thicker and rises higher as they came closer. The thunder their hoofs is so loud that Posse has to shout to be heard.  The buffalo loom on the horizon.  They run shoulder to shoulder in a solid mass nearly half a mile wide...</t>
  </si>
  <si>
    <t>Buzzard on a Gut Wagon- The Posse comes upon a small wagon abandoned on the side of the road, inside one will find it has been piled with entrails. And sitting atop the whole mess like a King guarding his throne is a lone buzzard.  Maybe the guts are human, maybe their not . . . just let the Posse wonder.</t>
  </si>
  <si>
    <t>Let there be light. Up a head a large explosion suddenly fills the skies with a light that makes the horses buck and throw and the Posse lose their bearings and go temporarily blind. The following cloud from the explosion rises miles into the heavens. THAT'S mad science for you.</t>
  </si>
  <si>
    <t>A grizzly bear! This one is quite clever however; it understands human communication.  If the Posse investigates, the bear has no intention of attacking at first sight, its just there, what’s up with the bear? Is it from a circus???</t>
  </si>
  <si>
    <t>A river that isn't on any maps is now blocking the way for the Posse. Maybe something foul or greedy is waiting were the Posse might cross.  And WHY is there a river here were the maps are so detailed?...</t>
  </si>
  <si>
    <t xml:space="preserve">A small house/farmstead ablaze on the prairie, when the Posse arrives they find the burnt remains of a family layin’ outside the main house.  A closer inspection reveals they were shot as they tried to run out of the inferno.  </t>
  </si>
  <si>
    <t>A stagecoach has thrown a wheel and one of the passengers has suffered a severe wound to the head, if the Posse can lend aid they will be most appreciative.</t>
  </si>
  <si>
    <t>The Posse encounters a woman who is a run away mail order bride, she's headed the same direction as the heroes and ran away because of she was beat up by her fat, mean husband. Is she really who she says she is, or something more nefarious?</t>
  </si>
  <si>
    <t>Scattered across the terrain are various weapons and dead bodies…</t>
  </si>
  <si>
    <t>One US Marshal, tired and dusty, passes in the opposite direction.</t>
  </si>
  <si>
    <t>small dog</t>
  </si>
  <si>
    <t>A random horse's side explodes as a prairie tick burst from it…</t>
  </si>
  <si>
    <t>kangaroo rat</t>
  </si>
  <si>
    <t>hedgehog</t>
  </si>
  <si>
    <t>raccoon</t>
  </si>
  <si>
    <t>A large jackrabbit… with ANTLERS {a Jackalope}… becomes interested in the Posse and begins following them.</t>
  </si>
  <si>
    <t>Dust Devil:  A large pale snake with spines running all down its back slithers through the dirt.  Suddenly it rears up, a cloud of dust forms around it as it twists and flails creating a whirlwind.  The whirling Dust Devil moves towards the Posse…</t>
  </si>
  <si>
    <t>Conestoga wagon</t>
  </si>
  <si>
    <t>The sky overhead darkens as clouds obscure the sun's waning light.  With a blinding flash, lightning zigzags across the sky, shortly followed by the ominous roar of thunder..</t>
  </si>
  <si>
    <t>A man is reaching for an elixir but he can't reach it. If the Posse helps him he turns into a La Croix Zombie ready for a fight.  If not he dies.</t>
  </si>
  <si>
    <t>caterpillars</t>
  </si>
  <si>
    <t>A discarded, tattered cloak flaps forlornly in the wind.</t>
  </si>
  <si>
    <t>Across the trail lays a huge, ancient tree, toppled by the wind, its roots outstretched as if reaching for the sky.</t>
  </si>
  <si>
    <t>A caterpillar or grub-infested tree falls to the ground with an ear splitting crash.</t>
  </si>
  <si>
    <t>The cry of a lone hawk echoes in the air…</t>
  </si>
  <si>
    <t xml:space="preserve">Unusual patches of very lush growth periodically dot the horizon. </t>
  </si>
  <si>
    <t>A patch of bushes filled with blackberries sits just off the path.</t>
  </si>
  <si>
    <t>A cloud shaped as holy symbol can bee seen on the horizon.</t>
  </si>
  <si>
    <t xml:space="preserve">A shopping list for a "potion" is found blowing in the breeze. </t>
  </si>
  <si>
    <t>dying of thirst.</t>
  </si>
  <si>
    <t>A raven lands in the path, stares at the Posse and then leaves.</t>
  </si>
  <si>
    <t>fleeing vigilantes.</t>
  </si>
  <si>
    <t>The foliage at the side of the road parts and a wild boar charges towards the Posse.</t>
  </si>
  <si>
    <t>A dog slinks up to the Posse and begs for scraps.</t>
  </si>
  <si>
    <t>An odd crystalline growth protrudes from the ground.</t>
  </si>
  <si>
    <t>lynching someone.</t>
  </si>
  <si>
    <t>scouting robbery targets.</t>
  </si>
  <si>
    <t>trying to calm a jealous husband.</t>
  </si>
  <si>
    <t>herding cattle through town.</t>
  </si>
  <si>
    <t>A man walks by wearing' a hat with an Indian's arrow sticking out of it.</t>
  </si>
  <si>
    <t>The Posse wanders the countryside and spies a white hat on a stick come into sight over a rock. As they stare in wonder a barrage of gunshots split the air as the stupid "black hats" uses up all their shots on the hat {they always fall for that one}.</t>
  </si>
  <si>
    <t>As the Posse approaches a homestead the head of the household entreats the Posse: A local land/cattle/rail baron has resorted to all manner of underhanded methods to drive them off their homestead, in hopes of swiping up their land for various reasons.</t>
  </si>
  <si>
    <t>The Posse comes across a campsite, fire smoldering, supplies all spread out, but nobody's there. There seems to be a lack of any real tracks signifying any direction they left.</t>
  </si>
  <si>
    <t>A tar pit has opened up in the midst of some valuable pasture land and prized sheep and cattle are getting sucked into the tar when they go down to drink the water from the surface. Now a variety of nasty predators and carrion eating creatures has moved into the neighborhood to take advantage of the situation. The Posse encounters the area accidentally or when they are asked by the townspeople to look for a missing shepherd.  Once they get there, they are attacked by a series of predators.  With each attack they risk being driven into the tar themselves. If they survive, do they just fence the tar pit off, or do they try to figure out where it came from?</t>
  </si>
  <si>
    <t xml:space="preserve">The Posse gets hopelessly lost. Point out that landmarks don't look right, the river bed that was supposed to be there isn't there, the rock outcropping that looks like a frog's head is missing, there are several sets of tracks with different animals, numbers, types... The age of trail is wrong... etc.  Blame it on poor navigation, a Maze spell lingering in the area, a guide who is utterly incompetent, an incorrect map. </t>
  </si>
  <si>
    <t>In the hills outside a town the Posse spies a bunch of men in ragged clothing and cloaks beating up a shepherd and "stealing" his sheep.  The guys in ragged clothing are a local posse apprehending a rustler - hopefully the Posse will ask questions first. They could also {if you want to be really evil} be real bandits impersonating the local law. The shepherd, long since beaten senseless, will be in no condition to say otherwise.</t>
  </si>
  <si>
    <t>The Posse comes across a passing circus troupe, what they don’t know is that many of its freaks are abominations of a traveling "mad" mad scientist, if they should investigate they may find out that the circus isn’t about fun and games but rather a quite grotesque one, with piece mail twins, flesh spiders and various other "golems", with a Mad Scientist pulling at the strings...</t>
  </si>
  <si>
    <t>Stage Coach</t>
  </si>
  <si>
    <t>Pony Express Rider</t>
  </si>
  <si>
    <t>piano</t>
  </si>
  <si>
    <t>flowerpot</t>
  </si>
  <si>
    <t>cougar</t>
  </si>
  <si>
    <t>wolf</t>
  </si>
  <si>
    <t>bobcat</t>
  </si>
  <si>
    <t>puma</t>
  </si>
  <si>
    <t>anvil</t>
  </si>
  <si>
    <t>fork</t>
  </si>
  <si>
    <t>traveling merchant</t>
  </si>
  <si>
    <t>an Indian war party</t>
  </si>
  <si>
    <t>party of Indians</t>
  </si>
  <si>
    <t>The ground beneath the Posse's feet suddenly gives way as a sink hole opens below them.  With a yell of surprise the Posse plummets into a dank, dark abyss…</t>
  </si>
  <si>
    <t>building a home.</t>
  </si>
  <si>
    <t>fleeing Indians.</t>
  </si>
  <si>
    <t>catching wild horses.</t>
  </si>
  <si>
    <t>delivering a parcel.</t>
  </si>
  <si>
    <t>fleeing a lone lawman.</t>
  </si>
  <si>
    <t>fleeing a posse.</t>
  </si>
  <si>
    <t>fleeing relatives.</t>
  </si>
  <si>
    <t>going to a hanging.</t>
  </si>
  <si>
    <t>heading for town.</t>
  </si>
  <si>
    <t>hiding out.</t>
  </si>
  <si>
    <t>looking for a homestead.</t>
  </si>
  <si>
    <t>looking for lost treasure.</t>
  </si>
  <si>
    <t>looking for a missing person.</t>
  </si>
  <si>
    <t>looking for work.</t>
  </si>
  <si>
    <t>planning a crime.</t>
  </si>
  <si>
    <t>prospecting.</t>
  </si>
  <si>
    <t>pursuing kidnapers.</t>
  </si>
  <si>
    <t>pursuing rustlers.</t>
  </si>
  <si>
    <t>putting up a fence.</t>
  </si>
  <si>
    <t>raiding a homestead.</t>
  </si>
  <si>
    <t>raiding an Indian camp.</t>
  </si>
  <si>
    <t>raiding a ranch.</t>
  </si>
  <si>
    <t>repairing a telegraph line.</t>
  </si>
  <si>
    <t>rounding up cattle.</t>
  </si>
  <si>
    <t>setting an ambush.</t>
  </si>
  <si>
    <t>starving.</t>
  </si>
  <si>
    <t>tearing down a fence.</t>
  </si>
  <si>
    <t>tracking Indians.</t>
  </si>
  <si>
    <t>tracking a lost child.</t>
  </si>
  <si>
    <t>transporting gold.</t>
  </si>
  <si>
    <t>transporting ore.</t>
  </si>
  <si>
    <t>transporting payroll.</t>
  </si>
  <si>
    <t>transporting prisoners.</t>
  </si>
  <si>
    <t>transporting pilgrims.</t>
  </si>
  <si>
    <t>transporting wounded.</t>
  </si>
  <si>
    <t>bear trap</t>
  </si>
  <si>
    <t>The Posse meets a traveling Nun with a guitar strapped to her back, she is Sister Mary the singing Nun. She offers to play some music for the Posse. If they take her up on it they must all make a Vigor (15) roll or be stunned for 3 rounds as she lets out the most God awful music they have ever heard, with a singing voice that makes a banshee sound soothing.</t>
  </si>
  <si>
    <t>The Posse sees a large hairy man-like creature run out of the brush towards them making a God awful yell. This creature is a gorilla that has escaped from a traveling circus. If the party has never seen a gorilla before they might assume that it's an evil creature, but if they can capture it and return it unharmed then they will be paid $300.</t>
  </si>
  <si>
    <t>Curious types may try to investigate further, and that’s where the fun begins. As the Posse approaches, the tree makes sneak rolls and uses its "tendrils" to loop around the Posse's ankles, and once it has them in the air, makes fightin' rolls to loop their necks.  If the Posse notices something strange before the tree attacks {like several sorts of weapons littering the ground around the tree from previous victims} and backs off, the tree will start to flail at the Posse with the "nooses" and hit them with the "corpses." Further, it can throw bodies of prior victims at the Posse from a distance, which being walkin' dead, can then pursue the Posse further.</t>
  </si>
  <si>
    <t>The Posse stumbles upon an ancient burial mound, this could predate any known race and may contain ancient relics, old bones or something man was not meant to know.</t>
  </si>
  <si>
    <t>north</t>
  </si>
  <si>
    <t>south</t>
  </si>
  <si>
    <t>east</t>
  </si>
  <si>
    <t>west</t>
  </si>
  <si>
    <t>north east</t>
  </si>
  <si>
    <t>south east</t>
  </si>
  <si>
    <t>north west</t>
  </si>
  <si>
    <t>In the wavering heat what was once a lush green waterhole can bee seen.</t>
  </si>
  <si>
    <t>A silver dollar sits gleaming in the sun.</t>
  </si>
  <si>
    <t>Pleasant voices seem to chant on the breeze…</t>
  </si>
  <si>
    <t>A random hombre is stung by a bee.</t>
  </si>
  <si>
    <t>A hat rolls along in the wind.</t>
  </si>
  <si>
    <t>Just off the beaten path sits a statue of some unidentified hero.  Where did it come from and how did it get here?</t>
  </si>
  <si>
    <t>A heard of wild horses frolic in a green field.  A first sign of the Posse they scatter.</t>
  </si>
  <si>
    <t>A lush clearing filled with luxuriant ferns.</t>
  </si>
  <si>
    <t>Squirrels chasing each other run across the path and up a tree.</t>
  </si>
  <si>
    <t>Partial eclipse of the sun.  An omen, a portent, or just a coincidence?</t>
  </si>
  <si>
    <t>A punctured canteen lies, discarded in the path.</t>
  </si>
  <si>
    <t>A bunch of women from a nearby town gathering berries/mushrooms/truffles spots the Posse. They can {if treated politely} provide a lot of local rumors and information. The downside is they are horrible gossips and by tomorrow mid-day EVERYONE in the region will have heard of the Posse... and not everything heard may be correct "Yes, I heard about you lot... they say you are deserters from the army...".</t>
  </si>
  <si>
    <t>The Posse sees a monolith carved with the words of several ancient languages. Non are able to interpret them.  After the Posse has a chance to examine the monolith, everyone gets a very odd feeling.  Nothing damaging, nothing strong enough to analyze. About 100 yards later, there are more monoliths with even more ancient languages carved on it.  Pictograms, symbols, and other obscure carvings that can easily be misinterpreted.  The odd feeling intensifies to a full blown magical effect emanating from the monolith. I f the Posse keeps looking for monoliths, they'll find that they ring a large area filled with dead or undead vegetation, mutated indigenous creatures, and other strangeness. An aura of dread permeates the place. Careful investigation will show this to be a magical fallout zone and the carvings will be warnings to stay away in every language known at the time--which will not include English.</t>
  </si>
  <si>
    <t>Two groups of monsters are battling it out. It could be territorial aggression, rival tribes, or an invasion. You decide whether the monsters will ignore the Posse, divide their energy between enemy monsters and the Posse, or unite against the Posse…</t>
  </si>
  <si>
    <t xml:space="preserve">The Posse comes to a rocky crevasse.  While not impassable, it will require careful navigation. The crevasse is the home of a small collection Wall Crawlers.  The encounter should only appear to be a technical challenge, clambering up and down rocks, transporting their gear without breakage, etc. The whole time that they are engaged in this, they are being watched, and when they are at their most vulnerable </t>
  </si>
  <si>
    <t>A deep arroyo, its sandstone cliffs layered in sunset pastels and honeycombed with small holes that are home to a multitude of scorpions {small and large} and everything in between. Experienced Posse members will think nothing of small, normal stinging creatures, but hundreds of them at once can present a dangerous challenge.</t>
  </si>
  <si>
    <t>The Posse meets someone who is on the way to dispose of a body.  He might come from a nearby town where he killed someone and is looking for a quiet place to bury the body or get rid of it in other ways. The body might be concealed on a wagon. Or maybe he just started to dig a hole when the Posse meets him.</t>
  </si>
  <si>
    <t>A cowpoke's horse throws a shoe {happens more often in real life then it happens in games}. The hombre must walk the horse back to town or risk having a lame horse. A variation can be a stone in the hoof.</t>
  </si>
  <si>
    <t>The Posse encounters singing or talking plants, animals, and stones {a magical oddity}. A powerful magic relic is buried nearby and the magical radiations leaking from the item have had this side effect. If it's removed from the immediate area the special effect will gradually fade. If it's returned to the area, the effect re-occurs. Other variations include blue trees or pink shrubs in a small area....</t>
  </si>
  <si>
    <t>A wandering tinker/toymaker - actually a thief and a good one at that {specializes in opening locks and finding and removing traps}. This guise gives him an excuse to carry a lot of the tools of the trade with good excuse. He is traveling from one city/town to another.</t>
  </si>
  <si>
    <t>bringing in oar for assaying.</t>
  </si>
  <si>
    <t>chasing a spooked horse.</t>
  </si>
  <si>
    <t>rounding up truants.</t>
  </si>
  <si>
    <t>looking for a bath.</t>
  </si>
  <si>
    <t>insulting settlers.</t>
  </si>
  <si>
    <t>insulting Indians.</t>
  </si>
  <si>
    <t>insulting ranchers.</t>
  </si>
  <si>
    <t>looking for someone who reads.</t>
  </si>
  <si>
    <t>begging.</t>
  </si>
  <si>
    <t>loading supplies onto a wagon.</t>
  </si>
  <si>
    <t>looking for a fight.</t>
  </si>
  <si>
    <t>chasing someone.</t>
  </si>
  <si>
    <t>mistakes one of the Posse for someone else.</t>
  </si>
  <si>
    <t>taking money to the bank.</t>
  </si>
  <si>
    <t>hiring guards.</t>
  </si>
  <si>
    <t>buying dynamite…</t>
  </si>
  <si>
    <t>buying horses.</t>
  </si>
  <si>
    <t>holding a shooting contest.</t>
  </si>
  <si>
    <t>A wandering minstrel: He'll ask to accompany the party for a brief time; “safety in numbers and all that”. He'll pay for his food with songs and jokes and stories along the way. This might be fun for the players but the added noise will act to increase the chance of wilderness encounters unless the Posse tells him to shut up. The musician will not rob the party at all {someone will always be suspicious of him anyway} and may be able to pass on rumors, local history etc.</t>
  </si>
  <si>
    <t>frogs</t>
  </si>
  <si>
    <t>fish</t>
  </si>
  <si>
    <t>salamanders</t>
  </si>
  <si>
    <t>squid</t>
  </si>
  <si>
    <t>jellyfish</t>
  </si>
  <si>
    <t>baby turtles</t>
  </si>
  <si>
    <t>brine shrimp</t>
  </si>
  <si>
    <t>crawfish</t>
  </si>
  <si>
    <t>sea anemones</t>
  </si>
  <si>
    <t>Pilgrims on their way to a holy site ask the Posse for food and alms. For an added twist you could make them lepers or plague carriers...</t>
  </si>
  <si>
    <t>4 or 5 minutes of faint {but growing louder} banging can be heard. A rustling and a series of squeals warns the party a minute before an enraged boar charges into the Posse’s midst and attacks them in a mad rage!  The local Rich Land Owners are out hunting for boar and have their beaters out scaring up the game.  If the Posse kills the boar the beaters and the Rich Land Owners will accuse them of poaching...</t>
  </si>
  <si>
    <t>The Posse stumbles across a tunnel. If they decide to explore it they find out it is much bigger than they thought, a tunnel city infested with  local natives. A tunnel or cave in the middle of nowhere that no-one knows about…</t>
  </si>
  <si>
    <t>A broken shoe.</t>
  </si>
  <si>
    <t>A broken axle, old and rusty, lays half buried in the sand.</t>
  </si>
  <si>
    <t>Animal droppings containing human body parts—small tracks, big beast???</t>
  </si>
  <si>
    <t>The Posse encounters a small hut a bit off of the trail. It's glowing with the hue of an evening fire. If they investigate they find it belongs to an eccentric painter.</t>
  </si>
  <si>
    <t>A Doctor, dusty and weary from covering his rounds to a hermit off in the hills, slowly rides past the Posse in the opposite direction.</t>
  </si>
  <si>
    <t>A woman, dressed in a tattered white gown, fleeing from wedding.  Why is she on the lamb?  Does she need help?</t>
  </si>
  <si>
    <t>A Thief looking for traveling “companions”.</t>
  </si>
  <si>
    <t>A writer for the Tombstone Epitaph who wants to hear the Posse’s strange and unusual stories.</t>
  </si>
  <si>
    <t xml:space="preserve">A woman, dressed in her finest, looking for lost ring… </t>
  </si>
  <si>
    <t>Huckster with 1 random hex to teach.</t>
  </si>
  <si>
    <t>A lone gunslinger, two fingers missing from his right hand, slowly trudges by mumbling about a dark tower…</t>
  </si>
  <si>
    <t>Union</t>
  </si>
  <si>
    <t>pistols</t>
  </si>
  <si>
    <t>rifles</t>
  </si>
  <si>
    <t>shotguns</t>
  </si>
  <si>
    <t>Dead caravan scalpt by injuns.</t>
  </si>
  <si>
    <t>A lone Texas Ranger sitting by a tent, smoking some meat over the coals of his fire.</t>
  </si>
  <si>
    <t>man</t>
  </si>
  <si>
    <t>woman</t>
  </si>
  <si>
    <t>greasy</t>
  </si>
  <si>
    <t>bloody</t>
  </si>
  <si>
    <t>greasy and bloody</t>
  </si>
  <si>
    <t>bright white</t>
  </si>
  <si>
    <t>Snake Oil Salesman sells fake junk from the side of his gaudy wagon.</t>
  </si>
  <si>
    <t>Nosferatu</t>
  </si>
  <si>
    <t>Nosferatu Ancient Ones</t>
  </si>
  <si>
    <t>Penanggalen</t>
  </si>
  <si>
    <t>Ustrel</t>
  </si>
  <si>
    <t>Wampyre</t>
  </si>
  <si>
    <t>horse</t>
  </si>
  <si>
    <t>falcon</t>
  </si>
  <si>
    <t>donkey</t>
  </si>
  <si>
    <t>mule</t>
  </si>
  <si>
    <t>raven</t>
  </si>
  <si>
    <t xml:space="preserve">smart </t>
  </si>
  <si>
    <t xml:space="preserve">fast </t>
  </si>
  <si>
    <t xml:space="preserve">brave </t>
  </si>
  <si>
    <t xml:space="preserve">strong </t>
  </si>
  <si>
    <t xml:space="preserve">surly </t>
  </si>
  <si>
    <t xml:space="preserve">tough </t>
  </si>
  <si>
    <t>A drunk, robbed and smelling terrible, lying in the road.</t>
  </si>
  <si>
    <t>Large tree with the image of a face in the bark.</t>
  </si>
  <si>
    <t>The Black Obelisk attacks all magic items in it vicinity. Once in contact {even through clothes...}, any magic item is then absorbed by the Black Obelisk and another random magic item is thrown out.  At 100 yards, the pull begins to appear. If a character were to possess a magic item, he would slightly feel the pull. At 10 yards, a strength check might be done in order to resist, and at less then 1 yard, only critical may save you.  However, the Black Obelisk is now so full of items that each time a new one is absorbed, the oldest is thrown out {you might say spat out, an unlucky character may well be knocked out...}.</t>
  </si>
  <si>
    <t>The Posse encounters a mobile town:  In a world of lurking terrors and hideous monsters, the Town of Wanderpark once was forced to relocate. The move was so successful; they decided to continue their gypsy life in grand style.  This is more than a roving band of gypsies. Great teams of oxen pull huge wooden wagons. It makes a formidable impression on wandering monsters, especially when one gets run over.</t>
  </si>
  <si>
    <t>A shadow haunts, follows, or tries to warn the Posse. In an attempt to communicate the shadow makes gestures, signals, or motions; such as drawing a weapon to show the Posse that they are being attacked from behind, or pointing the way to go {or not go}, or acting silly or mad; or reenacting the poor shadow's last minutes on earth as to the effect of how it died.</t>
  </si>
  <si>
    <t>A lone bounty hunter who is looking for one of the Posse {Remember those Heroes’ enemy hindrances}…</t>
  </si>
  <si>
    <t>A "Tong" hatchettman looking to redeem his honor.</t>
  </si>
  <si>
    <t>Lone, kind, Preacher with helpful abilities…</t>
  </si>
  <si>
    <t>A flock of black ravens lift up off a corpse as the Posse moves into the clearing. The body was previously a human female whose withered, desiccated form now shrouds a small, stone chest.  Her lavishly decorated fine clothing still shine as though she had only put it on the day before.  From the look of her flesh though, she has been here for months, perhaps longer.  Her dry, skeletal arms grimly clasp a chest and her horrified death mask looks up and to the left, over her shoulder.  The chest remains unopened.  The small engravings on the stone chest depict a beautiful woman's face with striking red hair.  Touching the corpse will cause a green light to animate from within the chest and a green colored astral serpent then appears over the intended victim's left shoulder...</t>
  </si>
  <si>
    <t>A forgotten Bowie knife jammed into stump.</t>
  </si>
  <si>
    <t>A strong wind blows by, kicking up dust and small debris, including a few saddle burrs.</t>
  </si>
  <si>
    <t>A young woman is running on foot, being chased by a mob insisting that she's a witch.</t>
  </si>
  <si>
    <t>So, it's late at night, and you're the guy on watch. You've had a bit too much coffee and that bush over there really looks like it needs waterin'.  The next thing the posse hears as they're waking up is "AAAaaaAAAaaaAAAaaa..." !?!  There was a sinkhole behind the bush that opens up into a small cavern complex!</t>
  </si>
  <si>
    <t>The Posse spies a relatively recent sign, pointing the way to a town. Curiously, it's not on any maps or established trade route. Is it a boomtown, which seem to pop up all over the place, or is there something sinister?</t>
  </si>
  <si>
    <t>A crackling roar can be heard coming from the south... FIRE!!!  In escaping from a raging wildfire all sorts of beings are fleeing for their lives; and the Posse must cooperate with them or battle them to survive.  Fire and fury is everywhere in a radical flight for life....</t>
  </si>
  <si>
    <t>Burned area {trees standing, no undergrowth, all black}…</t>
  </si>
  <si>
    <t>As the Posse settles for the night a church congregations singing "We'll shall gather at the river" wanders by heading for… the River!</t>
  </si>
  <si>
    <t>Within a valley deep in the forest the group notices movement below them and hear large clicking noises. Looking down into the base of the valley they further take in that the movement is erratic; however they cannot make out what exactly it is due to the thick overgrowth. Moving closer, it appears to be possibly a giant centipede creature traveling up and down the bottom of the valley. Its movements indicate that it is trapped. An easy kill or perhaps a rescue.  Exploring the surrounding area reveals at the end of the valley there is a small, hidden shelter that appears to be occupied.</t>
  </si>
  <si>
    <t>A breathtaking young woman with burnished bronze flesh bathes in a spring. Upon her breast she wears only an ornate ruby necklace that flashes with fiery light. Her golden eyes sparkle with intelligence and yet she seems oblivious to her surroundings, lost in the moment and completely enjoying the warm spring. On approach, her eyes are closed as she stretches out in pleasure. Upon noticing the group she screeches. She and the spring instantly change into a rotten tree log and swamp hole. The ruby necklace hanging off the rotten log is all that remains from the previous scene...</t>
  </si>
  <si>
    <t>A wall of thick fog glides silently but very quickly through the trees/landscape towards The Posse. Is it simply a cloud moving over the mountain or something more sinister? Quite suddenly, the birds in the trees and the rustling in the grass seemed to stop and the Posse just watches in amazement as this white wall comes through devouring the landscape, and them along with it...</t>
  </si>
  <si>
    <t>The Posse comes upon an old man, his skin cracked and leathery from exposure, compulsively balancing rocks upon one another in bizarre columns, each about 5' tall. The entire time, he's mumbling to himself about "building the egg tower for Pheenos." The enigmatic codger has created about thirty of these piles in geometric shapes throughout the dunes and sagebrush. He's harmless unless the Posse knocks over a column {somewhat likely}; then he'll attack them {however ineffectual that might be}. Should they ever manage to reason with him, they may find out that he's delusional from thirst and possibly suffering from latent mental defects {he hears voices, hallucinates}. How he managed to survive this long on his own is a mystery. Maybe there really is some minor spirit {"Pheenos"} toying with the old guy, using magic to keep him alive.</t>
  </si>
  <si>
    <t>A major bridge is out and traffic is backed up on both sides. When the Posse comes across the situation, a bandit raid is in progress, and they are caught in the crossfire.</t>
  </si>
  <si>
    <t>The Posse comes across a shallow lake with numerous small, grassy hills in the middle.  In reality this is an ancient and forgotten burial ground that was flooded in some past century.  A great place to meet undead as well as water-dwellers, set it next to an inviting swamp and populate it with Will o’ the Wisps. The water makes for a series of small, confined battle areas and will make any encounter more tactically challenging.</t>
  </si>
  <si>
    <t>The outlaw trying to escape his past:  The Posse is approached by a man, obviously down on his luck, looking for "honest work".</t>
  </si>
  <si>
    <t>The Posse encounters a farm that appears to have been raided by injuns.  The Posse is riding along a country road when they spot in the distance the first farm they've seen in days. They also notice a thick column of black smoke rising into the air, and the foul smell of burnt flesh on the wind. Getting closer they see two injuns standing next to the small fire in the farm field. When the injuns see the Posse they ready their weapons, a tomahawk, and a two-pronged spear.  These injuns are the actual owners of the farm. They are peaceful, and fled their tribe to live a solitary existence off the land. The father and son are standing next to the burning remains of their only cow, which died from illness. They speak very, very little English, and will defend themselves if attacked. There are two females in the nearby farmhouse. The mother watches her husband and son from the kitchen window (witnessing the arrival of the Posse with fear) while her young daughter plays on the floor behind her.</t>
  </si>
  <si>
    <t>On a dark and windy day, the Posse rests upon a ridge.  When all at once a mighty herd of red eyed cows come plowin' through the ragged skies and up a cloudy draw.  Their brands are still on fire and their hooves are made of steel their horns are black and shiny and their hot breath burns the Posses’ faces…  A bolt of fear drives through the Posse as the heard thunders through the sky, for the riders can be seen coming hard and their mournful cry echoes.  Their faces are gaunt their eyes are blurred and their shirts all soaked with sweat, they're ridin' hard to catch that herd…</t>
  </si>
  <si>
    <t>Not quite looking where he/she is going one of the cowpokes steps in a puddle.</t>
  </si>
  <si>
    <t>The sounds of a crying child come from the thick underbrush. Vines, branches, and closely packed trees hinder travel. Two possible results for the rescuers: 1) They find a child being tormented by a Varmint, giving the Posse a chance to rescue it. 2) The sounds were a “mimic” to get the Posse to fall for an ambush.</t>
  </si>
  <si>
    <t>The Posse is in flight {running, or flying close to the earth} at a rapid speed when a flock of birds spring up into their path causing a “Bird Strike”. If on a “Mad Science” gadget the engines are fowled by “bird” and blow... Now they a need to land; the landing can be a rapid crash or more controlled safe attempt {a flock of large birds can change the severity of the strike. Such A flock would need to be dodged through, with more severe results in a strike}.</t>
  </si>
  <si>
    <t xml:space="preserve">Meteor Strike!!! Above a blinding flash is seen as a streak of light blazes down from the constellations to the earth; a tremor below their feet and then an almighty bang that they feel in their stomachs as much as they hear in their ears...  </t>
  </si>
  <si>
    <t>With a muffled crash a tree falls in the distance causing a cloud of squawking birds to fill the air.</t>
  </si>
  <si>
    <t>In the wavering heat a refreshing pool reflects the suns rays.  But as the Posse approaches it evaporates.</t>
  </si>
  <si>
    <t>A patch of berry bushes, picked clean, sit just off the trail.</t>
  </si>
  <si>
    <t>An old, rotted horse carcass sits stinking in the sun.</t>
  </si>
  <si>
    <t>A shallow hole dug in the middle of the trail.</t>
  </si>
  <si>
    <t>A large patch of brightly colored mushrooms sits in the shade.</t>
  </si>
  <si>
    <t>One of the Posse has an intense itch.</t>
  </si>
  <si>
    <t>mild</t>
  </si>
  <si>
    <t>moderate</t>
  </si>
  <si>
    <t>severe</t>
  </si>
  <si>
    <t>A pond has grown around a beaver's dam.</t>
  </si>
  <si>
    <t>An old ring sticking out of the dirt.</t>
  </si>
  <si>
    <t>The sweet smell of honeysuckle lingers on the wind.</t>
  </si>
  <si>
    <t>Dead, rotted, burnt, headless body sits in the middle of the path.</t>
  </si>
  <si>
    <t>Smoke rises in distance {brush fire}...</t>
  </si>
  <si>
    <t>south west</t>
  </si>
  <si>
    <t xml:space="preserve">A Circus wagon trundles past, animal calls can be heard coming from inside... </t>
  </si>
  <si>
    <t xml:space="preserve">A cloud of bats rise in the distance... </t>
  </si>
  <si>
    <t>Very friendly skunk tries to weave in and out of a cowpoke's legs.</t>
  </si>
  <si>
    <t>An oasis, lush and green, beckons to the Posse.</t>
  </si>
  <si>
    <t>putting up a building.</t>
  </si>
  <si>
    <t>delivering mail.</t>
  </si>
  <si>
    <t>getting drunk.</t>
  </si>
  <si>
    <t>talking about the "Old Days"…</t>
  </si>
  <si>
    <t>fleeing the Deputy Sheriff.</t>
  </si>
  <si>
    <t>forming a posse.</t>
  </si>
  <si>
    <t>skipping out on a wedding.</t>
  </si>
  <si>
    <t>searching for "undesirables".</t>
  </si>
  <si>
    <t>heading out of town.</t>
  </si>
  <si>
    <t>catching chickens.</t>
  </si>
  <si>
    <t>hiring a guide.</t>
  </si>
  <si>
    <t>selling "patent" medicine.</t>
  </si>
  <si>
    <t>looking for workers.</t>
  </si>
  <si>
    <t>A huge stick insect or mantis moves into the foliage of a nearby bush.</t>
  </si>
  <si>
    <t>The thunder of falling rocks can be heard in the distance...  Landslide???</t>
  </si>
  <si>
    <t>Confederate</t>
  </si>
  <si>
    <t>The Posse comes upon a holy hermit {Christian Blessed} who will offer to heal any wounded in the Posse. He will also break bread with them if they are camping soon and spend the evening telling stories.</t>
  </si>
  <si>
    <t>The Posse encounters 3 guys on the road, 1 of each size, a midget, a fat one and a very tall one, they are really bandits, level 3, and if a gunfight should ensue they would stand so that the midget is in the front, the fat in the middle and the tall one behind, towards the Posse, or their opponents, so if the Posse fires at them and aim for the tall one and hit him in the legs they hit the midget in the head!</t>
  </si>
  <si>
    <t>The Posse finds an isolated, flood-ravaged town; the remaining townspeople beg for their help in rebuilding. There is nothing sinister going on -- the farm town has just been extremely unlucky over the years. Due to the weather-related deaths and emigration, there aren't enough able-bodied people left to rebuild the town. And there is much to be done here: rotted houses need rebuilding, people still need rescuing from the deeper parts of the flood, walls to prevent future floods need to be built, people need healing, etc. The town's entire crop was lost as well, so the Posse needs to secure enough food for the town to survive the coming winter. Or should the Posse concentrate on helping the remaining townspeople move to a less accident prone town instead? Some people can be pretty stubborn when asked to move...</t>
  </si>
  <si>
    <t>bees</t>
  </si>
  <si>
    <t>hornets</t>
  </si>
  <si>
    <t>wasps</t>
  </si>
  <si>
    <t>ants</t>
  </si>
  <si>
    <t>rhinoceros beetles</t>
  </si>
  <si>
    <t>monarch butterflies</t>
  </si>
  <si>
    <t>cockroaches</t>
  </si>
  <si>
    <t>fireflies</t>
  </si>
  <si>
    <t>locust</t>
  </si>
  <si>
    <t>grasshoppers</t>
  </si>
  <si>
    <t>scarab beetles</t>
  </si>
  <si>
    <t>maggots</t>
  </si>
  <si>
    <t>flies</t>
  </si>
  <si>
    <t>earwigs</t>
  </si>
  <si>
    <t>crickets</t>
  </si>
  <si>
    <t>gypsy moths</t>
  </si>
  <si>
    <t>stink bugs</t>
  </si>
  <si>
    <t>termites</t>
  </si>
  <si>
    <t>katydids</t>
  </si>
  <si>
    <t>ladybugs</t>
  </si>
  <si>
    <t>mosquitoes</t>
  </si>
  <si>
    <t>dragonflies</t>
  </si>
  <si>
    <t>bumblebees</t>
  </si>
  <si>
    <t>doodlebugs</t>
  </si>
  <si>
    <t>aphids</t>
  </si>
  <si>
    <t>boll weevils</t>
  </si>
  <si>
    <t>fleas</t>
  </si>
  <si>
    <t xml:space="preserve">A rocky outcropping resembling a frog. </t>
  </si>
  <si>
    <t>Large patch or hill of flowers.</t>
  </si>
  <si>
    <t>One cowpoke's ears begin to ring…</t>
  </si>
  <si>
    <t>A pair of small birds harass  the Posse.</t>
  </si>
  <si>
    <t xml:space="preserve">Arid dust coats your mouth. </t>
  </si>
  <si>
    <t>A lone woman with a frightened child sit on the roadside beside her broken down wagon.</t>
  </si>
  <si>
    <t>Dead carcass of regional large wild animal.</t>
  </si>
  <si>
    <t>A wagon train of earnest settlers heading west.</t>
  </si>
  <si>
    <t>An “unofficial” toll station and roadblock lies ahead. The local riff-raff have gone into business for themselves. They'll try to con the party out of a few copper or silver each plus a toll for the animals of course...</t>
  </si>
  <si>
    <t>Reverse Time Capsule: The Posse sees something sticking of ground if they dig it up they find a metal box, inside this box is a modern day book with no title. The first person to touch the book will see horrible visions of the future with cities wiped out and undead roaming the streets, mutants and doombringers, cats and dogs living together (basically a glimpse at Hell on Earth). The book immediately falls into ashes that the wind takes it away. The character must make a Guts TN 15 roll or roll on the mad scientist table for an insanity. However they also gain +2 to Knowledge: Occult.</t>
  </si>
  <si>
    <t>A snake slithers down the path.</t>
  </si>
  <si>
    <t>A couple of rats are follow the posse.</t>
  </si>
  <si>
    <t>An injured bird lies helpless in the grass.</t>
  </si>
  <si>
    <t>A shadow passes across the ground.</t>
  </si>
  <si>
    <t>praying mantises</t>
  </si>
  <si>
    <t>The stench of skunk permeates the air.</t>
  </si>
  <si>
    <t>Rats are rummaging through Posse's food…</t>
  </si>
  <si>
    <t xml:space="preserve">An earsplitting squawk shatters the silence. </t>
  </si>
  <si>
    <t>A large animal can be heard crashing through the brush.</t>
  </si>
  <si>
    <t>bear</t>
  </si>
  <si>
    <t>deer</t>
  </si>
  <si>
    <t>moose</t>
  </si>
  <si>
    <t>bison</t>
  </si>
  <si>
    <t>human</t>
  </si>
  <si>
    <t>coyote</t>
  </si>
  <si>
    <t>snake</t>
  </si>
  <si>
    <t>pony</t>
  </si>
  <si>
    <t>goat</t>
  </si>
  <si>
    <t>fox</t>
  </si>
  <si>
    <t>boar</t>
  </si>
  <si>
    <t>sheep</t>
  </si>
  <si>
    <t>skunk</t>
  </si>
  <si>
    <t>cat</t>
  </si>
  <si>
    <t>large dog</t>
  </si>
  <si>
    <t>buffalo</t>
  </si>
  <si>
    <t>Huge spider's web.</t>
  </si>
  <si>
    <t>Smoke rises in distance…</t>
  </si>
  <si>
    <t>Picked mushrooms laying on stump to dry.</t>
  </si>
  <si>
    <t>saber</t>
  </si>
  <si>
    <t>pocket knife</t>
  </si>
  <si>
    <t>bowie knife</t>
  </si>
  <si>
    <t>tomahawk</t>
  </si>
  <si>
    <t>rapier</t>
  </si>
  <si>
    <t>spear</t>
  </si>
  <si>
    <t>stick of dynamite</t>
  </si>
  <si>
    <t>derringer</t>
  </si>
  <si>
    <t>holster</t>
  </si>
  <si>
    <t>pot</t>
  </si>
  <si>
    <t>pan</t>
  </si>
  <si>
    <t>coffee pot</t>
  </si>
  <si>
    <t>lantern</t>
  </si>
  <si>
    <t>canteen</t>
  </si>
  <si>
    <t>axe</t>
  </si>
  <si>
    <t>hatchet</t>
  </si>
  <si>
    <t>pick</t>
  </si>
  <si>
    <t>shovel</t>
  </si>
  <si>
    <t>saw</t>
  </si>
  <si>
    <t xml:space="preserve">It is eerily quiet… Too quiet. </t>
  </si>
  <si>
    <t>Large splatter of bird droppings.</t>
  </si>
  <si>
    <t>A broken, rotted wagon wheel lies forgotten.</t>
  </si>
  <si>
    <t>Tree with bark chewed or clawed off the bottom.</t>
  </si>
  <si>
    <t>A Posse member gets a dull, throbbing headache.</t>
  </si>
  <si>
    <t>A creek bars the Posse's path.</t>
  </si>
  <si>
    <t>A ray of sun light hits a tree or bush.</t>
  </si>
  <si>
    <t>A rainbow forms in the distance.</t>
  </si>
  <si>
    <t>ox</t>
  </si>
  <si>
    <t>Sentry animal (probably bird or rodent) raises an alarm.</t>
  </si>
  <si>
    <t>A plucky sidekick looking for a new "friend".</t>
  </si>
  <si>
    <t xml:space="preserve">A disabled wagon with nearby dead campfire... </t>
  </si>
  <si>
    <t>A mother bear protecting cubs…</t>
  </si>
  <si>
    <t>A Stick-figure voodoo doll found by the road.</t>
  </si>
  <si>
    <t>A large bird (heron) seems to follow the Posse.</t>
  </si>
  <si>
    <t>A stack of rocks piled high.</t>
  </si>
  <si>
    <t>Fool's gold sparkles in a nearby stream.</t>
  </si>
  <si>
    <t>groundhog</t>
  </si>
  <si>
    <t>A groundhog colony: big holes, mounds of dirt… That's an awfully big hole!</t>
  </si>
  <si>
    <t>Fish bones.</t>
  </si>
  <si>
    <t>Remnants of old campfire lay in a clearing to the north of the road.</t>
  </si>
  <si>
    <t>A patch of vines strangle an oak tree.</t>
  </si>
  <si>
    <t>An old grizzled prospector leading his mule passes the Posse.</t>
  </si>
  <si>
    <t>Villages and cities are being razed over night with no warning. The few survivors speak of an entire army appearing from nowhere, blind-siding the city’s defenders.  The army in question could be traveling underground caverns, emerging from caves near their intended targets.  A great enchantment creates a field of invisibility, preventing anyone from outside the field [...]</t>
  </si>
  <si>
    <t>"Muff", the town drunk, points muzzely at one of the Posse and slurs, "hey don' I know ya???"</t>
  </si>
  <si>
    <t xml:space="preserve">A gunfight ensues; a beer barrel gets shot up, The Posse has to stop to take a drink. </t>
  </si>
  <si>
    <t>The posse witness a Jail Break as someone pulls the bars out of the stone wall by tying it his horse to it and galloping off.</t>
  </si>
  <si>
    <t>Upon arriving in town, people stare at the Posse from every window, door, balcony and street corner.</t>
  </si>
  <si>
    <t>A "Geezer" carryin' a rope, follows a young and handsome "Dude":  "Let's string 'im up, Gene."</t>
  </si>
  <si>
    <t>A "Geezer", follows a young and handsome "Dude":  "Yeah, now yer talkin', Roy!"</t>
  </si>
  <si>
    <t xml:space="preserve">A bee stings a nearby child who blindly runs to a Posse member for soothing. </t>
  </si>
  <si>
    <t xml:space="preserve">A beggar asks for handouts. </t>
  </si>
  <si>
    <t>A beggar with his hand down a drain hole brings up a ring and immediately asks the Posse to buy it.</t>
  </si>
  <si>
    <t>A body is tied to a stake, it is still smoking...</t>
  </si>
  <si>
    <t>A British/Russian noble, who obviously has more cash than he can ever spend, saunters down the street showing off his riches...</t>
  </si>
  <si>
    <t>A cat is stuck in a tree and mewls at the Posse…</t>
  </si>
  <si>
    <t>A chatty bard walks alongside the Posse repeating random bits of conversation.</t>
  </si>
  <si>
    <t>A codger spits into a Spittoon.  "Sputtttttt-tang… HeHeHe Bullzeye!"</t>
  </si>
  <si>
    <t xml:space="preserve"> The Posse has a new admirer whom they must persuade to stay behind.  One or more of the Posse has attracted the attention of a star-struck kid who wants to grow up to be “just like them”. This can have some benefits in town, of course, where the child might be induced to carry messages, run errands, and other relatively harmless pursuits, but is likely to lead to trouble when the Posse leaves - this kid is really too young to go out on adventures.  The kid has to be persuaded not to follow them, for his/her own safety...</t>
  </si>
  <si>
    <t>In Excel 2003 or earlier:</t>
  </si>
  <si>
    <t xml:space="preserve">A curious box lies on the road, a Notice test (-2) is needed to spot it, should the Posse pick it up they can see its a puzzle box of some kind, a Smarts test (-4) is needed to figure out how to open it, what would be inside however would be up to the Marshal  </t>
  </si>
  <si>
    <t xml:space="preserve">Déjà vu:  There is something familiar about all this... </t>
  </si>
  <si>
    <t>Snake Oil: Up ahead is a wagon, driven by a single salesman. Inside are large amounts of cure all. Like every other non card playing huckster out there, this one is assured to work. After a few attempts at selling, he tries to see if the Posse will let him join up with them to the next town.</t>
  </si>
  <si>
    <t>Up ahead seems to be a small home, most likely a watering hole. Closer examination reveals the building to be abandoned, and in terrible shape</t>
  </si>
  <si>
    <t>A dog slinks up to the Posse and begs for scraps</t>
  </si>
  <si>
    <t>Déjà vu:  There is something familiar about all this…</t>
  </si>
  <si>
    <t>A plucky sidekick looking for a new "friend"</t>
  </si>
  <si>
    <t>Townsfolk gathering for a hanging.</t>
  </si>
  <si>
    <t>A length of road is flanked by alternating shade and fruit trees. A gift to travelers from someone long gone.</t>
  </si>
  <si>
    <t>The local field grass is "stinky". Anything that has tramped through the grass will smell as well.</t>
  </si>
  <si>
    <t>A pair of gallows on each side of the road with decomposing bodies dangling from them.</t>
  </si>
  <si>
    <t>An overweight copper is chasing someone, panting heavily.</t>
  </si>
  <si>
    <t>A man walks down the footpath dressed in nothing but a towel wrapped around his waist.</t>
  </si>
  <si>
    <t>A young man dressed as a pirate is sitting with his back against a shop window, singing about a love he lost at sea while swigging from a large bottle of rum.</t>
  </si>
  <si>
    <t xml:space="preserve">                        Questions Comments?  LordSkudley@lordskudley.com</t>
  </si>
  <si>
    <t>orphaned children.</t>
  </si>
  <si>
    <t>those suffering from consumption.</t>
  </si>
  <si>
    <t>those suffering from cancer.</t>
  </si>
  <si>
    <t>abused animals.</t>
  </si>
  <si>
    <t>slavery.</t>
  </si>
  <si>
    <t>An old codger knows of "lots of great adventures" that are, unfortunately, all dead ends</t>
  </si>
  <si>
    <t xml:space="preserve">A bunch of people dressed up in the local team’s colors are walking together. and down the street are people wearing the "oppositions" colors. </t>
  </si>
  <si>
    <t>A juggler performing on the street.</t>
  </si>
  <si>
    <t>Eight giggly women wearing pink cowboy hats accost the players. A woman wearing a sash that says "Lanas hen night" tries to persuade a male character to donate his underwear to her scavenger hunt list.</t>
  </si>
  <si>
    <t>Mimes have infested the street and try to climb invisible ropes in front of a clearly unappreciative audience.</t>
  </si>
  <si>
    <t>A group of town youth come tumbling out of an alley. They bounce off a couple of things heading across the street.  Quite a sight to see.  A few minutes later a straggler comes huffing and puffing behind them.</t>
  </si>
  <si>
    <t>A church is next to a medical center. The church has a banner outside reading "spiritual healing" and people handing out fliers. The medical center has a banner reading "actual medicine" and people handing out fliers.</t>
  </si>
  <si>
    <t>A hopeful artist is making portraits of anyone willing to model, has several pieces laid out for demonstration. He works a little on the last one while waiting for a new customer.</t>
  </si>
  <si>
    <t>A bunch of activists are heading to the next demonstration. Now they just look weird with their masks, megaphones and folded signs. Have a flier anyway.</t>
  </si>
  <si>
    <t>Several kids jumping into a large pile of sacks from a second story window.</t>
  </si>
  <si>
    <t>In a crowded street, a beggar sits quietly with a sad dog on his side. No one seems to be intent on dropping a coin.</t>
  </si>
  <si>
    <t>A drunk pees just inside an alley.</t>
  </si>
  <si>
    <t>A drunk couple get it on against the wall behind a pile of crates.</t>
  </si>
  <si>
    <t>A well dressed man, neatly groomed, wearing a metal skull cap under his hat, walks by.</t>
  </si>
  <si>
    <t>On a corner one guy with a guitar, another playing an assortment of buckets and barrels, and three others singing in harmony are making fairly good music for an impromptu band.</t>
  </si>
  <si>
    <t>A flustered woman drops her shopping.</t>
  </si>
  <si>
    <t>A bike messenger speeding along, pops the curb and deftly weaves between people on the sidewalk.</t>
  </si>
  <si>
    <t>A bike messenger impacts the side of a wagon.</t>
  </si>
  <si>
    <t>A pack of youngsters dressed for a formal events emerge from a building and head on down the street.</t>
  </si>
  <si>
    <t>A series of loud banging noises come out of a nearby construction zone.</t>
  </si>
  <si>
    <t>A kid on a scooter jacks a ride off the back of a wagon.</t>
  </si>
  <si>
    <t>Someone unfurls what could be an 300 foot rope as they walk along. The cord trails back to a nearby storefront.</t>
  </si>
  <si>
    <t>A bunch of hombres wandering around looking for a "waffle-house". One of them is nursing a black eye.</t>
  </si>
  <si>
    <t>Two kids playing with paddleballs are staring at each other from across the street.</t>
  </si>
  <si>
    <t>A group of pirates walks past. One block later, a large number of ninjas are gathered around a tavern, and a suspicious number of well-dressed gentlemen in similar hats are seen nearby.</t>
  </si>
  <si>
    <t>A cart vendor, who obviously learned his trade at a ballpark, calls out for people to buy some freshly roasted peanuts.</t>
  </si>
  <si>
    <t>A crowd has formed around a food vendor. There is a near feeding frenzy going on.</t>
  </si>
  <si>
    <t>A couple is having a picnic on a lovely boulevard divider which has grass and flowers on it.</t>
  </si>
  <si>
    <t>A cart selling "roasted rat on a stick" is on the corner. The proprietor looks surprised as someone in a suit strolls up to order one with teriyaki sauce.</t>
  </si>
  <si>
    <t>A shopkeeper and employee hangs a sign up on their storefront using two rickety ladders.</t>
  </si>
  <si>
    <t>Three girls are prodding along another girl who is actually a very feminine looking boy in a teenage girl outfit.</t>
  </si>
  <si>
    <t>A bride and groom ride down the street in a horse drawn carriage.</t>
  </si>
  <si>
    <t>Three women, who seemingly just met, are taking off their shoes and showing them off to each other.</t>
  </si>
  <si>
    <t>A number of Buddhist monks have just met a number of Orthodox Rabbis. They are both bowing to each other and talking animatedly about something.</t>
  </si>
  <si>
    <t>Some people are flying a kite in an open space.</t>
  </si>
  <si>
    <t>A wedding cake is being moved from a cart to a doorway across the sidewalk. Several people have stopped to form a human shield between pedestrians and the five layer monstrosity. Unfortunately, the people carrying the cake are not too strong.</t>
  </si>
  <si>
    <t>A group of young women all wearing the same ugly mauve dress are trying to hail a cab.</t>
  </si>
  <si>
    <t>A street preacher loudly making a public sermon on a soapbox. He is a man of the local religion’s cloth and will not stop preaching for anything less than a shooting.</t>
  </si>
  <si>
    <t>A person with a clipboard is trying to get people to register to vote.</t>
  </si>
  <si>
    <t>A man walking down the street with tomato ketchup all over his clothes. He seems perfectly calm, obviously trying to ignore his predicament.</t>
  </si>
  <si>
    <t>A bunch of people dressed up in the local team’s colors are walking together.</t>
  </si>
  <si>
    <t>There was a train stop here yesterday and a lot of previous days. Today, it is gone.</t>
  </si>
  <si>
    <t>An artist is making a chalk drawing of a forced perspective picture taking up most of the sidewalk. It's a picture of someplace the Posse has seen but something is disturbingly different.</t>
  </si>
  <si>
    <t>A person walks up to one of the Posse and starts chatting to them excitedly, asking about all the news they've missed out on. The problem is, the person has been dead for years, yet are at the same age as they were when they died and looking perfectly okay and resemble the person EXACTLY. Any checks reveal they are INDEED the person. More reports come up of this sort of thing...</t>
  </si>
  <si>
    <t>Firemen wrapping up hoses and gear. The building behind them has water sliding down its front steps in a slow dribble.</t>
  </si>
  <si>
    <t>The mail man is facing down a dog. He has a strange can.</t>
  </si>
  <si>
    <t>One of the Posse trips over some spent gun casings/ shells on the boardwalk.</t>
  </si>
  <si>
    <t>A five strong group of heavyset men, none smaller than 6 feet try to mug a frail looking elderly couple. As the elderly gentleman reaches for his wallet, the woman steps forward, and in a blurred flurry of movement, send three of the muggers on the floor, unconscious. The other two take a look at each other and at the woman turning towards them and start to run away.</t>
  </si>
  <si>
    <t>As the Posse walks along at night, there is a muffled scream that ends abruptly.</t>
  </si>
  <si>
    <t>A watermelon falls onto the street, splattering everywhere. It was thrown out of a third story window by a drunk teenager.</t>
  </si>
  <si>
    <t>A man holding a sign saying "free hugs".</t>
  </si>
  <si>
    <t>A man holding a sign saying "I can cry at will".</t>
  </si>
  <si>
    <t>A loud break-up taking place, as an angry woman in her apartment shouts at her ex on the sidewalk, while throwing the man's possessions out the window, several stories to the ground.</t>
  </si>
  <si>
    <t>Two incredibly drunk middle aged men beat each other bloody. Just, really slowly.</t>
  </si>
  <si>
    <t>A crazy homeless guy rocks out to music only he can hear.</t>
  </si>
  <si>
    <t>A prostitute combining cleavage top and 5 o'clock shadow. The horror.</t>
  </si>
  <si>
    <t>A woman carrying a stack of books trips in front of the Posse and falls over, scattering her books everywhere.</t>
  </si>
  <si>
    <t>A town sheriff oblivious to his/her surroundings indulging in a Meat Pie/Hot Dog/Burger/Insert local fare here.</t>
  </si>
  <si>
    <t>A piece of glass falls out from a tall building. It shatters on the street and there are many people nursing cuts.</t>
  </si>
  <si>
    <t>A pale person walking down the street stops in front of the Posse, starts coughing, then vomits on the sidewalk.</t>
  </si>
  <si>
    <t>A political candidate and entourage sweep through the street shaking hands and asking who you're going to vote for.</t>
  </si>
  <si>
    <t>Two young girls walk up to the Posse and say "$200?". They aren't prostitutes; they just think YOU'RE looking for one. They laugh and go on their way.</t>
  </si>
  <si>
    <t>A trio of nuns playing jump-rope.</t>
  </si>
  <si>
    <t>A young man playing a guitar, with the case open on the ground before him. He has a sign that says COLLECTING DONATIONS FOR THE OPTIMUS PRIME ELECTION CAMPAIGN. He can play any song you care to name.</t>
  </si>
  <si>
    <t>A man gives a Posse member a pamphlet explaining how the Korans anticipated modern scientific discoveries.</t>
  </si>
  <si>
    <t>From an open window can be heard and then seen a ten-year-old girl playing the violin rather well.</t>
  </si>
  <si>
    <t>The smells of the restaurant just passed are delicious.</t>
  </si>
  <si>
    <t>A small group of people stands nonchalantly as one of them ducks down to pry up a grate covering a storm drain. He pulls on a rope attached to the overhanging eaves.</t>
  </si>
  <si>
    <t>A cab stops and the first passenger off is a cat.</t>
  </si>
  <si>
    <t>It is night. In one of those little green square parks, there are party lights hung - and glowing bright. If the Posse look through the bars in the fence, the party is all set up. If they look well, they will notice that it is full of half eaten food, drinks, it's as if, everyone just got up and left.</t>
  </si>
  <si>
    <t>As the Posse walks along at night, there is a muffled scream that ends abruptly. They could swear that scream came from the sewer grate near by.</t>
  </si>
  <si>
    <t>It is late at night. A young person blows past at a dead run.</t>
  </si>
  <si>
    <t>A young woman is in the middle of the walkway on her hands and knees. She seems to be desperately searching for something. There is a pair of glasses at the Posse's feet…</t>
  </si>
  <si>
    <t>A man dressed as Jesus runs past singing Zippadi-doo-da as loud as he can.</t>
  </si>
  <si>
    <t>Gorgeous girl with an ugly, "what can she see in him", obnoxious boyfriend stroll by. Causing one of the Posse to collide with a lamppost.</t>
  </si>
  <si>
    <t>A pack of somewhat domestic dogs running as their ancestors did. A few moments before, the Posse may have seen the massive cat they are chasing.</t>
  </si>
  <si>
    <t>A man and a woman, dressed to impress, pass by. The woman can be heard saying "I'm sorry your wife left you for your stepfather…"</t>
  </si>
  <si>
    <t>An extremely old lady grasps the elbow of one of the Posse and asks him/her to walk her across the street. She walks VERY slowly and it'll take at least a couple of minutes to walk her across.</t>
  </si>
  <si>
    <t>A performance artist doing interpretive dance on the street corner.</t>
  </si>
  <si>
    <t>A group of kids run out of a restaurant, the waiter/owner in pursuit. Dine and dash in the city.</t>
  </si>
  <si>
    <t>Two overall clad workmen are carrying sheets of glass from one side of the road to the other where there's a wagon. The panes of glass have large black Xs across them in tape. There's no obvious construction going on within a block of this event.</t>
  </si>
  <si>
    <t>A Conestoga wagon is stopped in the middle of the road. An irate man in a wagon behind it jumps out, holding an ax handle, and starts to walk towards the Conestoga, screaming obscenities. Four much larger men pile out of the Conestoga, screaming back. The other driver jumps back into his wagon and attempts to turn around and flee. The four men from the Conestoga keep screaming and aim a few heavy kicks at wagon's wheels before climbing back into their wagon and driving away.</t>
  </si>
  <si>
    <t>Woman or man approaches at a train or stage station with a long complicated story of how he/she was pick pocketed and now has to borrow money to buy a ticket home in another city where his/her young children are waiting. If it is suggested that the local law should be contacted they will spin an excuse and get evasive.</t>
  </si>
  <si>
    <t>Left over holiday banners hang forlornly from a lamp post.</t>
  </si>
  <si>
    <t>A steamwagon backfires. A surprising number of people dive for the ground.</t>
  </si>
  <si>
    <t>A man on a unicycle juggles three bags as he weaves through the crowd.</t>
  </si>
  <si>
    <t>In a store window, a living mannequin sneezes, swears, and gets back into character.</t>
  </si>
  <si>
    <t>An older man on an bicycle, powered by an electric motor, whizzes by.</t>
  </si>
  <si>
    <t>It looks like the staff of an entire renaissance guild/ faire is walking along the street. They are all chattering away, some loudly bellowing to other people up or down the line, all the time using period speech.</t>
  </si>
  <si>
    <t>In a small park, a group in full armor practice their fighting techniques. A few hangers on in various states of odd garb watch.</t>
  </si>
  <si>
    <t>A brand new velocipede pulls out of a garage onto the street.</t>
  </si>
  <si>
    <t>A man sells what looks like raw fish out of a huge cart on the corner. He is cutting it right there as it is ordered.</t>
  </si>
  <si>
    <t>A businessman talking to another walks into a mailbox and falls over.</t>
  </si>
  <si>
    <t>A wagon full of revelers start singing the national anthem. Everyone stands to attention and starts singing.</t>
  </si>
  <si>
    <t>The Posse is cut of by a motorized velocipede delivering Chinese food or pizza.</t>
  </si>
  <si>
    <t>A man is talking animatedly as he walks down the street, suddenly it is realized he isn't actually talking to anyone  Crazy? maybe.</t>
  </si>
  <si>
    <t>It's late a night, the Posse is being followed by what they think is a hooker, walking suggestively and making an occasional comment. A successful notice check will reveal that by the way she moves she may be after something else.</t>
  </si>
  <si>
    <t>A middle aged woman is basking on a street corner. She is strangely dressed, wearing purple stockings, a red miniskirt and an orange shirt. She's singing at the top of her lungs and strumming her guitar loudly. And very badly...</t>
  </si>
  <si>
    <t>A man thrusts a leaflet in face of one of the Posse leaving them no option but to take the leaflet or walk through him.</t>
  </si>
  <si>
    <t>A pair of fast-talking men run a game of three-card Monty. Ironically, the game is somewhat straight, while their third associate circulates through the crowd, picking the pockets of those who stay to watch.</t>
  </si>
  <si>
    <t>A beautiful woman is buying something from a street vendor. When she speaks, it is obvious she is a man.</t>
  </si>
  <si>
    <t>It is night time and there is a street blocked off for a street faire.</t>
  </si>
  <si>
    <t>It is night. It is late. For a moment, the sounds of the city still, and all that can be heard is the lonely chirp of crickets.</t>
  </si>
  <si>
    <t>A small seaside village where everyone is called Jaz.</t>
  </si>
  <si>
    <t>The neighborhood has a glyphic identity. Every lamp post and many buildings all carry a banner, streamer, or pennant of green and white, with a gryphon on them. A local park in its center, has a low wall around it. Each entry point is flanked by two gryphons.</t>
  </si>
  <si>
    <t>A series of trees drop very spiny seeds to the ground. Only the most durable shoes can keep the spines from stabbing through.</t>
  </si>
  <si>
    <t>Four suspicious men walk past discussing a bank robbery {actually actors}.</t>
  </si>
  <si>
    <t>On the steps of a church standing next to a bride, are two men with shotguns. There is a man in a tuxedo running down the street {to or away from The Church is up to you}.</t>
  </si>
  <si>
    <t>The Posse sees a mural with people waiting for the stage stop. The stage pulls up and stops. When it drives away several of people in the mural are gone {or new ones are added}.</t>
  </si>
  <si>
    <t>There is a women screaming at some store clerk that is standing at a door of a shop {obviously keeping her out} about "This not being the right shop" and "what has she done". The local law is walking up the street.</t>
  </si>
  <si>
    <t>A gunshot is heard. People panic. {It is scary when they briefly look around and go about their business}.</t>
  </si>
  <si>
    <t>A bunch of drunk frat guys harass a young man; the young man suddenly flies off the handle {he's obviously had a bad day} and grabs one of the frat boys and jacks him against the wall. Suddenly, everything turns really quiet.</t>
  </si>
  <si>
    <t>A man, clearly lost, trying to hold a very large map out in front of him asks the Posse help. He doesn't speak the local language {or anything the Posse speaks} at all, but repeats the name of the place he is looking for over and over while gesturing at the map. For bonus weirdness the place he is looking for is a bit peculiar {"flesh house", "gate place", "human living location"}.</t>
  </si>
  <si>
    <t>A walking tour goes by with the tour guide rattling off important facts about the area. The Posse picks up just the piece of information they need {or will need} about the area.</t>
  </si>
  <si>
    <t>A particularly loud and irate protest group outside the place they are protesting {local bar, courthouse, city hall, church, etc.}. Things are starting to get damned ugly, but there's no violence... yet</t>
  </si>
  <si>
    <t>A salt flat -- a great bay whose "neck" to the ocean is above high tide and below low tide, so an area of hundreds of acres spends half the day underwater and half of it dry {well, moist}, and the interesting plant and animal life that lives there.</t>
  </si>
  <si>
    <t>The local birds are loud singers {and might be from far away}.</t>
  </si>
  <si>
    <t>The endless winds of the desert have sanded the stones upon this baked plain into psychedelic forms, huge spiny stone heads balanced upon tiny pillars of scoured rock standing periodically in enigmatic rows and clusters.</t>
  </si>
  <si>
    <t>In this forest, thousands upon thousands of harmless spiders have congregated together in many of the trees, coating the branches overhead in nimbus-like blankets of cobwebs an inch thick, thick enough that the light is opaqued to a dim soft grey.</t>
  </si>
  <si>
    <t>Winter has come to this northerly wasteland, and the hills of rocky sand and flat stony scrubs have been dressed in a thin coating of hard icy snow. Bitter winds skirl across the open expanses, lashing grit and snow into swirling columns that rise into the empty vault of the blue sky.</t>
  </si>
  <si>
    <t>Some old bloodcult lurked in the cave that can be seen above this mountain path, and when they departed or where driven out, their gruesome rack of skulls and the pylons they built from stacked human thighbones were left untouched, grim sentinels along either side of the traverse.</t>
  </si>
  <si>
    <t>Small copses of cacti stand like watchmen in the narrow defiles above the road that runs along a brackish desert lake. Groups of animals wander amongst the spiny towers eating the damp blossoms from their tops.</t>
  </si>
  <si>
    <t>Across this blinding-white polar wasteland, black nunataks seem almost to burn, so sharply are they visible against the empty icescape and the infinite clear sky. The sound of the wind that shrieks through their peaks makes out of this white flatness an otherworldly domain of lost souls.</t>
  </si>
  <si>
    <t>A dead horse on the side of the road. The flies are heavy over the decomposing body.</t>
  </si>
  <si>
    <t>An old road, stones broken by weeds and such, veers off the current road into the thicket.</t>
  </si>
  <si>
    <t>A small store trading post sits on the side of the road here in the middle of no where. It is an odd, but welcome relief to a traveler.</t>
  </si>
  <si>
    <t>A hall of paintings, showing dignified men and women dressed in an antique style. Every so often, when no-one is looking, certain figures will move from one painting to another.</t>
  </si>
  <si>
    <t>There is a cliff that would lead down to the river. A good distance away, you see a cliff on the other side. There is only a tiny ribbon of water between these two cliffs.</t>
  </si>
  <si>
    <t>The pieces of a giant wood siege engine is in the ditch at the side of the road. It looks like it fell over into the ditch and they were unable to get it out. Now it is falling apart.</t>
  </si>
  <si>
    <t>A grave marker is on the side of the road</t>
  </si>
  <si>
    <t>A raptor is picking on a road kill in the middle of the road. It has one eye upon you as your approach, ready to fly off.</t>
  </si>
  <si>
    <t>A mudslide has blocked the roadway along the hillside. It can take a while, but you can get around it.</t>
  </si>
  <si>
    <t>The biggest pile of crap you have ever seen is on the right hand side of the road.</t>
  </si>
  <si>
    <t>A burned tree, seemingly lit afire stands apart from the other trees.</t>
  </si>
  <si>
    <t>There is a Cairn here. It marks a place along the side of the road with a beautiful view - if the weather is right.</t>
  </si>
  <si>
    <t>A house with decrepit holiday decorations still up, months before the holiday is to be celebrated {left up since last year?}.</t>
  </si>
  <si>
    <t>A common house with a grand fountain in the front, though it is totally out of place for the home and area.</t>
  </si>
  <si>
    <t>A windmill tower still slowly spinning in the wind.</t>
  </si>
  <si>
    <t>A tree that has fallen. It was once across the road, but now only partially obstructs the road, as someone has dragged it out of the way.</t>
  </si>
  <si>
    <t>A freshly painted fence runs along the road.</t>
  </si>
  <si>
    <t>Cows stare at you lazily as you pass by.</t>
  </si>
  <si>
    <t>From just out of sight, the sounds of dogs fighting can be heard.</t>
  </si>
  <si>
    <t>A plain studded with great grassy mounds.</t>
  </si>
  <si>
    <t>The trees rustle in the wind. The various shades of green dance about. Dappled sunlight shows through the shade under them.</t>
  </si>
  <si>
    <t>The Posse passes a bunch of people walking out to the fields. {migrant workers?}.</t>
  </si>
  <si>
    <t>Beside the road is a very, very steep drainage ditch. A trickle of water still runs along the bottom.</t>
  </si>
  <si>
    <t>A couple of kids are "grass sledding" using some kind of cloth sack on the rain slicked grass on the hill.</t>
  </si>
  <si>
    <t>A building that seems out of place, designed and decorated in a "national style" from far away.</t>
  </si>
  <si>
    <t>There are some people in various states of skimpy dress and wetness being chased towards the road by a cranky old voice. The Posse can barely make out the pond through the trees {they might even hear the report of a shotgun}.</t>
  </si>
  <si>
    <t>The local low hills are akin to the rolling ocean. They are amber waves of grass flowing in waves in the wind.</t>
  </si>
  <si>
    <t>A large crater, about 100 feet across.</t>
  </si>
  <si>
    <t>There is a canyon, where the particular shape channels the winds in one direction. In summer, the gentle wind keeps you from going downhill too quickly, and helps to go upwards. In winter, it either snows into your face, or freezes your back off.</t>
  </si>
  <si>
    <t>On the meadows there are many large anthills, placed in triangles, about equally distant from others.</t>
  </si>
  <si>
    <t>The ground seems to end suddenly in a great escarpment to the ground hundreds of yards below. A waterfall can be seen some distance away, flowing down the sheer cliff face.</t>
  </si>
  <si>
    <t>An enormous hole in the ground that has clearly been dug out by shovels. It used to be a diamond mine, but has long since been abandoned.</t>
  </si>
  <si>
    <t>A group of caravan traders stopped by the side of the road. They nod politely as you pass, sitting in a circle and smoking a hookah.</t>
  </si>
  <si>
    <t>A series of small, grass-covered "hills" surrounding the road. Hundreds of years ago, this was a primitive village with earthen structures, but they've long since eroded away.</t>
  </si>
  <si>
    <t>the homeless.</t>
  </si>
  <si>
    <t>the poor and downtrodden.</t>
  </si>
  <si>
    <t>the sick and infirmed.</t>
  </si>
  <si>
    <t>the Indians.</t>
  </si>
  <si>
    <t>A woman who looks rough around the edges {perhaps homeless} sits oddly still and with eyes closed throughout a stage ride. She is unresponsive to nudges and bumps, and if people look closely, they realize she's dead.</t>
  </si>
  <si>
    <t>The road here is lined with the dead houses of the locals, squat stone structures where corpses are stacked, with their spines broken so that they can be folded to fit neatly.</t>
  </si>
  <si>
    <t>At this crossroads, a statue of eerie and unsettling aspect has been erected, resembling both a robed death, a bent crone, and some kind of snaky tentacle creature, rolled into one hunched form. Someone has left for this strange waygod an offering of a raw haunch of deer, dry and odorous and pecked by birds but new enough to be untouched by wolves or other creatures.</t>
  </si>
  <si>
    <t>In the thawing snow a face down traveler begins to appear.</t>
  </si>
  <si>
    <t>It looks like some miscellaneous camping gear dropped off the back of a wagon traveling the road.</t>
  </si>
  <si>
    <t>A mailbox with slightly deflated balloons tied to it.</t>
  </si>
  <si>
    <t>A house cat is in the tree. It is not distressed. In fact, it looks like it is stalking someone, about to pounce on the Posse or some other unwary traveler.</t>
  </si>
  <si>
    <t>There is an old well on the side of the road. It is dry. There is a smaller, newer water source just a few yards away.</t>
  </si>
  <si>
    <t>A cemetery on one side of the road.</t>
  </si>
  <si>
    <t>An impressive array of Cliff Dwellings.</t>
  </si>
  <si>
    <t>those suffering from small pox.</t>
  </si>
  <si>
    <t>environmental erosion.</t>
  </si>
  <si>
    <t>those afflicted with "zombie-isim".</t>
  </si>
  <si>
    <t>those afflicted with cholera</t>
  </si>
  <si>
    <t>the West African swallow.</t>
  </si>
  <si>
    <t>those afflicted with insanity.</t>
  </si>
  <si>
    <t>global warming.</t>
  </si>
  <si>
    <t>global cooling.</t>
  </si>
  <si>
    <t>the Flat Earth Society.</t>
  </si>
  <si>
    <t>influenza.</t>
  </si>
  <si>
    <t>the plague.</t>
  </si>
  <si>
    <t>One of the NPCs traveling with the Posse is so afraid of getting insect bites that he/she is convinced to buy insect repellant. Only it's musk from a rutting male critter. The attacks start when the group passes into appropriate terrain. Until the Posse finds out about the musk and eliminate it on EVERYTHING, female critters in heat will attack them repeatedly, going after the character with the musk. This is the clue that something is not quite right.</t>
  </si>
  <si>
    <t>IN TOWN</t>
  </si>
  <si>
    <t>WILDERNESS</t>
  </si>
  <si>
    <t>A pedestrian and a bicycle messenger in an argument.</t>
  </si>
  <si>
    <t>A girl in Fantasy Elven Dress, a guy in some kind of Revolutionary War uniform, a refuge with leather jacket, and a normal kid in a baseball cap, seem to be moving along carefully but with a purpose.</t>
  </si>
  <si>
    <t>Six army officers in dress uniforms, and a few civilian wives, walk down the street toward the Posse.</t>
  </si>
  <si>
    <t>A guy is standing on the boardwalk in front of the church crying.</t>
  </si>
  <si>
    <t>The path to wherever the Posse needs to go is blocked by a parade. If the Posse is creative and daring, maybe they can briefly join the parade long enough to be able to slip out on the other side.</t>
  </si>
  <si>
    <t>The Posse sees an artist drawing a very realistic mural on the wall near a cafe. It is of several people standing there chatting, waiting at a stage stop.</t>
  </si>
  <si>
    <t>An orthodox rabbi and catholic priest walk by both carrying coffee cups having a friendly and animated discussion about something completely non-sequitor.</t>
  </si>
  <si>
    <t>Young toughs listen in rapt horror to an old man's war stories.</t>
  </si>
  <si>
    <t>A school kid, pushing a bike with two flat tires. He has a gash on his forehead which is still bleeding.</t>
  </si>
  <si>
    <t>A  finely carved wooden bridge that goes over a small creek. One could cross the creek without it, so it's probably just for show.</t>
  </si>
  <si>
    <t>NPC's</t>
  </si>
  <si>
    <t xml:space="preserve">"HPL Loves SG"is carved into a tree on the side of the road. </t>
  </si>
  <si>
    <t>A cop/guard walking a beat.</t>
  </si>
  <si>
    <t>A couple of codgers bicker over a chess match.</t>
  </si>
  <si>
    <t>A crazy man points at Posse's equipment and lists its magical properties--and he's right!</t>
  </si>
  <si>
    <t>A dangerous fish in a tank displayed in a nearby window bumps loudly against the glass.</t>
  </si>
  <si>
    <t>A dead ox causes a gridlock.</t>
  </si>
  <si>
    <t>A feral cat is trailing the party.</t>
  </si>
  <si>
    <t>A few sun bleached papers blow by.</t>
  </si>
  <si>
    <t>A fish vendor bends over to vomit and people point and laugh.</t>
  </si>
  <si>
    <t>A fishmonger/fruit seller dumps a cart of rotten fish/fruit for scavengers to clean up.</t>
  </si>
  <si>
    <t>A flock of chickens peck at the street.</t>
  </si>
  <si>
    <t>A food fight breaks out in a nearby eatery.</t>
  </si>
  <si>
    <t>A garbage bin rattles; inside is a tied sack of kittens.</t>
  </si>
  <si>
    <t>A group of kids playing on a gallows.</t>
  </si>
  <si>
    <t>A group of minor 'toughs' force someone to dance by shooting at their feet.</t>
  </si>
  <si>
    <t>A horse thief hangs from a gallows.</t>
  </si>
  <si>
    <t>A little boy confronts the Posse and shoots them with an imaginary gun.</t>
  </si>
  <si>
    <t>A little kid approaches one of the Posse,  "Hey mister, can I watch yer horse fer ya? Fitty cents!"</t>
  </si>
  <si>
    <t>A little kid asks the Posse what they are doing in town.</t>
  </si>
  <si>
    <t>A little kid is pulled out from in front of a charging stagecoach.</t>
  </si>
  <si>
    <t>A local teen approaches the Posse wanting to join them in their adventures.</t>
  </si>
  <si>
    <t>A man gets down on one knee and proposes, drawing a crowd and knotting traffic.</t>
  </si>
  <si>
    <t>A messenger collides with the Posse and numerous papers start blowing around .</t>
  </si>
  <si>
    <t>A paint can spills from above and splashes Posse.</t>
  </si>
  <si>
    <t>A parent scolds a child as he/she drags the child down the street.</t>
  </si>
  <si>
    <t>A passing child drops her pottery and cries.</t>
  </si>
  <si>
    <t>A person passed out from too much drink, looted, with writing on his forehead…</t>
  </si>
  <si>
    <t>A politician on a box of soap during a speech makes eye contact with a Posse member.</t>
  </si>
  <si>
    <t>A ray of light seems to surround one person…</t>
  </si>
  <si>
    <t>A religious leader and his incense burning retinue cuts across the Posse's path.</t>
  </si>
  <si>
    <t>A rich man is carried past in a sedan chair.</t>
  </si>
  <si>
    <t>A roof tile falls, barely missing an hombre...</t>
  </si>
  <si>
    <t>A round faced boy looking for his pet frog "Trevor"…</t>
  </si>
  <si>
    <t>A rubbery mass sticks to the boot of a cowpoke {gum}.</t>
  </si>
  <si>
    <t>A salesman offers great Discounts on holy water.</t>
  </si>
  <si>
    <t>A sheet of music blows into a Posse's face.</t>
  </si>
  <si>
    <t>A skilled classical guitarist is playing on a street corner, he isn't asking for money, just for the fun of playing.</t>
  </si>
  <si>
    <t>A small bird egg drops out of a nest from above and lands intact nearby.</t>
  </si>
  <si>
    <t>A spoiled brat begs his/her parent for a toy.</t>
  </si>
  <si>
    <t>A street fight involving someone being thrown/dropped/tossed/dunked into a horse trough.</t>
  </si>
  <si>
    <t>A street vendor asks the Posse "Please watch this cart for me, just for a minute."</t>
  </si>
  <si>
    <t>A strong, young, healthy beggar asks for "spare change."</t>
  </si>
  <si>
    <t>A tramp approaches the Posse for minor scam.</t>
  </si>
  <si>
    <t>A visitor stops to ask for directions to an interesting place.</t>
  </si>
  <si>
    <t>A weary traveler is mobbed by adoring children...</t>
  </si>
  <si>
    <t>A woman drops a basket of fruit--can the Posse dodge before squashing some?</t>
  </si>
  <si>
    <t>A woman with too much fashion going on breaks her shoe and stumbles into a Posse member.</t>
  </si>
  <si>
    <t>A young consumer is watched closely.</t>
  </si>
  <si>
    <t>An angry customer argues with a shopkeeper.</t>
  </si>
  <si>
    <t>An escaped pet rodent rolling around the street in its ball bumps up against a Posse's leg.</t>
  </si>
  <si>
    <t>An hombre is solicited by a prostitute.</t>
  </si>
  <si>
    <t>An injured mounted scout charges through the street.</t>
  </si>
  <si>
    <t>An old timer runs up to a random Posse member yelling "Dan?  Dan!!! Ya ain't changed a bit in nigh on ta 15 years.  It's like seen' a ghost…"</t>
  </si>
  <si>
    <t>An overturned cart causes a gridlock.</t>
  </si>
  <si>
    <t>An undertaker is lurking nearby.  He points to each member and correctly guesses their height and weight.</t>
  </si>
  <si>
    <t>As the Posse enters town a pair of gunslingers engage in a "Duel at High Noon"!</t>
  </si>
  <si>
    <t>As the Posse enters town someone crashes through the big window of the local saloon during a brawl.</t>
  </si>
  <si>
    <t>As the Posse enters town they notice that the House of Ill Repute is the first business on the main street they pass…</t>
  </si>
  <si>
    <t>As the Posse turn a corner they stumble upon lover's quarrel.</t>
  </si>
  <si>
    <t>Bride or groom comes running out of a building and asks the Posse if they will be witnesses.</t>
  </si>
  <si>
    <t>Cats chasing each other dart past the Posse.</t>
  </si>
  <si>
    <t>Children pester Posse.</t>
  </si>
  <si>
    <t>Clothing tossed out a window during a lovers' spat lands on a Posse member.</t>
  </si>
  <si>
    <t>Crow squawks repeatedly as the Posse approaches.</t>
  </si>
  <si>
    <t>Graffiti on building</t>
  </si>
  <si>
    <t>Gunshots are fired and the cry of "Bank Robbery!!!"shatters an otherwise peaceful day.</t>
  </si>
  <si>
    <t>Kids playing hide 'n seek.</t>
  </si>
  <si>
    <t>Large flock of birds flies acrobatics, then darts away.</t>
  </si>
  <si>
    <t>Mime attack!!!</t>
  </si>
  <si>
    <t>One of the Posse has an allergic reaction to an exotic spice/pollen in the air.</t>
  </si>
  <si>
    <t>One of the Posse steps in a pile of "poo"!!!</t>
  </si>
  <si>
    <t>One person chasing another.</t>
  </si>
  <si>
    <t>Parade in honor of the town's hero.</t>
  </si>
  <si>
    <t>People begin cheering for the Posse.</t>
  </si>
  <si>
    <t>Political activists on parade beckon the Posse to join .</t>
  </si>
  <si>
    <t>Posse passes an alleyway blocked by a new spider web.</t>
  </si>
  <si>
    <t>Private guards flank a door.</t>
  </si>
  <si>
    <t>Religious pilgrims with vow of silence are jeered at.</t>
  </si>
  <si>
    <t>Singing floats out of nearby building.</t>
  </si>
  <si>
    <t>Someone appears/disappears in the shadows of an alley.</t>
  </si>
  <si>
    <t>Someone bumps an hombre's pack/wallet… Nothing's missing.</t>
  </si>
  <si>
    <t>Someone stomps in nearby puddle splashing the Posse!</t>
  </si>
  <si>
    <t>Street preacher accosts the Posse.</t>
  </si>
  <si>
    <t>The boards in front of the General Store creaks as the Posse walk across them.</t>
  </si>
  <si>
    <t>The contents of a chamber pot spill across the road as someone tosses them out of an upper window.</t>
  </si>
  <si>
    <t>The heavenly aroma of home cooking hangs in the air.</t>
  </si>
  <si>
    <t>The House of Ill Repute employs about two dozen reasonably good looking girls dressed in silk corsages.</t>
  </si>
  <si>
    <t>The Posse stumbles onto a pair of amorous teens.</t>
  </si>
  <si>
    <t>The school marm saunters down the street carrying an armload of books.</t>
  </si>
  <si>
    <t>The sheriff holds off a lynch mob intent on dragging off his prisoner.</t>
  </si>
  <si>
    <t>The stench of a ripe outhouse hangs in the wind...</t>
  </si>
  <si>
    <t>The street cleaner sweeps by…</t>
  </si>
  <si>
    <t>Three performers in masks surround the Posse and perform a ring dance around them.</t>
  </si>
  <si>
    <t>Two hooded people whisper on street.</t>
  </si>
  <si>
    <t>Two religious processions meet head-on…</t>
  </si>
  <si>
    <t>Very friendly cat weaves in and out of one of the Posse members' legs.</t>
  </si>
  <si>
    <t>As a pair of shootists exit the saloon, the street clears, window shades are drawn, and closed signs are put up.  A gun-fight is about to go down.</t>
  </si>
  <si>
    <t>Piano player stops playing when the bad guy enters:  The sound of the Saloon piano can be heard as the Posse wanders the streets, suddenly, and unexpectedly  it stops!</t>
  </si>
  <si>
    <t>The House of Ill Repute is run by a fat mother hen, who may {or may not} have been one of the reasonably good looking girls about twenty years ago.</t>
  </si>
  <si>
    <t>While stayin' in town the Posse notices that the House of Ill Repute seems to do quite well financially, although none of the townsfolk would ever consider actually going there.</t>
  </si>
  <si>
    <t>A line of pillars that stretches straight across the plains and through the ocean to the other side of the world.</t>
  </si>
  <si>
    <t>A walking stick laying beside the road. It is intricately carved, wrapped with a leather handle, and unfortunately cracked in half.</t>
  </si>
  <si>
    <t>Traveling in winter, a family of snowmen has been built by the side of the road. One of them is headless.</t>
  </si>
  <si>
    <t>Little gusts of wind form tiny cyclones, blowing leaves and debris into a spiral before scattering them above your head.</t>
  </si>
  <si>
    <t>A tall totem shrine carved out of wood. It appears to represent a shark, and is decorated with some shells.</t>
  </si>
  <si>
    <t>This desert steppe is bitter cold. Pure white snow blows across sandy dunes in an odd contrast.</t>
  </si>
  <si>
    <t>A region of small hills and valleys. Each hill is topped with a ruined fort. Each valley is filled with the remains of ancient battles.</t>
  </si>
  <si>
    <t>A huge rock carved to look like a clenched fist.</t>
  </si>
  <si>
    <t>A bare piece of plains, with a large stone set in the middle. The still legible inscription reminds of a great battle long ago. Ghosts are said to haunt here in the night.</t>
  </si>
  <si>
    <t>A beautiful beach containing the ruins of an old lighthouse.</t>
  </si>
  <si>
    <t>A boarded up manor house can be seen a distance off the road. The grounds look like they have fallen to seed.</t>
  </si>
  <si>
    <t>A burned out stone buildings is a crumbling due to plants and weathers.</t>
  </si>
  <si>
    <t>A cart with a broken wheel left in rut.</t>
  </si>
  <si>
    <t>A church that has been burned down quite a while ago.</t>
  </si>
  <si>
    <t>A cranberry bog: farmers with rakes harvest the berries and fill small rafts dragged by water buffalo.</t>
  </si>
  <si>
    <t>A field of bright red flowers.</t>
  </si>
  <si>
    <t>A field of nodding sunflowers. The blossoms conceal the body of a dead traveler.</t>
  </si>
  <si>
    <t>A flat corridor between mountain passes has many  windmills dotting the landscape due to the constant and unvarying wind flow.</t>
  </si>
  <si>
    <t>A forest of petrified trees.</t>
  </si>
  <si>
    <t>A forest with interesting karst caves and clay tunnels. In some places, the ground is very ready to collapse and dump the heroes into the wet clay pits below.</t>
  </si>
  <si>
    <t>A gallows away from the city. It is currently empty.</t>
  </si>
  <si>
    <t>A gallows-tree, with a dead man hanging from it's branches.</t>
  </si>
  <si>
    <t>A ghost-town.</t>
  </si>
  <si>
    <t>A giant carved head. A left over from a previous civilization?</t>
  </si>
  <si>
    <t>A grassland littered with huge stone-carven jars. Locals say that they are the discarded wine jars of a god or a giant.</t>
  </si>
  <si>
    <t>A great rock of granite in the middle of a road, which bends around it.</t>
  </si>
  <si>
    <t>A great wall made of fool's gold.</t>
  </si>
  <si>
    <t>A herd of deer rumble across the tree lined forest roadway at a full run.</t>
  </si>
  <si>
    <t>A herd of wild horses. These escaped from some invaders decades ago, and now run free.</t>
  </si>
  <si>
    <t>A hollow which has become a small lake because of a creek and a small mudslide. Trees trunks are partially submerged and have lake algae upon them. The squirrels in the area are quite bold, as they are immune to most of their predators.</t>
  </si>
  <si>
    <t>A huge column of rock, with an equally huge arch at the top, supporting an enormous bell, which is operated by machinery inside the column and tolls once per hour, with the sound audible for miles around.</t>
  </si>
  <si>
    <t>A huge stone platform made from massive stone blocks. The blocks are so closely fit that a knife-blade cannot be inserted between them.</t>
  </si>
  <si>
    <t>A large group of barren trees stands here. From afar, they look very much like tall spears pointed to the heavens.</t>
  </si>
  <si>
    <t>A large, deep depression in the ground that appears to be covered in smooth, gray-black glass. If one slips and falls in, it is very difficult to get out. At the edges, it fades into the soil, and there is grass growing in cracks in it. If broken, it is very sharp. There are several animal skeletons at the bottom.</t>
  </si>
  <si>
    <t>A little village where there are no adult men.</t>
  </si>
  <si>
    <t>A lone tree in a meadow not too far from a small town. All around the tree the grass is trampled dirt in odd radii. The tree is basically made out of a rubbery substance. Cannot be cut or destroyed in any way. The dirt is from where the kids from the local village can swing on the rubbery branches like rope and spin themselves around. Any number of branches give a number of different swings.</t>
  </si>
  <si>
    <t>A long rock that parallels the road with centuries worth of graffiti. In fact, the local name for the rock is Graffiti Rock along Graffiti Road.</t>
  </si>
  <si>
    <t>A magnificent sun rise, a corona of reds, oranges, yellow, and a flash of green.</t>
  </si>
  <si>
    <t>A meadow of flowers that, a few minutes after being disturbed, sends off a puff of black pollen into the air. Looking at it from a distance it looks like a shadow that stood up and then slowly bent back down into the brush.</t>
  </si>
  <si>
    <t>A mountain with a massive staircase cut into the side.</t>
  </si>
  <si>
    <t>A poster of a local politician, put up in the middle of nowhere…</t>
  </si>
  <si>
    <t>A range of mountains where the mountains seem to lower themselves every night like waves in the sea.</t>
  </si>
  <si>
    <t>A recent landslide has exposed a fossil.</t>
  </si>
  <si>
    <t>A relatively recent slip fault: The ground has shifted a noticeable amount, from several centimeters to several meters. Trails, roads, fence lines have been repaired to handle the jog; streambeds have realigned, etc.</t>
  </si>
  <si>
    <t>A river that twists through the landscape in such a way that, when you climb to the top of a nearby mountain and look down, it traces the exact same shape as one of the constellations.</t>
  </si>
  <si>
    <t>A road running along the foothills of a mountain chain: the smell of smoke hangs in the air and ahead the hillside is clearly blackened by recently/currently active fires.</t>
  </si>
  <si>
    <t>A road that winds amongst great barrows.</t>
  </si>
  <si>
    <t>A rocky desert area which is, one day a year, covered in a particular flower that grows nowhere else, and that is bare rock the rest of the year.</t>
  </si>
  <si>
    <t>A section of the plains they are crossing crack and snap as they walk across. Digging down it is the result of a few different kind of loose rocks scraping and pushing against each other.</t>
  </si>
  <si>
    <t>A section of the plains, if they stand still, sinks when weight is placed on it and gathers water. Footsteps fill with water until the land slowly rises back to normal. Not sure how far they may sink if they camp.</t>
  </si>
  <si>
    <t>A series of alkali-water ponds in a very dry area. The ponds are littered with the bones of a couple oxen or other animals.</t>
  </si>
  <si>
    <t>A sheet of music blows idly in the wind.</t>
  </si>
  <si>
    <t>A sign that says "Do not throw things at this sign", which bears the marks from many stones thrown at it.</t>
  </si>
  <si>
    <t>A small copse of trees that grow in a perfect circle.</t>
  </si>
  <si>
    <t>A small, elaborately eroded pocket canyon.</t>
  </si>
  <si>
    <t>A stone gate that marks the entrance to an underground cavern.</t>
  </si>
  <si>
    <t>A sun-baked mud flat with giant foot prints.</t>
  </si>
  <si>
    <t>A tapped spring that sends water up a narrow pipe structure and then flows down a gutter 9 feet off the ground into another stone sculpture like a rain cloud that spreads the falling water like rain. {shower} Near a village and a well used path.</t>
  </si>
  <si>
    <t>A tree with a trunk so thick it would take six grown men linking hands to span the radius.</t>
  </si>
  <si>
    <t>A village that uses an unusual roofing material or dominant color nearly exclusively: E.g., iridescent green tile roofs, or vivid goldenrod-colored walls. Explanation is nothing other than local resource or custom.</t>
  </si>
  <si>
    <t>An abandoned farming village, complete with overgrown cornfields or a rice paddy that is turning into a swamp.</t>
  </si>
  <si>
    <t>An ancient set of foundations. A town once stood here. There is an open well that still works at the back of the ruins. The water of the well tastes strangely metallic.</t>
  </si>
  <si>
    <t>An area where sudden winds of extreme cold and extreme hot wave across in bursts of wind.</t>
  </si>
  <si>
    <t>An isolated serpentine rock wall that appears to separate nothing and have no obvious purpose.</t>
  </si>
  <si>
    <t>An old forest fire site: Burn-scarred tree trunks, some dead snags and lots of noticeably younger, smaller growth than has been seen for the last several days travel.</t>
  </si>
  <si>
    <t>An old tree carries a construction resembling a bed on its top, open to the winds and sky. Local tribes use it for their dead, or shamanic dream voyages.</t>
  </si>
  <si>
    <t>An open field with small regions of spongy, soft ground. When heroes step on it, a soft, downy dust arises.</t>
  </si>
  <si>
    <t>At an intersection, a waypost indicating mileage to distant cities. The post is loose in the ground, and due to passing children invariably points in the wrong directions.</t>
  </si>
  <si>
    <t>Clothes strewn about the path/ road. It looks like someone's chest of clothes was leaking.</t>
  </si>
  <si>
    <t>Crumbling walls half-buried in sand dunes.</t>
  </si>
  <si>
    <t>Family craft stand is set up at the end of farm by the road.</t>
  </si>
  <si>
    <t>From a high vantage point, a distant column of smoke from an ongoing forest fire {beware that your players will go off to investigate}.</t>
  </si>
  <si>
    <t>It is a simple crossroads on an unimportant road as many others, beaten earth strewn with little stones to even it out. A good look will show, that the bumps on it must have belonged to the roots of a tree, a very large tree. Where the stump was, there is only stone, but some trace of the giant remains.</t>
  </si>
  <si>
    <t>It was raining yesterday, and now can be seen the proof: two streams join together - one of them crystal clear, the other muddy brown. Below, people are taking the water by buckets, not caring how dirty it is.</t>
  </si>
  <si>
    <t>On a steep, smooth hill {that can be used for a good lookout point} there is a series of knotted ropes going all the way to the top just laying on the hill. The hill isn't that difficult to climb though. In the winter time locals from many areas come around to climb the hill to go sledding. They left the ropes from last winter.</t>
  </si>
  <si>
    <t>Potholes in the roadway. Lots of them.</t>
  </si>
  <si>
    <t>Reeds in a nearby pool clatter together in a mystic harmony and when the wind blows across them strong enough an eerie chorus seems to sing.</t>
  </si>
  <si>
    <t>The bridge crossing a moderate creek/ small river is an elaborate stone affair, with smooth carved stone and has elaborate artistic reliefs carved in the arched sides and supports.</t>
  </si>
  <si>
    <t>The foundation of a burned out manor sized home. It has been decades and the forest is reclaiming the space.</t>
  </si>
  <si>
    <t>The full moon has an icy halo abound it. It is a time of magic.</t>
  </si>
  <si>
    <t>The wind has eroded a stone boulder, its underside now a pillar, carrying a nicely formed wing of great size.</t>
  </si>
  <si>
    <t>There is a strong invisibility spell still in function here; some twenty feet in radius, a sphere that hides bushes, grass, and parts of trees, looking like a hole in the ground. Anything inside is invisible.</t>
  </si>
  <si>
    <t>Though the ocean view is lovely to behold, it is low tide and a hundred yards of mudflats are exposed: the pungent stench of decomposing vegetation and rotting fish nauseates the unfamiliar traveler.</t>
  </si>
  <si>
    <t>Two perfectly ordinary cities are connected by a well-maintained road. However, both sides of this road are saturated with sparsely occupied, recently-built, and sadly similar small houses.</t>
  </si>
  <si>
    <t>When the tide is out a series of reef walkways lead to a small circular reef of bright colors. In the center is a fresh water spring that pools during low tide and creates the odd but beautiful reef.</t>
  </si>
  <si>
    <t>A couple of Ferners arguing in their own language.</t>
  </si>
  <si>
    <t>A criminal in custody is marched through the streets.</t>
  </si>
  <si>
    <t>A depressed musician asks sing-song, rhetorical questions of the Posse.</t>
  </si>
  <si>
    <t>A diseased old man resting in a chair asks for help standing up.</t>
  </si>
  <si>
    <t>A distracted senior totters straight for the Posse…</t>
  </si>
  <si>
    <t>A person walks by with living snakes wrapped around his/her shoulders</t>
  </si>
  <si>
    <t>A pickpocket plies his trade, but not very well.</t>
  </si>
  <si>
    <t>Some people are fixing a wagon on the side of the road.  They are swearing at each other while they do it. They have all the parts.</t>
  </si>
  <si>
    <t>Some street theater performers put on a performance. They encourage the audience to participate in their interactive play.</t>
  </si>
  <si>
    <t>is extremely lucky {never seems to do anything right, but somehow escapes any personal consequences}.</t>
  </si>
  <si>
    <t>is greedy -- always demands first dibs and/or larger shares when dividing treasure troves based on exaggerated contributions to the party's success.</t>
  </si>
  <si>
    <t>is seeking support and election for a minor bureaucratic position with a long title.</t>
  </si>
  <si>
    <t>is squatting and claims an ancient family rite to the site.</t>
  </si>
  <si>
    <t>seeks an ex-lover to claim child-support for their bastard child.</t>
  </si>
  <si>
    <t>has an injury or disease and is saving up for a heal spell.</t>
  </si>
  <si>
    <t>is looking to buy winter clothing and bedding for their orphanage but wool prices are up due to a local shortage.</t>
  </si>
  <si>
    <t>is quiet, brooding, and short tempered due to medical problems.</t>
  </si>
  <si>
    <t>is a pacifist who tries to convert the party to the ways of non-violence.</t>
  </si>
  <si>
    <t>is collecting parlor games from across the lands.</t>
  </si>
  <si>
    <t>is a historian, but all the facts are invented {compulsive liar}.</t>
  </si>
  <si>
    <t>is a travelling madam with company, seeking new employees and better {wealthier} company.</t>
  </si>
  <si>
    <t>is recruiting for the military or a special guild.</t>
  </si>
  <si>
    <t>is an outcast for forgotten crimes.</t>
  </si>
  <si>
    <t>is collecting donations for a charitable fund.</t>
  </si>
  <si>
    <t>is looking for a particular person with critical spell components.</t>
  </si>
  <si>
    <t>is on a secret military mission.</t>
  </si>
  <si>
    <t>is in disguise {for reasons real or imaginary}.</t>
  </si>
  <si>
    <t>is paranoid and over-protective of their town.</t>
  </si>
  <si>
    <t>is tracking down a villain and vows to kill him/her/it.</t>
  </si>
  <si>
    <t>is celibate/chaste, but always attracts the opposite sex.</t>
  </si>
  <si>
    <t>is a binge drinker who tends to get in trouble due to violent, drunken bouts.</t>
  </si>
  <si>
    <t>is unhappily married and will do anything to get out of it.</t>
  </si>
  <si>
    <t>is a fan {to the point of fanaticism} of a spectator sport of the time {jousting, cockfighting, bearbaiting, whatever} and has gotten into gambling/stalking trouble.</t>
  </si>
  <si>
    <t>is on a personal quest for enlightenment, salvation, vengeance, atonement, etc.</t>
  </si>
  <si>
    <t>is a lowly beggar with friends in high places who acts as a spy for those in power.</t>
  </si>
  <si>
    <t>is the most annoying person in town but befriends the Posse.</t>
  </si>
  <si>
    <t>is a rich tax collector targeted by several opponents who feel that he/she is unfair or embezzling.</t>
  </si>
  <si>
    <t>is part of a group of traveling musicians seeking a benefactor.</t>
  </si>
  <si>
    <t>is in the process of creating their own masterpiece {painting, pottery, sculpture, etc.} and wants to use one of the Posse as a model/inspiration.</t>
  </si>
  <si>
    <t>is an opera house maestro who mistakes one of the Posse for the lead in his production and whisks them off to perform.</t>
  </si>
  <si>
    <t>is trying to marry off their eldest son/daughter to one of the Posse.</t>
  </si>
  <si>
    <t>is being held captive in his/her own home.</t>
  </si>
  <si>
    <t>is seeking political/religious asylum.</t>
  </si>
  <si>
    <t>is a guard or law official who seeks information about who, how and why he was framed for a crime that resulted in his dismissal.</t>
  </si>
  <si>
    <t>is desperately trying to join a prestigious sports team/league.</t>
  </si>
  <si>
    <t>is trying to find out how to join a certain secret cult.</t>
  </si>
  <si>
    <t>is seeking his muse.</t>
  </si>
  <si>
    <t>is looking for his/her father who disappeared in the area 6 months ago.</t>
  </si>
  <si>
    <t>is going out at night and mistreating stray animals.</t>
  </si>
  <si>
    <t>is trying to fulfill a bizarre request of their employer, but with no luck.</t>
  </si>
  <si>
    <t>is an informant for the local thieves' guild with nothing to report and is ready to make something up.</t>
  </si>
  <si>
    <t>is looking for a business partner.</t>
  </si>
  <si>
    <t>is a barber who's invented a new hairstyle and is looking for customers.</t>
  </si>
  <si>
    <t>is trying to drink himself to death.</t>
  </si>
  <si>
    <t>has a racial enemy or is banned from racially dominant areas.</t>
  </si>
  <si>
    <t>fears being alone because of a recent incident.</t>
  </si>
  <si>
    <t>A meek man has a valuable treasure but does not know who to turn to and trust for the sale.</t>
  </si>
  <si>
    <t>acts as a representative for the Black Market.</t>
  </si>
  <si>
    <t>believes that one of the party members is a long lost relative.</t>
  </si>
  <si>
    <t>desperately needs an item only available through the Black Market.</t>
  </si>
  <si>
    <t>fears he's being watched and is looking for someone who he can trust to recover a valuable object buried nearby.</t>
  </si>
  <si>
    <t>has an unhealthy obsession with another person.</t>
  </si>
  <si>
    <t>has been falsely accused and has just posted bail and is now looking for proof of his innocence.</t>
  </si>
  <si>
    <t>has been replaced by a doppelganger.</t>
  </si>
  <si>
    <t>imagines he/she is a ghost in spite of attempts to prove he/she is living.</t>
  </si>
  <si>
    <t>is a myopic guard -- extremely nearsighted but compensates with well developed sense of hearing.</t>
  </si>
  <si>
    <t>pumps the characters for details about their exploits, then goes around claiming that he himself did these things.</t>
  </si>
  <si>
    <t>rants uncontrollably about unrelated things as if under the effects of a Feeblemind.</t>
  </si>
  <si>
    <t>tries to recruit the Posse for some incredibly mundane task {i.e. laborer} regardless of their objections.</t>
  </si>
  <si>
    <t>seeks his/her father/mother/child who ran away from home.</t>
  </si>
  <si>
    <t>tries to pass off lousy equipment as magical.</t>
  </si>
  <si>
    <t>trying to find lost love {who is a traveling with a troop of entertainers}.</t>
  </si>
  <si>
    <t>wants the Posse to promote her business by wearing or using her product prominently whenever possible {fashionable cloaks, very tasty trail rations, a specific musical instrument, etc.}.</t>
  </si>
  <si>
    <t>was recently injured in a random attack and seeks his attackers for revenge.</t>
  </si>
  <si>
    <t>is a self-proclaimed matchmaker and tries to set up at least one of the Posse.</t>
  </si>
  <si>
    <t>is a skilled amateur gambler looking to break into the pros or find the "big game".</t>
  </si>
  <si>
    <t>NAME</t>
  </si>
  <si>
    <t>GUNS</t>
  </si>
  <si>
    <t>CIVIL</t>
  </si>
  <si>
    <t>COAT</t>
  </si>
  <si>
    <t>SEX</t>
  </si>
  <si>
    <t>VAMPIRE</t>
  </si>
  <si>
    <t>ANIMAL</t>
  </si>
  <si>
    <t>TRAIT</t>
  </si>
  <si>
    <t>CRITTER</t>
  </si>
  <si>
    <t>FISH</t>
  </si>
  <si>
    <t>QUAKE</t>
  </si>
  <si>
    <t>CHASE</t>
  </si>
  <si>
    <t>BUGS</t>
  </si>
  <si>
    <t>VARMINTS</t>
  </si>
  <si>
    <t>STUFF</t>
  </si>
  <si>
    <t>STORE</t>
  </si>
  <si>
    <t>THINGS</t>
  </si>
  <si>
    <t>TOWN</t>
  </si>
  <si>
    <t>TIME</t>
  </si>
  <si>
    <t>PLIGHT</t>
  </si>
  <si>
    <t>DISPOSITION</t>
  </si>
  <si>
    <t>A guy walks with a damn big white snake around his neck.</t>
  </si>
  <si>
    <t>wants Posse to "lend" him the main plot item after they retrieve it, before they hand it over to the main plot instigator. The motivation could be pure {i.e. item needed to lift a deadly curse} or nefarious {i.e. item used to raise an army of undead}.</t>
  </si>
  <si>
    <t>used to be a powerful adventurer.</t>
  </si>
  <si>
    <t>thinks he's a duck because of a powerful enchantment.</t>
  </si>
  <si>
    <t>suffers from a skin condition which causes his skin to burn and peel in direct sunlight -- but is not a vampire.</t>
  </si>
  <si>
    <t>suffers from black-outs and is completely unaware of his actions, during the black-out.</t>
  </si>
  <si>
    <t>wants the Posse to deliver a letter to his mother - but he doesn't know that his mother is really that cackling night hag that the local lord wants hunted down and exterminated.</t>
  </si>
  <si>
    <t>acts as a local guide to the Posse.</t>
  </si>
  <si>
    <t>has recently broken up with a lover and now laments.</t>
  </si>
  <si>
    <t>is a doctor who unwittingly spreads a deadly plague even while trying desperately to find the cure.</t>
  </si>
  <si>
    <t>is a noble trying to swap places with a peasant for a day.</t>
  </si>
  <si>
    <t>is a proud parent and wants his/her child to become an adventurer.</t>
  </si>
  <si>
    <t>is a very trusting foreigner.</t>
  </si>
  <si>
    <t>is a vigilante who kills in cold blood convinced that the ends {i.e. eliminating a criminal element} justify the means {using excessive force, killing hostages, etc.}.</t>
  </si>
  <si>
    <t>is an anarchist attempting to recruit followers to overthrow the government.</t>
  </si>
  <si>
    <t>is an aspiring bard and uses the Posse as subjects of his/her newest songs without their consent.</t>
  </si>
  <si>
    <t>is an outcast in the community for no good reason.</t>
  </si>
  <si>
    <t>is an outspoken advocate of a controversial political position.</t>
  </si>
  <si>
    <t>is an unsuccessful playwright who has stolen the latest creation of a very well known bard.</t>
  </si>
  <si>
    <t>is an unwitting thrall to a powerful vampire.</t>
  </si>
  <si>
    <t>is deadly terrified of shadows. He'll only meet with the Posse in places completely devoid of shadows.</t>
  </si>
  <si>
    <t>is extremely obese and is attempting to travel a long distance.</t>
  </si>
  <si>
    <t>is heavily in debt and is fleeing/hiding from creditors.</t>
  </si>
  <si>
    <t>is lecherous and married. Asks the Posse for help sneaking in and out of brothels.</t>
  </si>
  <si>
    <t>is on a personal quest for power and has made dark pacts with evil outsiders to accomplish this end.</t>
  </si>
  <si>
    <t>is one of the top artisans at his/her craft, but circumstances beyond his/her control have forced him out of the trade.</t>
  </si>
  <si>
    <t>is promoting a new religion and tries to convert all who pass by.</t>
  </si>
  <si>
    <t>is searching for a lost family heirloom -- the heirloom may not have any value other than sentiment.</t>
  </si>
  <si>
    <t>is tainted in some way and tries at all costs to keep the taint a secret.</t>
  </si>
  <si>
    <t>is the reluctant heir to some ancient, forbidding, or dark power.</t>
  </si>
  <si>
    <t>is trying to ditch the city guards, who are chasing him for a minor crime.</t>
  </si>
  <si>
    <t>will deal with the Posse only in a specific, non-monetary currency {i.e. gems, jewels, fine art, old whiskey, etc.}.</t>
  </si>
  <si>
    <t>COMPASS</t>
  </si>
  <si>
    <t>A "Geezer", follows a young and handsome "Dude" pointin':  "They went that-a-way, Tex!"</t>
  </si>
  <si>
    <t>A natural spring bubbles quietly, bringing water and the stink of sulfur to the surface. The soil around is colored from brown to red to yellow and even white.</t>
  </si>
  <si>
    <t>Tall vertical tube like insect hives are seen just off the road. The reddish wasp like insects have never been seen before. {The insects are "invigorated" in the presence of magic and they can sting something fierce}.</t>
  </si>
  <si>
    <t>lunar moths</t>
  </si>
  <si>
    <t>Some hustler follows the Posse down the block, offering to sell them peyote. Failing that he will begin to name every other kind of drug possible, hoping to make a sale. He says it all very  fast and very  quietly, so the whole thing sounds like of like, "Smokesmokeweedweedacidecstasyspeedcokecrackjunk?"</t>
  </si>
  <si>
    <t>The Sheriff stands on his "soapbox" entreating the townsfolk to form a posse {becoming deputized} and riding after the "Hole in the Wall Gang".</t>
  </si>
  <si>
    <t>The town's well meaning deputy, who is an outgoing geezer "Stumpy" asks the Posse to help him apprehend one of the town's toughs.</t>
  </si>
  <si>
    <t>A mad scientist has invented a new piece of equipment and is looking for a test subject.</t>
  </si>
  <si>
    <t>has an irrational fear of pants and attempts to "save" anyone who happens to be wearing pants.</t>
  </si>
  <si>
    <t>has been given a task by his boss and his boss would punish him if it was known he was "wasting time" with the Posse.</t>
  </si>
  <si>
    <t>wants the Posse to "accidentally retrieve" an item while they are investigating clues.</t>
  </si>
  <si>
    <t>Cinematic Vampire</t>
  </si>
  <si>
    <t>is eating a ham and cheese sandwich.</t>
  </si>
  <si>
    <t>believes {loudly} that wealth should be spread among all the citizens and tries to redistribute the Posse's wealth.</t>
  </si>
  <si>
    <t>is a merchant looking to open trade with "other races" and mistakes one of the Posse as a non-human.</t>
  </si>
  <si>
    <t>is a voyeur who happens to be spying on the house where the Posse is staying.</t>
  </si>
  <si>
    <t xml:space="preserve"> has a bitter rival who was just elected into a minor position and wants to ruin his/her reputation.</t>
  </si>
  <si>
    <t>at first sight, falls madly in love with one of the Posse members and becomes obsessive/stalks.</t>
  </si>
  <si>
    <t>believes that he/she is the only voice of God.</t>
  </si>
  <si>
    <t>has a craving for rare herbs and spices that, unknown to the Posse, are used to create a powerful narcotic.</t>
  </si>
  <si>
    <t>is a disgruntled worker recently fired.</t>
  </si>
  <si>
    <t>is a Spy keeping tabs on the Posse for local leader or powerful NPC.</t>
  </si>
  <si>
    <t>is hiding from local {insert random ethnic group here} who seek him after recently telling several off-color {insert random ethnic group here} jokes in public.</t>
  </si>
  <si>
    <t>is the bastard son of a famous robber baron {hates his father; half-brothers would kill him on sight}.</t>
  </si>
  <si>
    <t>loudly and publicly complains about the local lord.</t>
  </si>
  <si>
    <t>likes to play practical jokes on party members {without revealing culpability if possible}.</t>
  </si>
  <si>
    <t>was adopted as an infant and is in search of his/her real parents.</t>
  </si>
  <si>
    <t>yells "I HAVE MY PANTS ON!!!"</t>
  </si>
  <si>
    <t>In an alley, a tramp looks at a Posse member from the "comforts" of their clapboard home.</t>
  </si>
  <si>
    <t>A special thanks to the members of the Great White Games/Pinnacle Entertainment Group Forum {Deadlands Chat http://www.peginc.com/forum/index.php }, Johnn Four's "Roleplaying Tips Weekly E-Zine" { http://www.roleplayingtips.com/index.php }, Strolen's Citadel { http://strolen.com/viewing/4777 } for their excellent contributions!</t>
  </si>
  <si>
    <t>Two speeding coaches collide, leaving a bloody scene and angry families. The road is blocked, and the guards seem disinterested in assisting with either clearing the road or arbitrating between the families.</t>
  </si>
  <si>
    <t>A string of building construction accidents has occurred lately throughout the city. Fortunately, no one's been seriously hurt, but the accidents are increasing in size and damage. The local guild has put up flyers asking for help in solving their problem.</t>
  </si>
  <si>
    <t>Down the dimly lit alley, two guards can be seen beating a kneeling man. One rips a coin purse from the kneeling man's belt and says, "Don't be late next month, old man."</t>
  </si>
  <si>
    <t>Someone falls out the window of a high building. It wasn't suicide as he had his hands and feet bound together and three large sacks of gold tied around his neck. What will be more important, the murder or the money?</t>
  </si>
  <si>
    <t>A rich man walks through a bad part of town with obvious riches and money. If mugged, he gives it willingly. He has been doing this for the last three days.</t>
  </si>
  <si>
    <t>A young girl terrified of the local orphanage turns up very ill with an incoherent story about the other children biting everyone.</t>
  </si>
  <si>
    <t>A group of kids is playing on a gallows. One has put a rope around his neck, pantomiming being strangled, and it looks like another is sneaking up to kick him into the hole.</t>
  </si>
  <si>
    <t>MacDougal</t>
  </si>
  <si>
    <t>MacKay</t>
  </si>
  <si>
    <t>MacKenzie</t>
  </si>
  <si>
    <t>MacKey</t>
  </si>
  <si>
    <t>MacKlin</t>
  </si>
  <si>
    <t>McAarthur</t>
  </si>
  <si>
    <t>McAdams</t>
  </si>
  <si>
    <t>McAlister</t>
  </si>
  <si>
    <t>McBride</t>
  </si>
  <si>
    <t>McCabe</t>
  </si>
  <si>
    <t>McCaffrey</t>
  </si>
  <si>
    <t>McCall</t>
  </si>
  <si>
    <t>McCallum</t>
  </si>
  <si>
    <t>McClanahan</t>
  </si>
  <si>
    <t>McClellan</t>
  </si>
  <si>
    <t>McClintock</t>
  </si>
  <si>
    <t>McCloskey</t>
  </si>
  <si>
    <t>McCloud</t>
  </si>
  <si>
    <t>McClure</t>
  </si>
  <si>
    <t>McCollum</t>
  </si>
  <si>
    <t>McCombs</t>
  </si>
  <si>
    <t>McConnell</t>
  </si>
  <si>
    <t>McCord</t>
  </si>
  <si>
    <t>McCorkle</t>
  </si>
  <si>
    <t>McCormack</t>
  </si>
  <si>
    <t>McCoy</t>
  </si>
  <si>
    <t>McCracken</t>
  </si>
  <si>
    <t>McCray</t>
  </si>
  <si>
    <t>McCullough</t>
  </si>
  <si>
    <t>McCurdy</t>
  </si>
  <si>
    <t>McCutcheon</t>
  </si>
  <si>
    <t>McDaniel</t>
  </si>
  <si>
    <t>McDermott</t>
  </si>
  <si>
    <t>McDonald</t>
  </si>
  <si>
    <t>McDonnell</t>
  </si>
  <si>
    <t>McDougal</t>
  </si>
  <si>
    <t>McDowell</t>
  </si>
  <si>
    <t>McDuffie</t>
  </si>
  <si>
    <t>McElroy</t>
  </si>
  <si>
    <t>McFadden</t>
  </si>
  <si>
    <t>McFarland</t>
  </si>
  <si>
    <t>McGee</t>
  </si>
  <si>
    <t>McGill</t>
  </si>
  <si>
    <t>McGinnis</t>
  </si>
  <si>
    <t>McGovern</t>
  </si>
  <si>
    <t>McGowan</t>
  </si>
  <si>
    <t>McGrath</t>
  </si>
  <si>
    <t>McGraw</t>
  </si>
  <si>
    <t>McGregor</t>
  </si>
  <si>
    <t>McGuire</t>
  </si>
  <si>
    <t>McHenry</t>
  </si>
  <si>
    <t>McHugh</t>
  </si>
  <si>
    <t>McInnis</t>
  </si>
  <si>
    <t>McIntire</t>
  </si>
  <si>
    <t>McIntosh</t>
  </si>
  <si>
    <t>McKay</t>
  </si>
  <si>
    <t>McKee</t>
  </si>
  <si>
    <t>McKenna</t>
  </si>
  <si>
    <t>McKenzie</t>
  </si>
  <si>
    <t>McKinley</t>
  </si>
  <si>
    <t>McKinnon</t>
  </si>
  <si>
    <t>McKnight</t>
  </si>
  <si>
    <t>McLain</t>
  </si>
  <si>
    <t>McLaughlin</t>
  </si>
  <si>
    <t>McLaurin</t>
  </si>
  <si>
    <t>McLemore</t>
  </si>
  <si>
    <t>McMahan</t>
  </si>
  <si>
    <t>McManus</t>
  </si>
  <si>
    <t>McMillan</t>
  </si>
  <si>
    <t>McMurray</t>
  </si>
  <si>
    <t>McMurrphy</t>
  </si>
  <si>
    <t>McNabb</t>
  </si>
  <si>
    <t>McNair</t>
  </si>
  <si>
    <t>McNally</t>
  </si>
  <si>
    <t>McNamara</t>
  </si>
  <si>
    <t>McNeal</t>
  </si>
  <si>
    <t>McNeely</t>
  </si>
  <si>
    <t>McNulty</t>
  </si>
  <si>
    <t>McNutt</t>
  </si>
  <si>
    <t>McPherson</t>
  </si>
  <si>
    <t>McQueen</t>
  </si>
  <si>
    <t>McVay</t>
  </si>
  <si>
    <t>McWilliams</t>
  </si>
  <si>
    <t>A wanderin' "crazy" runs up to you, slaps you on the back yelling "TAG!" then runs off.</t>
  </si>
  <si>
    <t xml:space="preserve">quick </t>
  </si>
  <si>
    <t>As the Posse steps out of the tavern, a disheveled girl smashes into them. “Wilkenson’s dog is loose again!” she exclaims as she attempts to hide behind them. Turning back in the direction she came the Posse sees a metal construct resembling a dog charging toward them.</t>
  </si>
  <si>
    <t>The Posse is resting in their inn room when suddenly the door bursts open. A well-armed man with weapon drawn storms in and says, “Don’t move, I’ve...crap, wrong room.” The intruder then quickly exits.</t>
  </si>
  <si>
    <t>Four, strong-smelling, rough-and-tumble characters enter the saloon, obviously looking to make merry. Two saddle up to the bar and pound upon it, demanding drink and hot food. Another, loudly singing a bad, off-key sea shanty, scoops up one of the bar maids and dances around the floor with her. She smiles but shies away from his obvious bad breath and groping hands. Oblivious to her protests, he picks her up and carries her to the stairs toward the bedrooms.</t>
  </si>
  <si>
    <t>A man dressed in tweed with a bow tie teleports into the street, runs screaming across it, and teleports away.</t>
  </si>
  <si>
    <t>A large house on a hill in the city has been unoccupied for years but is perfectly maintained. Occasionally, eerie blue lights are seen glowing in its windows. When teenagers dare each other to go into the house one of them disappears.</t>
  </si>
  <si>
    <t>A raccoon runs out the back of a shop holding a human hand in its mouth. The shopkeeper doesn’t appear alarmed, though the other customers aren’t quite so blasé.</t>
  </si>
  <si>
    <t>A gypsy intercepts the most charismatic member of the Posse and tells him of a vision she had. She predicts the Posse member will find a beautiful person in this city and it will be the love of his life. She provides no further details. Later on, a beautiful person flirts with the character.</t>
  </si>
  <si>
    <t>A small animal brushes past the Posse as they walk along a dock. After it jumps into the water, a group of sailors rushes onto the dock, firing crossbows and flinging harpoons at the ripples the animal left in the water. While the sailors curse and fire the last few missiles they have, one of the Posse notices the animal left a muddy gem on the top of her shoe.</t>
  </si>
  <si>
    <t>A woman falls into the street from the second story window in front of the Posse and dies on impact. Soon after, a Posse member notices a hooded figure skillfully dropping, uninjured, from another second story window facing into the alley. The figure quickly disappears into a maze of side streets.</t>
  </si>
  <si>
    <t>An NPC seeks the protection of the Posse. To grant it makes her enemies the Posse’s enemies, and gives them the responsibility to protect a high-profile, fragile person who can't or won't leave town.</t>
  </si>
  <si>
    <t>As the Posse turns a corner, a law enforcement officer slams into them at breakneck speed. As they help him up, they notice he is covered in blood with grievous wounds. As he dies in their arms, he begs them to find his wife and relay his sincerest love and apologies.</t>
  </si>
  <si>
    <t>As the Posse walks across a bridge over the river that cuts through town, they notice a couple of young boys standing near the edge of the bridge. They each have a large rock in their hands, and are watching one of the approaching river boats with smiles on their faces. As the boat gets closer, one of the boys raises his rock as if he is going to drop it.</t>
  </si>
  <si>
    <t>In need of food and shelter from the elements (or from enemies), the Posse comes to a ruined tower full of reveling adventurers. But the Rules of the House say no one may enter until they have entertained the rabble with a rousing tale.</t>
  </si>
  <si>
    <t>One or more Posse members are short-changed by a merchant who considers himself untouchable. Whether he truly is....</t>
  </si>
  <si>
    <t>Storm clouds hang heavy, and thick cold rain pounds down as it has for hours. Gutters gurgle, and the sewers moan as if carrying some great weight. From a drain, a swarm of thousands of black rats burst out and charge the Posse.</t>
  </si>
  <si>
    <t>The Posse is mistaken by a wealthy man as carriage caretakers in a shantytown neighborhood. He hands them money to protect his vehicle. The legitimate caretakers challenge the Posse and try to steal the wealthy wagon. Does the Posse protect the rich man's vehicle or do they leave the locals to do as they please, risking later persecution by the noble client?</t>
  </si>
  <si>
    <t>The Posse stops to witness a funeral procession for a crime lord. Soon after passing, the Posse hears an explosion and sees a gigantic smoking fireball rise into the sky a block away.</t>
  </si>
  <si>
    <t>The Posse comes upon a sobbing woman holding a teenage boy who looks to have been severely beaten. If the Posse asks the woman if they can help, she explains her youngest son was beaten up by a gang of toughs. Of more immediate danger though, is that her oldest son has gone off to exact revenge on them, and she's afraid of what they will do to him.</t>
  </si>
  <si>
    <t>The Posse finds the item they have been seeking in the marketplace. As the purchase is completed and they are about to leave, a stranger rushes up to the merchant shouting, "I know you have it Balthasar, and I want my &lt;insert item here&gt; back now!"</t>
  </si>
  <si>
    <t>The Posse spots a pregnant woman walking through the bazaar. As she passes the baker's stall she quickly grabs a loaf of bread and keeps walking, favoring one of the Posse members with a wink as she goes. Is she a thief or the wife of the store owner?</t>
  </si>
  <si>
    <t>The spoiled child of a noble finds a Posse has something he just *has to have*. The noble's staff does what it can to acquire it, by nearly any means necessary.</t>
  </si>
  <si>
    <t>Young lovers have taken the Posse’s room as refuge to meet in. They are sought after by families that do not approve.</t>
  </si>
  <si>
    <t>A child asks the Posse to help him find his pet dog. This simple task might lead them someplace where they are viewed with greatest suspicion.</t>
  </si>
  <si>
    <t>As the Posse turns up the street they hear shouting ahead. Within moments they see an escaping carriage barreling towards them without a driver. If the Posse is able to stop the carriage they will see signs of maltreatment of the horses {severe bit, lacerated skin from the whip}.</t>
  </si>
  <si>
    <t>A beautiful NPC falls in love with one of the Posse and thus starts several encounters involving her suitors. Some try to kill the Posse while others simply want to run them out of town. The girl is theirs and they don't need any more competition.</t>
  </si>
  <si>
    <t>A damsel in distress is pinned under a fallen wagon. A strong Posse member can save her, but doing so comes with strings attached.</t>
  </si>
  <si>
    <t>A patrol arrests the Posse for matching the description of those who have reputedly committed a crime or simply being in the wrong place at the wrong time. Illusions and false witnesses may be behind it.</t>
  </si>
  <si>
    <t>An upstart gang of thieves is claiming territory. The posse is approached amicably at first to ensure they will either help or at least stay out of the way.</t>
  </si>
  <si>
    <t>While walking on a sunny side-street, a large group of happy and laughing children come skipping and gamboling down into the midst of the Posse. Apparently unafraid of them, they continue to play their silly children’s games, occasionally bumping into characters’ legs and arms, while their gleeful group filters through the Posse. Each child attempts to pick a pocket.</t>
  </si>
  <si>
    <t>A young woman approaches the Posse, insisting one of the party is her husband who went missing two years ago. Other townsfolk seem to agree, despite the hombre not knowing her.</t>
  </si>
  <si>
    <t>The Posse is hired as security for the auction of a mysterious artifact. While stopping repeated theft and auction-rigging attempts, they eventually learn of its evil nature and have to debate breaking their contract and destroying the thing while getting away with it.</t>
  </si>
  <si>
    <t>The Posse is mistaken for leaders of an important underworld faction visiting for a clandestine meeting and receive a stream of mysterious {and incomprehensible to the Posse} messages, bribes and trouble. Eventually, they are invited to the biggest underworld rendezvous in a century.</t>
  </si>
  <si>
    <t>Two teenagers are racing wagons when one smashes into the front of a shop. The Posse notices people carrying a pair of trunks out of another store down the street while the locals are distracted by the wreck. Should they alert the watchmen or deal with it themselves?</t>
  </si>
  <si>
    <t>A child is crying in a dark alley. If Posse decides to help the child, it attacks them with blood covered face and black eyes. Will the Posse kill a young and innocent child?</t>
  </si>
  <si>
    <t>As a Posse enjoys food at the market, several children run up and gather around, hungrily eyeballing the food the character is eating.</t>
  </si>
  <si>
    <t>The Posse surprises a peeing drunk who jumps and starts hitting their shoes.</t>
  </si>
  <si>
    <t>An orphan tags along with the Posse, staying with them regardless of destination or present danger. With each passing day, another orphan joins the first. Even if killed, lost, or captured they always return. The Posse must discover the legend regarding the orphan.</t>
  </si>
  <si>
    <t>Kids playing hide ‘n seek get into trouble when they see something they shouldn’t have, and come running to the Posse for help.</t>
  </si>
  <si>
    <t>One of the Posse has an intense itch. It spreads to anyone he touches until cured.</t>
  </si>
  <si>
    <t>A random Posse member is stung by a bee. They spot a strange man sitting on a step nearby, tracing the air with his finger, muttering to himself. Suddenly, he jabs a finger in the air, and then another of the Posse gets stung.</t>
  </si>
  <si>
    <t>A bunch of awakened rats have escaped a laboratory and, mad with pain, attack the first things they see: the Posse. Though insane, they are cunning, and one of them has developed sorcerous powers.</t>
  </si>
  <si>
    <t>A dead author haunts a secondhand bookstore, vigorously defending the last remaining copy of his only published work - “Sentimental Songs for a Soporific Summer” from Vanity Press. The bookstore owner would like his store back. He’d also like to know how the book got into his store, as he doesn’t remember acquiring the infamously bad poetry book.</t>
  </si>
  <si>
    <t>A filthy child fleeing from an older boy with a knife runs into the arms of the Posse. If the Posse helps him, they are later ambushed by a large child gang demanding the release of the boy, who has broken some rule and must be put to death.</t>
  </si>
  <si>
    <t>A jail breakout disrupts the Posse’s downtime in town. As the newly freed prisoners riot through the streets, the Posse comes face to face with the villain they helped lock up some time ago. He’s got himself quite a following since being locked up.</t>
  </si>
  <si>
    <t>A smelly, downtrodden man wearing the holy symbol of the group’s Preacher Man/Woman approaches the Posse. When he sees the Preacher Man/Woman shares his faith, he invokes a little-known holy right that compels the Preacher Man/Woman to take him into his care.</t>
  </si>
  <si>
    <t>A troupe of actors and artisans has come to town and crossed your path. They ask the Posse to join them in a bit of an impromptu show for the locals. Have the Posse perform skill checks to earn an extra bit of coin.</t>
  </si>
  <si>
    <t>As the Posse returns to town with their bounty-head, the townspeople meet them and demand they turn him loose. Included in the mob are the mayor, women and children. The sheriff who set the bounty is nowhere to be found.</t>
  </si>
  <si>
    <t>In a crowded square a stranger shoves a sealed package into a Posse member’s hands, saying, “Finally I found you, you know what to do!” The stranger disappears in the crowd leaving the Posse to wonder what to do with the package. It may contain something horrible or valuable or is just a confusing trinket.</t>
  </si>
  <si>
    <t>The Posse comes across a wanted poster that perfectly describes them, but for crimes they did not commit. People are starting to point and whisper.</t>
  </si>
  <si>
    <t>As the Posse wanders a surly fellow approaches: "We don't like yer kind here!"</t>
  </si>
  <si>
    <t>Well dressed people moving along, heading towards a wedding celebration. You can hear the sounds of the after party, just out of sight.</t>
  </si>
  <si>
    <t>GAGE</t>
  </si>
  <si>
    <t>BOTTLE</t>
  </si>
  <si>
    <t>0.22</t>
  </si>
  <si>
    <t>beaker</t>
  </si>
  <si>
    <t>bottle</t>
  </si>
  <si>
    <t>capsule</t>
  </si>
  <si>
    <t>0.40</t>
  </si>
  <si>
    <t>carafe</t>
  </si>
  <si>
    <t>crock</t>
  </si>
  <si>
    <t>flask</t>
  </si>
  <si>
    <t>jar</t>
  </si>
  <si>
    <t>jug</t>
  </si>
  <si>
    <t>0.50</t>
  </si>
  <si>
    <t>phial</t>
  </si>
  <si>
    <t>stein</t>
  </si>
  <si>
    <t>tin</t>
  </si>
  <si>
    <t>tube</t>
  </si>
  <si>
    <t>vessel</t>
  </si>
  <si>
    <t>.32-20</t>
  </si>
  <si>
    <t>vial</t>
  </si>
  <si>
    <t>.44-40</t>
  </si>
  <si>
    <t>12 ga</t>
  </si>
  <si>
    <t>POUCH</t>
  </si>
  <si>
    <t>16 ga</t>
  </si>
  <si>
    <t>bag</t>
  </si>
  <si>
    <t>bin</t>
  </si>
  <si>
    <t>FIT</t>
  </si>
  <si>
    <t>box</t>
  </si>
  <si>
    <t>can</t>
  </si>
  <si>
    <t>canister</t>
  </si>
  <si>
    <t>carton</t>
  </si>
  <si>
    <t>cask</t>
  </si>
  <si>
    <t>casket</t>
  </si>
  <si>
    <t>cistern</t>
  </si>
  <si>
    <t>cradle</t>
  </si>
  <si>
    <t>hod</t>
  </si>
  <si>
    <t>hopper</t>
  </si>
  <si>
    <t>package</t>
  </si>
  <si>
    <t>packet</t>
  </si>
  <si>
    <t>pouch</t>
  </si>
  <si>
    <t>purse</t>
  </si>
  <si>
    <t>reliquary</t>
  </si>
  <si>
    <t>sack</t>
  </si>
  <si>
    <t>scuttle</t>
  </si>
  <si>
    <t>TONICS</t>
  </si>
  <si>
    <t>mercury</t>
  </si>
  <si>
    <t>Quinine</t>
  </si>
  <si>
    <t>Ether</t>
  </si>
  <si>
    <t>Laudanum</t>
  </si>
  <si>
    <t>hard cider</t>
  </si>
  <si>
    <t>rare poison</t>
  </si>
  <si>
    <t>Absinthe</t>
  </si>
  <si>
    <t>Barleywine</t>
  </si>
  <si>
    <t>Brandy</t>
  </si>
  <si>
    <t>Cactus Juice</t>
  </si>
  <si>
    <t>Cognac</t>
  </si>
  <si>
    <t>Corn Whiskey</t>
  </si>
  <si>
    <t>Elderberry Wine</t>
  </si>
  <si>
    <t>water</t>
  </si>
  <si>
    <t>Gin</t>
  </si>
  <si>
    <t>Essential oils of Frankincense</t>
  </si>
  <si>
    <t>Mulberry Wine</t>
  </si>
  <si>
    <t>Rot-Gut</t>
  </si>
  <si>
    <t>Rum</t>
  </si>
  <si>
    <t>Scotch</t>
  </si>
  <si>
    <t>Tequila</t>
  </si>
  <si>
    <t>Vodka</t>
  </si>
  <si>
    <t>Unknown Mystery Wine</t>
  </si>
  <si>
    <t>ELIXIR</t>
  </si>
  <si>
    <t>Cohesion Coating</t>
  </si>
  <si>
    <t>Enfeebling Powders</t>
  </si>
  <si>
    <t>Greased Lightning</t>
  </si>
  <si>
    <t>Greek Fire</t>
  </si>
  <si>
    <t>Healing Unguent</t>
  </si>
  <si>
    <t>Lethe Water</t>
  </si>
  <si>
    <t>Owl Eye Tonic</t>
  </si>
  <si>
    <t>Restoration Elixir</t>
  </si>
  <si>
    <t>Revitalizing Tonic</t>
  </si>
  <si>
    <t>Revivification Elixir</t>
  </si>
  <si>
    <t>Sampson's Elixir</t>
  </si>
  <si>
    <t>Drink Me</t>
  </si>
  <si>
    <t>Slumber Liquid</t>
  </si>
  <si>
    <t>Soul Sight Elixir</t>
  </si>
  <si>
    <t>Sure Shot Elixir</t>
  </si>
  <si>
    <t>Dehydrated Water</t>
  </si>
  <si>
    <t>Smelling Salts</t>
  </si>
  <si>
    <t>Antiseptic</t>
  </si>
  <si>
    <t>Hypnotic Elixirs</t>
  </si>
  <si>
    <t>Love Potion</t>
  </si>
  <si>
    <t>Elixir of Immortality</t>
  </si>
  <si>
    <t>Elixir of Life</t>
  </si>
  <si>
    <t>Pool of Nectar</t>
  </si>
  <si>
    <t>Liquid Gold</t>
  </si>
  <si>
    <t>Veratas Serium</t>
  </si>
  <si>
    <t>Apply Externally, Guaranteed to Repel the Undead, Vampires, Abominations, Chupakabras, Will o'the Wisps, and Mosquitoes</t>
  </si>
  <si>
    <t>To Increase Your Intellect, Take one Capful Daily until Gone</t>
  </si>
  <si>
    <t>Gives Luster to the Skin, Soothes the Soul, and Bestows Vigor to the Vitals</t>
  </si>
  <si>
    <t>For External Use Only! Suitable and Effective Remedy for Aches and Pains</t>
  </si>
  <si>
    <t xml:space="preserve"> For All Night Stamina. Keep Away from Fire!!</t>
  </si>
  <si>
    <t>Apply to Affected Parts, Rub in Well</t>
  </si>
  <si>
    <t>Good for Everything a Liniment Ought to be Good For</t>
  </si>
  <si>
    <t>The Strongest and Best Liniment Known for Pain and Lameness</t>
  </si>
  <si>
    <t>Guaranteed to Restore Strength and Stamina, If our Tonic doesn't Help You, You're Likely Dead Already</t>
  </si>
  <si>
    <t>A Miracle Remedy to Cure Baldness</t>
  </si>
  <si>
    <t>Guaranteed to Relieve Indigestion and Flatulence. Keep Away from Fire!!</t>
  </si>
  <si>
    <t>Proof Against a Multitude of Rashes and Unsavory Infestations</t>
  </si>
  <si>
    <t>The Greatest Remedy for Foot in Mouth Disease</t>
  </si>
  <si>
    <t>Frog Hair Restorer, an Ancient Indian formula obtained at great risk and Expense</t>
  </si>
  <si>
    <t>The Only Remedy for Lackanookie and Gollyweasles</t>
  </si>
  <si>
    <t>Cures Headache, Neuralgia, Toothache, Earache, Backache, Rheumatism, Sciatica &amp; Lumbago!</t>
  </si>
  <si>
    <t>For Frost Bite, Chills, Sore Throat, Bites of Animals, Insects and Reptiles. Good for Man or Beast</t>
  </si>
  <si>
    <t>Makes you Well All Over, Cures Disease by Removing the Cause</t>
  </si>
  <si>
    <t>Loosens the Joints and gives a feeling of Freshness and Vigor to the Whole System.</t>
  </si>
  <si>
    <t>A Miracle Cure for Sprains, Sore Chest, Swelling of the Throat, Contracted Cords and Muscles</t>
  </si>
  <si>
    <t>Aldrich</t>
  </si>
  <si>
    <t>Makes the Muscles supple and relaxes the cords. Ancient Indian formula obtained at great risk and Expense</t>
  </si>
  <si>
    <t>Applegate</t>
  </si>
  <si>
    <t>Cures All the Ills that Afflict Man and Beast. No Other Tonic Available is as Strong as Ours</t>
  </si>
  <si>
    <t>Barclay</t>
  </si>
  <si>
    <t>Heal it up and Hair it Over,  If our Tonic doesn't Help You, You're Likely Dead Already</t>
  </si>
  <si>
    <t>Barraza</t>
  </si>
  <si>
    <t>Bassett</t>
  </si>
  <si>
    <t>REMEDY</t>
  </si>
  <si>
    <t>Baumgartner</t>
  </si>
  <si>
    <t>an oily cream</t>
  </si>
  <si>
    <t>Bayer</t>
  </si>
  <si>
    <t>a foul smelling oil</t>
  </si>
  <si>
    <t>Beaudoin</t>
  </si>
  <si>
    <t>a viscous fluid</t>
  </si>
  <si>
    <t>Bell</t>
  </si>
  <si>
    <t>a lime green liniment</t>
  </si>
  <si>
    <t>Bergman</t>
  </si>
  <si>
    <t>an oily salve</t>
  </si>
  <si>
    <t>Betts</t>
  </si>
  <si>
    <t>a pungent cream</t>
  </si>
  <si>
    <t>Blais</t>
  </si>
  <si>
    <t>a foul, oily cream</t>
  </si>
  <si>
    <t>Blunt</t>
  </si>
  <si>
    <t>a thick oily substance</t>
  </si>
  <si>
    <t>Breeden</t>
  </si>
  <si>
    <t>a foul smelling liniment</t>
  </si>
  <si>
    <t>Burroughs</t>
  </si>
  <si>
    <t>a musky-smelling oil</t>
  </si>
  <si>
    <t>Cafferty</t>
  </si>
  <si>
    <t>Castillo</t>
  </si>
  <si>
    <t>WORKS</t>
  </si>
  <si>
    <t>Causey</t>
  </si>
  <si>
    <t>(works)</t>
  </si>
  <si>
    <t>Cormac</t>
  </si>
  <si>
    <t>(doesn't work)</t>
  </si>
  <si>
    <t>Cormier</t>
  </si>
  <si>
    <t>Cotter</t>
  </si>
  <si>
    <t>Cross</t>
  </si>
  <si>
    <t>Croteau</t>
  </si>
  <si>
    <t>LANGUAGE</t>
  </si>
  <si>
    <t>Culver</t>
  </si>
  <si>
    <t>Spanish</t>
  </si>
  <si>
    <t>Damico</t>
  </si>
  <si>
    <t>Danner</t>
  </si>
  <si>
    <t>French</t>
  </si>
  <si>
    <t>Dawson</t>
  </si>
  <si>
    <t>German</t>
  </si>
  <si>
    <t>Demarco</t>
  </si>
  <si>
    <t>Chinese</t>
  </si>
  <si>
    <t>Donald</t>
  </si>
  <si>
    <t>Swiss</t>
  </si>
  <si>
    <t>Dover</t>
  </si>
  <si>
    <t>Russian</t>
  </si>
  <si>
    <t>Drury</t>
  </si>
  <si>
    <t>Bulgarian</t>
  </si>
  <si>
    <t>Epstein</t>
  </si>
  <si>
    <t>Fairchild</t>
  </si>
  <si>
    <t>Nonsense</t>
  </si>
  <si>
    <t>Finley</t>
  </si>
  <si>
    <t>Flannery</t>
  </si>
  <si>
    <t>Ute</t>
  </si>
  <si>
    <t>Forbes</t>
  </si>
  <si>
    <t>Cherokee</t>
  </si>
  <si>
    <t>Forgery</t>
  </si>
  <si>
    <t>Apache</t>
  </si>
  <si>
    <t>Fortune</t>
  </si>
  <si>
    <t>Blackfoot</t>
  </si>
  <si>
    <t>Gentile</t>
  </si>
  <si>
    <t>Navajo</t>
  </si>
  <si>
    <t>Gibbons</t>
  </si>
  <si>
    <t>Yokut</t>
  </si>
  <si>
    <t>Grigsby</t>
  </si>
  <si>
    <t>Comanche</t>
  </si>
  <si>
    <t>Grimm</t>
  </si>
  <si>
    <t>Swahili</t>
  </si>
  <si>
    <t>Gunderson</t>
  </si>
  <si>
    <t>Latin</t>
  </si>
  <si>
    <t>Hanks</t>
  </si>
  <si>
    <t>Hawley</t>
  </si>
  <si>
    <t>INGREDIANTS</t>
  </si>
  <si>
    <t>Hickey</t>
  </si>
  <si>
    <t>a dead mouse</t>
  </si>
  <si>
    <t>Hopkins</t>
  </si>
  <si>
    <t>dancing fleas</t>
  </si>
  <si>
    <t>Houston</t>
  </si>
  <si>
    <t>herbs for a soporific tea</t>
  </si>
  <si>
    <t>Jameson</t>
  </si>
  <si>
    <t>gold dust</t>
  </si>
  <si>
    <t>Kern</t>
  </si>
  <si>
    <t>rich black earth</t>
  </si>
  <si>
    <t>Kessler</t>
  </si>
  <si>
    <t>a smokable narcotic</t>
  </si>
  <si>
    <t>Knott</t>
  </si>
  <si>
    <t>saffron</t>
  </si>
  <si>
    <t>Knutson</t>
  </si>
  <si>
    <t>tobacco</t>
  </si>
  <si>
    <t>Koenig</t>
  </si>
  <si>
    <t>seeds</t>
  </si>
  <si>
    <t>Kruse</t>
  </si>
  <si>
    <t>a pretty shell</t>
  </si>
  <si>
    <t>Ladner</t>
  </si>
  <si>
    <t>a glass eye</t>
  </si>
  <si>
    <t>Lake</t>
  </si>
  <si>
    <t>a piece of amethyst</t>
  </si>
  <si>
    <t>Langley</t>
  </si>
  <si>
    <t>a piece of quartz</t>
  </si>
  <si>
    <t>Lavender</t>
  </si>
  <si>
    <t>petals of an uncommon flower</t>
  </si>
  <si>
    <t>Lawson</t>
  </si>
  <si>
    <t>petals of a rose</t>
  </si>
  <si>
    <t>Linton</t>
  </si>
  <si>
    <t>petals of a common flower</t>
  </si>
  <si>
    <t>Logsdon</t>
  </si>
  <si>
    <t>oregano</t>
  </si>
  <si>
    <t>Lombardi</t>
  </si>
  <si>
    <t>basil</t>
  </si>
  <si>
    <t>Lovett</t>
  </si>
  <si>
    <t>chili peppers</t>
  </si>
  <si>
    <t>Maestas</t>
  </si>
  <si>
    <t>Maupin</t>
  </si>
  <si>
    <t>leaves</t>
  </si>
  <si>
    <t>orange pips</t>
  </si>
  <si>
    <t>powdered glass</t>
  </si>
  <si>
    <t>Mosby</t>
  </si>
  <si>
    <t>Muncy</t>
  </si>
  <si>
    <t>Myrick</t>
  </si>
  <si>
    <t>Neill</t>
  </si>
  <si>
    <t>a severed finger</t>
  </si>
  <si>
    <t>Ornelas</t>
  </si>
  <si>
    <t>blackroot</t>
  </si>
  <si>
    <t>Orozco</t>
  </si>
  <si>
    <t>blackberries</t>
  </si>
  <si>
    <t>Prado</t>
  </si>
  <si>
    <t>blueberries</t>
  </si>
  <si>
    <t>Putnam</t>
  </si>
  <si>
    <t>strawberries</t>
  </si>
  <si>
    <t>Quarles</t>
  </si>
  <si>
    <t>deadly-nightshade</t>
  </si>
  <si>
    <t>Rand</t>
  </si>
  <si>
    <t>belladonna</t>
  </si>
  <si>
    <t>Rapp</t>
  </si>
  <si>
    <t>Hawkweed</t>
  </si>
  <si>
    <t>Roby</t>
  </si>
  <si>
    <t>Olus Veritis</t>
  </si>
  <si>
    <t>Ryder</t>
  </si>
  <si>
    <t>mugwart</t>
  </si>
  <si>
    <t>Saavedra</t>
  </si>
  <si>
    <t>wormswort</t>
  </si>
  <si>
    <t>Sager</t>
  </si>
  <si>
    <t>wormwood</t>
  </si>
  <si>
    <t>Schell</t>
  </si>
  <si>
    <t>athelas</t>
  </si>
  <si>
    <t>Sheridan</t>
  </si>
  <si>
    <t>an egg</t>
  </si>
  <si>
    <t>Silver</t>
  </si>
  <si>
    <t>gunpowder</t>
  </si>
  <si>
    <t>Skidmore</t>
  </si>
  <si>
    <t>sulfur</t>
  </si>
  <si>
    <t>Speer</t>
  </si>
  <si>
    <t>salt</t>
  </si>
  <si>
    <t>Sweeny</t>
  </si>
  <si>
    <t>pepper</t>
  </si>
  <si>
    <t>Trujillo</t>
  </si>
  <si>
    <t>Oak bark</t>
  </si>
  <si>
    <t>Velasco</t>
  </si>
  <si>
    <t>Cedar bark</t>
  </si>
  <si>
    <t>Watters</t>
  </si>
  <si>
    <t>a Black Feather</t>
  </si>
  <si>
    <t>Whittaker</t>
  </si>
  <si>
    <t>Yoder</t>
  </si>
  <si>
    <t>Zaragoza</t>
  </si>
  <si>
    <t>Zarate</t>
  </si>
  <si>
    <t>STREET</t>
  </si>
  <si>
    <t>Zimmerman</t>
  </si>
  <si>
    <t>Street</t>
  </si>
  <si>
    <t>Alaster</t>
  </si>
  <si>
    <t>Way</t>
  </si>
  <si>
    <t>Albright</t>
  </si>
  <si>
    <t>Avenue</t>
  </si>
  <si>
    <t>Allan</t>
  </si>
  <si>
    <t>Highway</t>
  </si>
  <si>
    <t>Alonzo</t>
  </si>
  <si>
    <t>Road</t>
  </si>
  <si>
    <t>Anna</t>
  </si>
  <si>
    <t>Court</t>
  </si>
  <si>
    <t>Anthony</t>
  </si>
  <si>
    <t>Boulevard</t>
  </si>
  <si>
    <t>Bain</t>
  </si>
  <si>
    <t>Lane</t>
  </si>
  <si>
    <t>Brooks</t>
  </si>
  <si>
    <t>Alley</t>
  </si>
  <si>
    <t>Carl</t>
  </si>
  <si>
    <t>Drive</t>
  </si>
  <si>
    <t>Cathy</t>
  </si>
  <si>
    <t>Conway</t>
  </si>
  <si>
    <t>Dalton</t>
  </si>
  <si>
    <t>Donell</t>
  </si>
  <si>
    <t>Dudley</t>
  </si>
  <si>
    <t>Emery</t>
  </si>
  <si>
    <t>Felix</t>
  </si>
  <si>
    <t>Fennell</t>
  </si>
  <si>
    <t>Flynn</t>
  </si>
  <si>
    <t>Fortier</t>
  </si>
  <si>
    <t>Gregg</t>
  </si>
  <si>
    <t>Gunther</t>
  </si>
  <si>
    <t>Guy</t>
  </si>
  <si>
    <t>Haley</t>
  </si>
  <si>
    <t>Headley</t>
  </si>
  <si>
    <t>Heather</t>
  </si>
  <si>
    <t>Jean</t>
  </si>
  <si>
    <t>Katz</t>
  </si>
  <si>
    <t>Kelsey</t>
  </si>
  <si>
    <t>Kenyon</t>
  </si>
  <si>
    <t>Lamar</t>
  </si>
  <si>
    <t>Lori</t>
  </si>
  <si>
    <t>Loy</t>
  </si>
  <si>
    <t>Mark</t>
  </si>
  <si>
    <t>Mathis</t>
  </si>
  <si>
    <t>Morley</t>
  </si>
  <si>
    <t>Murphy</t>
  </si>
  <si>
    <t>Neal</t>
  </si>
  <si>
    <t>Obrien</t>
  </si>
  <si>
    <t>Park</t>
  </si>
  <si>
    <t>Perry</t>
  </si>
  <si>
    <t>Pierce</t>
  </si>
  <si>
    <t>Purdy</t>
  </si>
  <si>
    <t>Rayburn</t>
  </si>
  <si>
    <t>Sarah</t>
  </si>
  <si>
    <t>Shaw</t>
  </si>
  <si>
    <t>Spencer</t>
  </si>
  <si>
    <t>Stanley</t>
  </si>
  <si>
    <t>Stuart</t>
  </si>
  <si>
    <t>Titus</t>
  </si>
  <si>
    <t>Todd</t>
  </si>
  <si>
    <t>Vann</t>
  </si>
  <si>
    <t>Wyatt</t>
  </si>
  <si>
    <t>PLACE</t>
  </si>
  <si>
    <t>Apothecary</t>
  </si>
  <si>
    <t>Army Barracks</t>
  </si>
  <si>
    <t>Bakery</t>
  </si>
  <si>
    <t>Bank</t>
  </si>
  <si>
    <t>Barbershop</t>
  </si>
  <si>
    <t>Billiard Hall</t>
  </si>
  <si>
    <t>Blacksmith</t>
  </si>
  <si>
    <t>Boarding House</t>
  </si>
  <si>
    <t>Brewery</t>
  </si>
  <si>
    <t>Brickyard</t>
  </si>
  <si>
    <t>Bunkhouse</t>
  </si>
  <si>
    <t>Butcher</t>
  </si>
  <si>
    <t>Carpenter</t>
  </si>
  <si>
    <t>Chinese Laundry</t>
  </si>
  <si>
    <t>Church</t>
  </si>
  <si>
    <t>City Hall</t>
  </si>
  <si>
    <t>Claim's Office</t>
  </si>
  <si>
    <t>Clock &amp; Watch maker</t>
  </si>
  <si>
    <t>Clothing Store</t>
  </si>
  <si>
    <t>Cooper/Barrel maker</t>
  </si>
  <si>
    <t>Dentist's Office</t>
  </si>
  <si>
    <t>Dressmaker</t>
  </si>
  <si>
    <t>Druggist</t>
  </si>
  <si>
    <t>Dry Goods Store</t>
  </si>
  <si>
    <t>Feed Store</t>
  </si>
  <si>
    <t>Flouring Mill</t>
  </si>
  <si>
    <t>Freight Co.</t>
  </si>
  <si>
    <t>Furniture Maker</t>
  </si>
  <si>
    <t>Gambling Hall</t>
  </si>
  <si>
    <t>General Store</t>
  </si>
  <si>
    <t>Graveyard</t>
  </si>
  <si>
    <t>Grocer</t>
  </si>
  <si>
    <t>Gunsmith</t>
  </si>
  <si>
    <t>Hangman's Lane</t>
  </si>
  <si>
    <t>Hardware Store</t>
  </si>
  <si>
    <t>Hat Shop</t>
  </si>
  <si>
    <t>High Way</t>
  </si>
  <si>
    <t>Hotel</t>
  </si>
  <si>
    <t>Jail</t>
  </si>
  <si>
    <t>Jeweler</t>
  </si>
  <si>
    <t>King's Road</t>
  </si>
  <si>
    <t>Lawyer's Office</t>
  </si>
  <si>
    <t>Leather Goods</t>
  </si>
  <si>
    <t>Livery Stable</t>
  </si>
  <si>
    <t>Low Road</t>
  </si>
  <si>
    <t>Main Street</t>
  </si>
  <si>
    <t>Marby Grange</t>
  </si>
  <si>
    <t>Mulberry Street</t>
  </si>
  <si>
    <t>Newspaper Office</t>
  </si>
  <si>
    <t>Pharmacy</t>
  </si>
  <si>
    <t>Photography</t>
  </si>
  <si>
    <t>Post Office</t>
  </si>
  <si>
    <t>Queen's Lane</t>
  </si>
  <si>
    <t>Restaurant</t>
  </si>
  <si>
    <t>Saloon</t>
  </si>
  <si>
    <t>School House</t>
  </si>
  <si>
    <t>Shoe Store/Cobbler</t>
  </si>
  <si>
    <t>Stagecoach Stop</t>
  </si>
  <si>
    <t>Telegraph Office</t>
  </si>
  <si>
    <t>the abandoned warehouse</t>
  </si>
  <si>
    <t>the back alleys</t>
  </si>
  <si>
    <t>the cemetery</t>
  </si>
  <si>
    <t>the church</t>
  </si>
  <si>
    <t>the city wall</t>
  </si>
  <si>
    <t>the docks</t>
  </si>
  <si>
    <t>the Doctor's office</t>
  </si>
  <si>
    <t>the Entertainer's Square</t>
  </si>
  <si>
    <t>the forest</t>
  </si>
  <si>
    <t>the fortress</t>
  </si>
  <si>
    <t>the Governor's mansion</t>
  </si>
  <si>
    <t>the grotto</t>
  </si>
  <si>
    <t>the Guild House</t>
  </si>
  <si>
    <t>the Hallow</t>
  </si>
  <si>
    <t>The House</t>
  </si>
  <si>
    <t>the inn</t>
  </si>
  <si>
    <t>the kitchen of the local tavern</t>
  </si>
  <si>
    <t>the library</t>
  </si>
  <si>
    <t>the lower ward</t>
  </si>
  <si>
    <t>the Masonic Lodge</t>
  </si>
  <si>
    <t>The Mended Drum</t>
  </si>
  <si>
    <t>the mine</t>
  </si>
  <si>
    <t>the old abandoned house on the hill</t>
  </si>
  <si>
    <t>the old farm</t>
  </si>
  <si>
    <t>the Opera House</t>
  </si>
  <si>
    <t>the outskirts of town</t>
  </si>
  <si>
    <t>the potter's field</t>
  </si>
  <si>
    <t>the saloon</t>
  </si>
  <si>
    <t>the Sheriff's office</t>
  </si>
  <si>
    <t>the smithy</t>
  </si>
  <si>
    <t>the stables</t>
  </si>
  <si>
    <t>the Thieves' Guild</t>
  </si>
  <si>
    <t>the town square</t>
  </si>
  <si>
    <t>the upper residences</t>
  </si>
  <si>
    <t>the warehouse district</t>
  </si>
  <si>
    <t>Theatre</t>
  </si>
  <si>
    <t>Toy store</t>
  </si>
  <si>
    <t>Trading Post</t>
  </si>
  <si>
    <t>Train Station</t>
  </si>
  <si>
    <t>Undertakers</t>
  </si>
  <si>
    <t>Wainwright</t>
  </si>
  <si>
    <t>Wheelwright</t>
  </si>
  <si>
    <t>PROFESSION</t>
  </si>
  <si>
    <t>Actor</t>
  </si>
  <si>
    <t>Admiral</t>
  </si>
  <si>
    <t>Alchemist</t>
  </si>
  <si>
    <t>Animal Doctor</t>
  </si>
  <si>
    <t>Apple Seller</t>
  </si>
  <si>
    <t>Artist</t>
  </si>
  <si>
    <t>Assayer</t>
  </si>
  <si>
    <t>Baker</t>
  </si>
  <si>
    <t>Banker</t>
  </si>
  <si>
    <t>Barber</t>
  </si>
  <si>
    <t>Bard</t>
  </si>
  <si>
    <t>Barrister</t>
  </si>
  <si>
    <t>Bartender</t>
  </si>
  <si>
    <t>Beggar</t>
  </si>
  <si>
    <t>Boarding House Matron</t>
  </si>
  <si>
    <t>Book Store Proprietor</t>
  </si>
  <si>
    <t>Buffalo Hunter</t>
  </si>
  <si>
    <t>Candlestick Maker</t>
  </si>
  <si>
    <t>Captain</t>
  </si>
  <si>
    <t>Chancellor</t>
  </si>
  <si>
    <t>Commodore</t>
  </si>
  <si>
    <t>Coroner</t>
  </si>
  <si>
    <t>Crazy Inventor</t>
  </si>
  <si>
    <t>Dentist</t>
  </si>
  <si>
    <t>Deputy</t>
  </si>
  <si>
    <t>Dirt Farmer</t>
  </si>
  <si>
    <t>Dock Worker</t>
  </si>
  <si>
    <t>Doctor</t>
  </si>
  <si>
    <t>Draper</t>
  </si>
  <si>
    <t>Dungeon Master</t>
  </si>
  <si>
    <t>Entertainer</t>
  </si>
  <si>
    <t>Farmer</t>
  </si>
  <si>
    <t>Furrier</t>
  </si>
  <si>
    <t>Game Keeper</t>
  </si>
  <si>
    <t>General</t>
  </si>
  <si>
    <t>General Store clerk</t>
  </si>
  <si>
    <t>Gigolo Joe</t>
  </si>
  <si>
    <t>Governor</t>
  </si>
  <si>
    <t>Grave Digger</t>
  </si>
  <si>
    <t>Grounds Keeper</t>
  </si>
  <si>
    <t>Hardware Store clerk</t>
  </si>
  <si>
    <t>Horse Trainer</t>
  </si>
  <si>
    <t>Inn Keep</t>
  </si>
  <si>
    <t>Jenny the Whore</t>
  </si>
  <si>
    <t>Lady Chatterley</t>
  </si>
  <si>
    <t>Landlord</t>
  </si>
  <si>
    <t>Leather Smith</t>
  </si>
  <si>
    <t>Librarian</t>
  </si>
  <si>
    <t>Livery</t>
  </si>
  <si>
    <t>Local Newspaperman</t>
  </si>
  <si>
    <t>Local Philanthropist</t>
  </si>
  <si>
    <t>Lord Byron</t>
  </si>
  <si>
    <t>Marshal</t>
  </si>
  <si>
    <t>Mason</t>
  </si>
  <si>
    <t>Mayor</t>
  </si>
  <si>
    <t>Mercenary</t>
  </si>
  <si>
    <t>Midwife</t>
  </si>
  <si>
    <t>Miners</t>
  </si>
  <si>
    <t>Mob Boss</t>
  </si>
  <si>
    <t>Money Lender</t>
  </si>
  <si>
    <t>Mortician</t>
  </si>
  <si>
    <t>Newspaper Editor</t>
  </si>
  <si>
    <t>Nun</t>
  </si>
  <si>
    <t>Painter</t>
  </si>
  <si>
    <t>Pawnbroker</t>
  </si>
  <si>
    <t>Postman</t>
  </si>
  <si>
    <t>Preacher</t>
  </si>
  <si>
    <t>Priest</t>
  </si>
  <si>
    <t>Priestess</t>
  </si>
  <si>
    <t>Rancher</t>
  </si>
  <si>
    <t>Saloon Gal</t>
  </si>
  <si>
    <t>Saloon Owner</t>
  </si>
  <si>
    <t>School Marm</t>
  </si>
  <si>
    <t>Sheriff</t>
  </si>
  <si>
    <t>Shipwright</t>
  </si>
  <si>
    <t>Shoe Maker</t>
  </si>
  <si>
    <t>Shop Keep</t>
  </si>
  <si>
    <t>Sorcerer</t>
  </si>
  <si>
    <t>Sorceress</t>
  </si>
  <si>
    <t>Stable Hand</t>
  </si>
  <si>
    <t>Stagecoach Driver</t>
  </si>
  <si>
    <t>stock clerk</t>
  </si>
  <si>
    <t>Taylor</t>
  </si>
  <si>
    <t>Teacher</t>
  </si>
  <si>
    <t>Telegraph Operator</t>
  </si>
  <si>
    <t>The Madam</t>
  </si>
  <si>
    <t>The Mysterious yet Helpful Stranger</t>
  </si>
  <si>
    <t>Town Councilor</t>
  </si>
  <si>
    <t>Town Crazy</t>
  </si>
  <si>
    <t>Town Cryer</t>
  </si>
  <si>
    <t>Town Drunk</t>
  </si>
  <si>
    <t>Toy Maker</t>
  </si>
  <si>
    <t>Train Station Crew</t>
  </si>
  <si>
    <t xml:space="preserve">Undertaker </t>
  </si>
  <si>
    <t>DAY</t>
  </si>
  <si>
    <t>Sunday</t>
  </si>
  <si>
    <t>Monday</t>
  </si>
  <si>
    <t>Tuesday</t>
  </si>
  <si>
    <t>Wednesday</t>
  </si>
  <si>
    <t>Thursday</t>
  </si>
  <si>
    <t>Friday</t>
  </si>
  <si>
    <t>Saturday</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</si>
  <si>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</si>
  <si>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</si>
  <si>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</si>
  <si>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</si>
  <si>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</si>
  <si>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</si>
  <si>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</si>
  <si>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</si>
  <si>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</si>
  <si>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</si>
  <si>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</si>
  <si>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</si>
  <si>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</si>
  <si>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</si>
  <si>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</si>
  <si>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</si>
  <si>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</si>
  <si>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</si>
  <si>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</si>
  <si>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</si>
  <si>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</si>
  <si>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</si>
  <si>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</si>
  <si>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</si>
  <si>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</si>
  <si>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</si>
  <si>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</si>
  <si>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</si>
  <si>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</si>
  <si>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</si>
  <si>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</si>
  <si>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</si>
  <si>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</si>
  <si>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</si>
  <si>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</si>
  <si>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</si>
  <si>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</si>
  <si>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</si>
  <si>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</si>
  <si>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</si>
  <si>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</si>
  <si>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</si>
  <si>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</si>
  <si>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</si>
  <si>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</si>
  <si>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</si>
  <si>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</si>
  <si>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</si>
  <si>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</si>
  <si>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</si>
  <si>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</si>
  <si>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</si>
  <si>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</si>
  <si>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</si>
  <si>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</si>
  <si>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</si>
  <si>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</si>
  <si>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</si>
  <si>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</si>
  <si>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</si>
  <si>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LETTERS</t>
  </si>
  <si>
    <t>A</t>
  </si>
  <si>
    <t>B</t>
  </si>
  <si>
    <t>C</t>
  </si>
  <si>
    <t>D</t>
  </si>
  <si>
    <t>E</t>
  </si>
  <si>
    <t>F</t>
  </si>
  <si>
    <t>G</t>
  </si>
  <si>
    <t>H</t>
  </si>
  <si>
    <t>I</t>
  </si>
  <si>
    <t>J</t>
  </si>
  <si>
    <t>K</t>
  </si>
  <si>
    <t>L</t>
  </si>
  <si>
    <t>M</t>
  </si>
  <si>
    <t>N</t>
  </si>
  <si>
    <t>O</t>
  </si>
  <si>
    <t>P</t>
  </si>
  <si>
    <t>Q</t>
  </si>
  <si>
    <t>R</t>
  </si>
  <si>
    <t>S</t>
  </si>
  <si>
    <t>T</t>
  </si>
  <si>
    <t>U</t>
  </si>
  <si>
    <t>V</t>
  </si>
  <si>
    <t>W</t>
  </si>
  <si>
    <t>X</t>
  </si>
  <si>
    <t>Y</t>
  </si>
  <si>
    <t>Z</t>
  </si>
  <si>
    <t>DECK</t>
  </si>
  <si>
    <t>Ace</t>
  </si>
  <si>
    <t>King</t>
  </si>
  <si>
    <t>Queen</t>
  </si>
  <si>
    <t>Jack</t>
  </si>
  <si>
    <t>Ten</t>
  </si>
  <si>
    <t>Nine</t>
  </si>
  <si>
    <t>Eight</t>
  </si>
  <si>
    <t>Seven</t>
  </si>
  <si>
    <t>Six</t>
  </si>
  <si>
    <t>Five</t>
  </si>
  <si>
    <t>Four</t>
  </si>
  <si>
    <t>Three</t>
  </si>
  <si>
    <t>Two</t>
  </si>
  <si>
    <t>SUITE</t>
  </si>
  <si>
    <t>Spades</t>
  </si>
  <si>
    <t>Hearts</t>
  </si>
  <si>
    <t>Diamonds</t>
  </si>
  <si>
    <t>Clubs</t>
  </si>
  <si>
    <t>MAGIC</t>
  </si>
  <si>
    <t>SECRET SOCIETIES</t>
  </si>
  <si>
    <t>Aes Sedai Ajahs</t>
  </si>
  <si>
    <t>Akatsuki</t>
  </si>
  <si>
    <t>Baroque Works</t>
  </si>
  <si>
    <t>Beta Phi Sigma</t>
  </si>
  <si>
    <t>BFS</t>
  </si>
  <si>
    <t>Black Ajah</t>
  </si>
  <si>
    <t>Black Feather Syndicate</t>
  </si>
  <si>
    <t>Blue Cosmos</t>
  </si>
  <si>
    <t>Brotherhood of the Cruciform Sword</t>
  </si>
  <si>
    <t>Central Anarchist Council</t>
  </si>
  <si>
    <t>Children of Lieutenant Schmidt Society</t>
  </si>
  <si>
    <t>Circle of the Black Thorn</t>
  </si>
  <si>
    <t>Committee to Unelect the Patrician</t>
  </si>
  <si>
    <t>CONTROL</t>
  </si>
  <si>
    <t>Council on Foreign Relations</t>
  </si>
  <si>
    <t>Darkfriends</t>
  </si>
  <si>
    <t>Dollhouse</t>
  </si>
  <si>
    <t>Dumbledore's Army</t>
  </si>
  <si>
    <t>Essex Junto</t>
  </si>
  <si>
    <t>Evil League of Evil</t>
  </si>
  <si>
    <t>F.T.W.</t>
  </si>
  <si>
    <t>FTL</t>
  </si>
  <si>
    <t>HYDRA</t>
  </si>
  <si>
    <t>KAOS</t>
  </si>
  <si>
    <t>K-Directorate</t>
  </si>
  <si>
    <t>Knights Templar</t>
  </si>
  <si>
    <t>LOGOS</t>
  </si>
  <si>
    <t>Majestic-12</t>
  </si>
  <si>
    <t>Meliorare Society</t>
  </si>
  <si>
    <t>Mensur</t>
  </si>
  <si>
    <t>Millennium Group</t>
  </si>
  <si>
    <t>Nine Unknown Men</t>
  </si>
  <si>
    <t>O.R.I.O.N.</t>
  </si>
  <si>
    <t>Opud Dei</t>
  </si>
  <si>
    <t>Order of the Dragon</t>
  </si>
  <si>
    <t>Order of the Phoenix</t>
  </si>
  <si>
    <t>Ordo Hyrda</t>
  </si>
  <si>
    <t>Round Table</t>
  </si>
  <si>
    <t>SD-6</t>
  </si>
  <si>
    <t>Second Foundation</t>
  </si>
  <si>
    <t>Secret Empire</t>
  </si>
  <si>
    <t>SEELE</t>
  </si>
  <si>
    <t>Sionis Prioratus</t>
  </si>
  <si>
    <t>Sisters of the Dark</t>
  </si>
  <si>
    <t>Sisters of the Light</t>
  </si>
  <si>
    <t>SPECTRE</t>
  </si>
  <si>
    <t>THRUSH</t>
  </si>
  <si>
    <t>Torchwood</t>
  </si>
  <si>
    <t>TRES</t>
  </si>
  <si>
    <t>Triads</t>
  </si>
  <si>
    <t>Tribulation Force</t>
  </si>
  <si>
    <t>Trilateral Commission</t>
  </si>
  <si>
    <t>United Network Command for Law and Enforcement</t>
  </si>
  <si>
    <t>V.F.D.</t>
  </si>
  <si>
    <t>W.A.S.T.E.</t>
  </si>
  <si>
    <t>W.E.B.</t>
  </si>
  <si>
    <t>FOBBS</t>
  </si>
  <si>
    <t>ring</t>
  </si>
  <si>
    <t>amulet</t>
  </si>
  <si>
    <t>key</t>
  </si>
  <si>
    <t>watch</t>
  </si>
  <si>
    <t>slip of paper</t>
  </si>
  <si>
    <t>medallion</t>
  </si>
  <si>
    <t>fobb</t>
  </si>
  <si>
    <t>gizmo</t>
  </si>
  <si>
    <t>card</t>
  </si>
  <si>
    <t>coin</t>
  </si>
  <si>
    <t>PICKPOCKET</t>
  </si>
  <si>
    <t>IN WILDERNESS</t>
  </si>
  <si>
    <t>Mary</t>
  </si>
  <si>
    <t>James</t>
  </si>
  <si>
    <t>Bev</t>
  </si>
  <si>
    <t>SUB-OPTIONS 1</t>
  </si>
  <si>
    <t>SUB-OPTIONS 2</t>
  </si>
  <si>
    <t>SUB-OPTIONS 3</t>
  </si>
  <si>
    <t>Alliance of 12</t>
  </si>
  <si>
    <t>Aquarium</t>
  </si>
  <si>
    <t>Assassins</t>
  </si>
  <si>
    <t>Aviary</t>
  </si>
  <si>
    <t>Awakened</t>
  </si>
  <si>
    <t>Bilberbergers</t>
  </si>
  <si>
    <t>Black Crusaders</t>
  </si>
  <si>
    <t>Bohemian Club</t>
  </si>
  <si>
    <t>Bookhouse Boys</t>
  </si>
  <si>
    <t>Brain Trust</t>
  </si>
  <si>
    <t>Brethren Court</t>
  </si>
  <si>
    <t>Brotherhood of Evil</t>
  </si>
  <si>
    <t>Club of Rome</t>
  </si>
  <si>
    <t>Consortium</t>
  </si>
  <si>
    <t>Covenant</t>
  </si>
  <si>
    <t>Death Eaters</t>
  </si>
  <si>
    <t>DHARMA Initiative</t>
  </si>
  <si>
    <t>Fathers and the Friends</t>
  </si>
  <si>
    <t>Fight Club</t>
  </si>
  <si>
    <t>Golden Dawn</t>
  </si>
  <si>
    <t>Guild of Calamitous Intent</t>
  </si>
  <si>
    <t>Illuminati</t>
  </si>
  <si>
    <t>Individual Eleven</t>
  </si>
  <si>
    <t>Inner Circle</t>
  </si>
  <si>
    <t>Ku Klux Klan</t>
  </si>
  <si>
    <t>League of Assassins</t>
  </si>
  <si>
    <t>League of Extraordinary Gentlemen</t>
  </si>
  <si>
    <t>League of Shadows</t>
  </si>
  <si>
    <t>Legion of Doom</t>
  </si>
  <si>
    <t>Mafia</t>
  </si>
  <si>
    <t>Order of Aurelius</t>
  </si>
  <si>
    <t>Order of Rose &amp; Grave</t>
  </si>
  <si>
    <t>Order of Rosenkreuz</t>
  </si>
  <si>
    <t>Order of Skull and Bones</t>
  </si>
  <si>
    <t>Order of St. Dumas</t>
  </si>
  <si>
    <t>Order of the Royal Protestant Knights</t>
  </si>
  <si>
    <t>Order of The White Lotus</t>
  </si>
  <si>
    <t>Others</t>
  </si>
  <si>
    <t>Patriots</t>
  </si>
  <si>
    <t>Philosophers</t>
  </si>
  <si>
    <t>Priory of Sion</t>
  </si>
  <si>
    <t>Ring</t>
  </si>
  <si>
    <t>Rosenkreutz Orden</t>
  </si>
  <si>
    <t>Rosicruians</t>
  </si>
  <si>
    <t>Seekers</t>
  </si>
  <si>
    <t>Seven Dials</t>
  </si>
  <si>
    <t>Sith</t>
  </si>
  <si>
    <t>Spider Society</t>
  </si>
  <si>
    <t>Stonecutters</t>
  </si>
  <si>
    <t>Stonemasons</t>
  </si>
  <si>
    <t>Talamasca</t>
  </si>
  <si>
    <t>Titular House of Flying Daggers</t>
  </si>
  <si>
    <t>Tomb &amp; Lantern</t>
  </si>
  <si>
    <t>Towa Orginzation</t>
  </si>
  <si>
    <t>Tritons</t>
  </si>
  <si>
    <t>Vigils</t>
  </si>
  <si>
    <t>Mammy Yokum's Yokumberry Tonic</t>
  </si>
  <si>
    <t>a gold pocket watch</t>
  </si>
  <si>
    <t>a cheep pocket watch</t>
  </si>
  <si>
    <t>a silver pocket watch</t>
  </si>
  <si>
    <t>chewing tobacco</t>
  </si>
  <si>
    <t>piece of string</t>
  </si>
  <si>
    <t>lock picks</t>
  </si>
  <si>
    <t>cheep lock picks</t>
  </si>
  <si>
    <t>expensive lock picks</t>
  </si>
  <si>
    <t>broken lock picks</t>
  </si>
  <si>
    <t>a skeleton key</t>
  </si>
  <si>
    <t>brass knuckles</t>
  </si>
  <si>
    <t>a list of city counsel members and how much they receive in bribe money per week</t>
  </si>
  <si>
    <t>a gaudy gold ring studded with diamonds with a faint magic aura, it causes memory loss, with previous day's events forgotten</t>
  </si>
  <si>
    <t>a deck of 52 playing cards with no twos but five threes, five sixes, five nines, and five Jacks</t>
  </si>
  <si>
    <t>gate pass for city gate after hours</t>
  </si>
  <si>
    <t>a napkin with a crude map on it, and the name of the tavern where the napkin came from</t>
  </si>
  <si>
    <t>pocket lint</t>
  </si>
  <si>
    <t>a claw from a monster the PCs are about to quest for</t>
  </si>
  <si>
    <t>a pair of glasses</t>
  </si>
  <si>
    <t>a monocle</t>
  </si>
  <si>
    <t>CHESS</t>
  </si>
  <si>
    <t>white</t>
  </si>
  <si>
    <t>BW</t>
  </si>
  <si>
    <t>black</t>
  </si>
  <si>
    <t>(magical)</t>
  </si>
  <si>
    <t>(non-magical)</t>
  </si>
  <si>
    <t>SUB-OPTIONS 4</t>
  </si>
  <si>
    <t>a jar of ink</t>
  </si>
  <si>
    <t>an apple core</t>
  </si>
  <si>
    <t>an arrow head</t>
  </si>
  <si>
    <t>a Horror Novel, Tool of the Reckoners: Character may gain a one time bonus level to their Occult, but must succeed 3 Gut Checks at a -4, failure means they must roll on the Scart Table.</t>
  </si>
  <si>
    <t>Adventures of Buffalo Bill From Boyhood to Manhood</t>
  </si>
  <si>
    <t>Deeds of Daring and Romantic Incidents in the Life if Wm. F. Cody</t>
  </si>
  <si>
    <t>California Joe, The Mysterious Plainsman</t>
  </si>
  <si>
    <t>The Boy Prospector</t>
  </si>
  <si>
    <t>Kit Burt's Mask</t>
  </si>
  <si>
    <t>The Phantom Horseman</t>
  </si>
  <si>
    <t>The Mad Hunter of Mohawk</t>
  </si>
  <si>
    <t>The Gray Scalp</t>
  </si>
  <si>
    <t>The Blackfoot Brave</t>
  </si>
  <si>
    <t>The Outlaw Ranger</t>
  </si>
  <si>
    <t>The Old Hunter's Last Trail</t>
  </si>
  <si>
    <t>A Romance of the Missouri Settlements</t>
  </si>
  <si>
    <t>The Silent Trapper</t>
  </si>
  <si>
    <t>Trapper Joe</t>
  </si>
  <si>
    <t>Tuscaloosa Sam</t>
  </si>
  <si>
    <t>Big Hearted Joe, An Indian Tale</t>
  </si>
  <si>
    <t>The Blazing Arrow</t>
  </si>
  <si>
    <t>The Death Rangers</t>
  </si>
  <si>
    <t>The Twin Trappers</t>
  </si>
  <si>
    <t>Deadwood Dick, the Prince of the Road</t>
  </si>
  <si>
    <t>Gold Rifle, The Sharpshooter</t>
  </si>
  <si>
    <t>Pawnee Bill, the Prairie Shadower</t>
  </si>
  <si>
    <t>Buffalo Bill's Drop</t>
  </si>
  <si>
    <t>Buffalo Bill's Texan Team</t>
  </si>
  <si>
    <t>Buffalo Bill, Kansas King</t>
  </si>
  <si>
    <t>The League of Seven</t>
  </si>
  <si>
    <t>DIME NOVELS</t>
  </si>
  <si>
    <t>a crowbar</t>
  </si>
  <si>
    <t>a pipe wrench</t>
  </si>
  <si>
    <t>an umbrella</t>
  </si>
  <si>
    <t>a hot water bottle</t>
  </si>
  <si>
    <t>a coffee mug</t>
  </si>
  <si>
    <t>a dust pan</t>
  </si>
  <si>
    <t>a hair piece</t>
  </si>
  <si>
    <t>a Teddy Bear</t>
  </si>
  <si>
    <t>Real Life Adventures of Isaac Stone, Volume 1, Issue 1</t>
  </si>
  <si>
    <t>Isaac Stone Hunts the Bengal Tiger, Volume 1, Issue 2, part 1</t>
  </si>
  <si>
    <t>Isaac's Eye, Volume 1, Issue 2, part 2</t>
  </si>
  <si>
    <t>El Diablo and Isaac Stone, Volume 1, Issue 2, part 3</t>
  </si>
  <si>
    <t>Isaac Stone, Safari-So Good, Volume 1, Issue 3</t>
  </si>
  <si>
    <t>Isaac Stone, The Monolithic Mercenary, Volume 2, Issue 1</t>
  </si>
  <si>
    <t>Stoney and the Humbug, Volume 3, Issue 4</t>
  </si>
  <si>
    <t>Isaac Stone and the Dread Jackalope, Volume 3, Issue 5</t>
  </si>
  <si>
    <t>Isaac Stone Meets the Night Raven, Volume 3, Issue 11</t>
  </si>
  <si>
    <t>Isaac Stone Goes to the Maze, Volume 3, Issue 13, part 1</t>
  </si>
  <si>
    <t>Isaac Stone and the Maze Pirates, Volume 3, Issue 13, part 2</t>
  </si>
  <si>
    <t>Ace Blane and the Maltese Bird of Prey</t>
  </si>
  <si>
    <t>Ace Blane, The Large Nap</t>
  </si>
  <si>
    <t>Ace Blane, Lock Largo</t>
  </si>
  <si>
    <t>a box of rat poison</t>
  </si>
  <si>
    <t>a clown nose</t>
  </si>
  <si>
    <t>a comb</t>
  </si>
  <si>
    <t>a corkscrew</t>
  </si>
  <si>
    <t>a doorknob</t>
  </si>
  <si>
    <t>an ear (freshly cut)</t>
  </si>
  <si>
    <t>a pair of scissors</t>
  </si>
  <si>
    <t>a sewing kit</t>
  </si>
  <si>
    <t>a wooden spoon</t>
  </si>
  <si>
    <t>a gasmask</t>
  </si>
  <si>
    <t>a spork</t>
  </si>
  <si>
    <t>a fork</t>
  </si>
  <si>
    <t>a butter knife</t>
  </si>
  <si>
    <t>a spoon</t>
  </si>
  <si>
    <t>a poem</t>
  </si>
  <si>
    <t>a unique item that can be traced</t>
  </si>
  <si>
    <t>clues (Marshal's discression)</t>
  </si>
  <si>
    <t>answers (i.e. a detail finally explained)</t>
  </si>
  <si>
    <t>character development</t>
  </si>
  <si>
    <t>NPC development</t>
  </si>
  <si>
    <t>doesn't fit</t>
  </si>
  <si>
    <t>fits</t>
  </si>
  <si>
    <t>a list of city lawmen and how much they receive in bribe money per week</t>
  </si>
  <si>
    <t>a list of county lawmen and how much they receive in bribe money per week</t>
  </si>
  <si>
    <t>a bag of roasted chestnuts</t>
  </si>
  <si>
    <t>an accounts ledger</t>
  </si>
  <si>
    <t>a polished box containing a lock of hair</t>
  </si>
  <si>
    <t>a piece of lapis lazuli</t>
  </si>
  <si>
    <t>a whetstone</t>
  </si>
  <si>
    <t>a fishhook and line</t>
  </si>
  <si>
    <t>an invitation</t>
  </si>
  <si>
    <t>a prayer wheel</t>
  </si>
  <si>
    <t>a golden feather</t>
  </si>
  <si>
    <t>a sketchbook containing several excellent sketches of people and animals</t>
  </si>
  <si>
    <t>a reliquary containing a piece of splintered bone</t>
  </si>
  <si>
    <t>a ball of twine</t>
  </si>
  <si>
    <t>an alchemical formula workbook</t>
  </si>
  <si>
    <t>a shopping list</t>
  </si>
  <si>
    <t>a racy novel</t>
  </si>
  <si>
    <t>a gold necklace</t>
  </si>
  <si>
    <t>a silver necklace</t>
  </si>
  <si>
    <t>a cheep necklace</t>
  </si>
  <si>
    <t>a pearl necklace</t>
  </si>
  <si>
    <t>a derringer</t>
  </si>
  <si>
    <t>a Peacemaker</t>
  </si>
  <si>
    <t>a bowie knife</t>
  </si>
  <si>
    <t>a compass</t>
  </si>
  <si>
    <t>a set of payer beads</t>
  </si>
  <si>
    <t>a crucifix</t>
  </si>
  <si>
    <t>a yo-yo</t>
  </si>
  <si>
    <t>a sewing needle and thread</t>
  </si>
  <si>
    <t>a piece of honeycomb in a small jar</t>
  </si>
  <si>
    <t>a small box of breath mints</t>
  </si>
  <si>
    <t>a personal note scribbled in incomprehensible handwriting</t>
  </si>
  <si>
    <t>a piece of chalk</t>
  </si>
  <si>
    <t>a lucky rabbit's foot</t>
  </si>
  <si>
    <t>a fountain pen</t>
  </si>
  <si>
    <t>a smoke bomb</t>
  </si>
  <si>
    <t>a tear gas bomb</t>
  </si>
  <si>
    <t>a flash bang</t>
  </si>
  <si>
    <t>a bar of soap</t>
  </si>
  <si>
    <t>Everclear Moonshine</t>
  </si>
  <si>
    <t>Horseshoe Whiskey</t>
  </si>
  <si>
    <t>Brandy Wine</t>
  </si>
  <si>
    <t>Whiskey</t>
  </si>
  <si>
    <t>Water</t>
  </si>
  <si>
    <t>Black Spirits</t>
  </si>
  <si>
    <t>Merlot Wine</t>
  </si>
  <si>
    <t>DRINKS</t>
  </si>
  <si>
    <t>a worn and battered backpack</t>
  </si>
  <si>
    <t>a spyglass (x2)</t>
  </si>
  <si>
    <t>a spyglass (x4)</t>
  </si>
  <si>
    <t>a pair of binoculars (x2)</t>
  </si>
  <si>
    <t>a pair of binoculars (x4)</t>
  </si>
  <si>
    <t>a pair ofinoculars (x6)</t>
  </si>
  <si>
    <t>a Bandoleer, empty</t>
  </si>
  <si>
    <t>a speed loader: Can fully load 1 pistol in a single action</t>
  </si>
  <si>
    <t xml:space="preserve">a holster </t>
  </si>
  <si>
    <t>a quickdraw holster</t>
  </si>
  <si>
    <t>a weapon cleaning kit</t>
  </si>
  <si>
    <t>a shotgun</t>
  </si>
  <si>
    <t>a machete</t>
  </si>
  <si>
    <t>a bolo</t>
  </si>
  <si>
    <t>a saber</t>
  </si>
  <si>
    <t>a whip</t>
  </si>
  <si>
    <t>a lariat</t>
  </si>
  <si>
    <t>a bedroll</t>
  </si>
  <si>
    <t>a tent</t>
  </si>
  <si>
    <t>a mess kit</t>
  </si>
  <si>
    <t>a pouch of coffee</t>
  </si>
  <si>
    <t>a bible</t>
  </si>
  <si>
    <t xml:space="preserve">a shovel </t>
  </si>
  <si>
    <t>a tin of lantern oil (1 pint)</t>
  </si>
  <si>
    <t xml:space="preserve">a lantern </t>
  </si>
  <si>
    <t xml:space="preserve">detonation wire </t>
  </si>
  <si>
    <t>an expensive backpack</t>
  </si>
  <si>
    <t>a cheep backpack</t>
  </si>
  <si>
    <t>meat</t>
  </si>
  <si>
    <t>bones</t>
  </si>
  <si>
    <t>heart</t>
  </si>
  <si>
    <t>foot</t>
  </si>
  <si>
    <t>HIDE</t>
  </si>
  <si>
    <t>cow</t>
  </si>
  <si>
    <t>antelope</t>
  </si>
  <si>
    <t>lamb</t>
  </si>
  <si>
    <t>elk</t>
  </si>
  <si>
    <t>wild boar</t>
  </si>
  <si>
    <t>wild cat</t>
  </si>
  <si>
    <t>beaver</t>
  </si>
  <si>
    <t>skin/hide</t>
  </si>
  <si>
    <t>claw/hoof/tusk/fang/horn</t>
  </si>
  <si>
    <t>FILL</t>
  </si>
  <si>
    <t>full</t>
  </si>
  <si>
    <t>half full</t>
  </si>
  <si>
    <t>3/4 full</t>
  </si>
  <si>
    <t>1/4 full</t>
  </si>
  <si>
    <t>empty</t>
  </si>
  <si>
    <t>(lucky)</t>
  </si>
  <si>
    <t>(un-lucky)</t>
  </si>
  <si>
    <t>LUCK</t>
  </si>
  <si>
    <t>an apple</t>
  </si>
  <si>
    <t>a basic tool box with hammer, drill, file, saw &amp; wrench</t>
  </si>
  <si>
    <t>a full tool box with hammer, drill, file, saw, axe, riddle &amp; wrench</t>
  </si>
  <si>
    <t>a camera</t>
  </si>
  <si>
    <t>a spirit camera</t>
  </si>
  <si>
    <t>Hoyle's Book of Games (1769)</t>
  </si>
  <si>
    <t>Hoyle's Book of Games (1780-1800)</t>
  </si>
  <si>
    <t>Hoyle's Book of Games (1801-1820)</t>
  </si>
  <si>
    <t>Hoyle's Book of Games (1821-1840)</t>
  </si>
  <si>
    <t>Hoyle's Book of Games (1841-1860)</t>
  </si>
  <si>
    <t>Hoyle's Book of Games (1861+)</t>
  </si>
  <si>
    <t>HOYLES</t>
  </si>
  <si>
    <t>NEWSPAPER</t>
  </si>
  <si>
    <t>Choose an Encounter Type:</t>
  </si>
  <si>
    <t>LOOT</t>
  </si>
  <si>
    <t>CHANGE</t>
  </si>
  <si>
    <t>.00</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</si>
  <si>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</si>
  <si>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</si>
  <si>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</si>
  <si>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</si>
  <si>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</si>
  <si>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</si>
  <si>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</si>
  <si>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</si>
  <si>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</si>
  <si>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</si>
  <si>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</si>
  <si>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</si>
  <si>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</si>
  <si>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</si>
  <si>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</si>
  <si>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</si>
  <si>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</si>
  <si>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</si>
  <si>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</si>
  <si>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</si>
  <si>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</si>
  <si>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</si>
  <si>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</si>
  <si>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</si>
  <si>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</si>
  <si>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</si>
  <si>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</si>
  <si>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</si>
  <si>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</si>
  <si>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</si>
  <si>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</si>
  <si>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</si>
  <si>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</si>
  <si>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</si>
  <si>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</si>
  <si>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</si>
  <si>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</si>
  <si>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</si>
  <si>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</si>
  <si>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</si>
  <si>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</si>
  <si>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</si>
  <si>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</si>
  <si>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</si>
  <si>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</si>
  <si>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</si>
  <si>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</si>
  <si>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</si>
  <si>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</si>
  <si>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.01</t>
  </si>
  <si>
    <t>.02</t>
  </si>
  <si>
    <t>.03</t>
  </si>
  <si>
    <t>.04</t>
  </si>
  <si>
    <t>.05</t>
  </si>
  <si>
    <t>.06</t>
  </si>
  <si>
    <t>.07</t>
  </si>
  <si>
    <t>.08</t>
  </si>
  <si>
    <t>.09</t>
  </si>
  <si>
    <t>.10</t>
  </si>
  <si>
    <t>.11</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</si>
  <si>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</si>
  <si>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</si>
  <si>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</si>
  <si>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</si>
  <si>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</si>
  <si>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</si>
  <si>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</si>
  <si>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</si>
  <si>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</si>
  <si>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</si>
  <si>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</si>
  <si>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</si>
  <si>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</si>
  <si>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</si>
  <si>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</si>
  <si>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</si>
  <si>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</si>
  <si>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</si>
  <si>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</si>
  <si>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</si>
  <si>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</si>
  <si>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</si>
  <si>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</si>
  <si>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</si>
  <si>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</si>
  <si>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</si>
  <si>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</si>
  <si>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</si>
  <si>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</si>
  <si>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</si>
  <si>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</si>
  <si>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</si>
  <si>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</si>
  <si>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</si>
  <si>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</si>
  <si>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</si>
  <si>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</si>
  <si>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</si>
  <si>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</si>
  <si>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DICE</t>
  </si>
  <si>
    <t>(loaded)</t>
  </si>
  <si>
    <t>(not loaded)</t>
  </si>
  <si>
    <t>MARKED</t>
  </si>
  <si>
    <t>(non-marked)</t>
  </si>
  <si>
    <t>(marked)</t>
  </si>
  <si>
    <t>a hanged man tarot card with a PC's name written in red across it</t>
  </si>
  <si>
    <t>a saddle</t>
  </si>
  <si>
    <t>a pair of saddle bags</t>
  </si>
  <si>
    <t>Ace Blane, Inexpensive P.I.</t>
  </si>
  <si>
    <t>Ace Blane, An Examination in Crimson</t>
  </si>
  <si>
    <t>Ace Blane, HINT!</t>
  </si>
  <si>
    <t>Isaac Stone in Wha-tussi Country (where the men grow as tall as trees, and the women prune them once a month), Volume 1, Issue 4</t>
  </si>
  <si>
    <t>Isaac Stone, Commander McBragg and the Yeti, Volume 1, Issue 7</t>
  </si>
  <si>
    <t>Isaac Stone: The Major, The Khuu Valley, And Why I Quit Safari-So-Good, Volume 1, Issue 8</t>
  </si>
  <si>
    <t>Isaac Takes the Blue, Volume 2, Issue 2</t>
  </si>
  <si>
    <t>Isaac Stone and the Plunder of the Mother Mountain Range, Volume 2, Issue 4</t>
  </si>
  <si>
    <t>Isaac Stone, A Handful of Moolaa, Volume 2, Issue 5, part 1</t>
  </si>
  <si>
    <t>Isaac Stone, For a Few Moolaa More, Volume 2, Issue 5, part 2</t>
  </si>
  <si>
    <t>Isaac Stone, The Honorable, the Evil and the Unsightly, Volume 2, Issue 5, part 3</t>
  </si>
  <si>
    <t>They Call Me Stoney, Volume 2, Issue 6</t>
  </si>
  <si>
    <t>Isaac Stone and the Queen of the Dark Cotenant, Volume 2, Issue 7</t>
  </si>
  <si>
    <t>Isaac Stone and the Thing Under the Bed, Volume 2, Issue 8</t>
  </si>
  <si>
    <t>Isaac Stone and the Deity’s Must Be Insane, Volume 2, Issue 10</t>
  </si>
  <si>
    <t>Stoney is STILL What They Call Me, Volume 2, Issue 11</t>
  </si>
  <si>
    <t>Ace Blane, Assassination by Killing</t>
  </si>
  <si>
    <t>Isaac Stone Meets Dr. Ross' Talking Ape, Volume 1, Issue 5</t>
  </si>
  <si>
    <t>The Walrus &amp; The Carpenter</t>
  </si>
  <si>
    <t>crate</t>
  </si>
  <si>
    <t>DATE</t>
  </si>
  <si>
    <t>MAGAZINE</t>
  </si>
  <si>
    <t>a fancy suit</t>
  </si>
  <si>
    <t>a ten gallon hat</t>
  </si>
  <si>
    <t>a bonnet</t>
  </si>
  <si>
    <t>a derby</t>
  </si>
  <si>
    <t>a fedora</t>
  </si>
  <si>
    <t>a sombrero</t>
  </si>
  <si>
    <t>a Stetson</t>
  </si>
  <si>
    <t>a top hat</t>
  </si>
  <si>
    <t>a cheap suit</t>
  </si>
  <si>
    <t>a lone sock</t>
  </si>
  <si>
    <t>a lone holey sock</t>
  </si>
  <si>
    <t>a heavy coat</t>
  </si>
  <si>
    <t>a tin star</t>
  </si>
  <si>
    <t>a Panama hat</t>
  </si>
  <si>
    <t>a boater</t>
  </si>
  <si>
    <t>a pith helmet</t>
  </si>
  <si>
    <t>CLOTHES</t>
  </si>
  <si>
    <t>HATS</t>
  </si>
  <si>
    <t>a light coat</t>
  </si>
  <si>
    <t>Apply to Palms one Hour Before Gambling. Guaranteed to Double Your Winnings</t>
  </si>
  <si>
    <t>The Guaranteed Cure for Stiff Joints, Wrenches, Dislocations, cuts and Bruises.</t>
  </si>
  <si>
    <t>a pack of love letters, all perfumed and wrapped with a red ribbon, the address on the envelopes is smeared by tears</t>
  </si>
  <si>
    <t>Tribune</t>
  </si>
  <si>
    <t>Cryer</t>
  </si>
  <si>
    <t>News</t>
  </si>
  <si>
    <t>Press</t>
  </si>
  <si>
    <t>Examiner</t>
  </si>
  <si>
    <t>Telegraph</t>
  </si>
  <si>
    <t>Gazette</t>
  </si>
  <si>
    <t>Ledger</t>
  </si>
  <si>
    <t>Register</t>
  </si>
  <si>
    <t>Inquirer</t>
  </si>
  <si>
    <t>Herald</t>
  </si>
  <si>
    <t>Times</t>
  </si>
  <si>
    <t>Post</t>
  </si>
  <si>
    <t>Gazetteer</t>
  </si>
  <si>
    <t>Prefix</t>
  </si>
  <si>
    <t>Middle</t>
  </si>
  <si>
    <t>Suffix</t>
  </si>
  <si>
    <t>Al</t>
  </si>
  <si>
    <t>ad</t>
  </si>
  <si>
    <t>ane</t>
  </si>
  <si>
    <t>An</t>
  </si>
  <si>
    <t>by</t>
  </si>
  <si>
    <t>any</t>
  </si>
  <si>
    <t>At</t>
  </si>
  <si>
    <t>chest</t>
  </si>
  <si>
    <t>ark</t>
  </si>
  <si>
    <t>Ban</t>
  </si>
  <si>
    <t>couv</t>
  </si>
  <si>
    <t>ary</t>
  </si>
  <si>
    <t>Bar</t>
  </si>
  <si>
    <t>din</t>
  </si>
  <si>
    <t>as</t>
  </si>
  <si>
    <t>Bel</t>
  </si>
  <si>
    <t>han</t>
  </si>
  <si>
    <t>burg</t>
  </si>
  <si>
    <t>Ber</t>
  </si>
  <si>
    <t>icks</t>
  </si>
  <si>
    <t>bury</t>
  </si>
  <si>
    <t>Bos</t>
  </si>
  <si>
    <t>ing</t>
  </si>
  <si>
    <t>dam</t>
  </si>
  <si>
    <t>Cal</t>
  </si>
  <si>
    <t>ix</t>
  </si>
  <si>
    <t>dell</t>
  </si>
  <si>
    <t>Can</t>
  </si>
  <si>
    <t>ka</t>
  </si>
  <si>
    <t>den</t>
  </si>
  <si>
    <t>Co</t>
  </si>
  <si>
    <t>kish</t>
  </si>
  <si>
    <t>don</t>
  </si>
  <si>
    <t>Cha</t>
  </si>
  <si>
    <t>lan</t>
  </si>
  <si>
    <t>er</t>
  </si>
  <si>
    <t>Dal</t>
  </si>
  <si>
    <t>lash</t>
  </si>
  <si>
    <t>fast</t>
  </si>
  <si>
    <t>Den</t>
  </si>
  <si>
    <t>on</t>
  </si>
  <si>
    <t>field</t>
  </si>
  <si>
    <t>Dor</t>
  </si>
  <si>
    <t>or</t>
  </si>
  <si>
    <t>hai</t>
  </si>
  <si>
    <t>Dub</t>
  </si>
  <si>
    <t>pen</t>
  </si>
  <si>
    <t>hagen</t>
  </si>
  <si>
    <t>East</t>
  </si>
  <si>
    <t>ron</t>
  </si>
  <si>
    <t>hill</t>
  </si>
  <si>
    <t>End</t>
  </si>
  <si>
    <t>th</t>
  </si>
  <si>
    <t>hold</t>
  </si>
  <si>
    <t>Eng</t>
  </si>
  <si>
    <t>tuck</t>
  </si>
  <si>
    <t>Far</t>
  </si>
  <si>
    <t>wick</t>
  </si>
  <si>
    <t>kirk</t>
  </si>
  <si>
    <t>Gar</t>
  </si>
  <si>
    <t>ym</t>
  </si>
  <si>
    <t>land</t>
  </si>
  <si>
    <t>Ger</t>
  </si>
  <si>
    <t xml:space="preserve"> </t>
  </si>
  <si>
    <t>las</t>
  </si>
  <si>
    <t>Hal</t>
  </si>
  <si>
    <t>lin</t>
  </si>
  <si>
    <t>Ham</t>
  </si>
  <si>
    <t>lem</t>
  </si>
  <si>
    <t>In</t>
  </si>
  <si>
    <t>mond</t>
  </si>
  <si>
    <t>Jo</t>
  </si>
  <si>
    <t>mont</t>
  </si>
  <si>
    <t>Ke</t>
  </si>
  <si>
    <t>more</t>
  </si>
  <si>
    <t>Ken</t>
  </si>
  <si>
    <t>mouth</t>
  </si>
  <si>
    <t>Ki</t>
  </si>
  <si>
    <t>Lan</t>
  </si>
  <si>
    <t>opolis</t>
  </si>
  <si>
    <t>Land</t>
  </si>
  <si>
    <t>ow</t>
  </si>
  <si>
    <t>Las</t>
  </si>
  <si>
    <t>pia</t>
  </si>
  <si>
    <t>Lon</t>
  </si>
  <si>
    <t>polis</t>
  </si>
  <si>
    <t>Los</t>
  </si>
  <si>
    <t>port</t>
  </si>
  <si>
    <t>Ma</t>
  </si>
  <si>
    <t>shire</t>
  </si>
  <si>
    <t>Man</t>
  </si>
  <si>
    <t>side</t>
  </si>
  <si>
    <t>Mer</t>
  </si>
  <si>
    <t>stan</t>
  </si>
  <si>
    <t>Min</t>
  </si>
  <si>
    <t>ta</t>
  </si>
  <si>
    <t>Mon</t>
  </si>
  <si>
    <t>to</t>
  </si>
  <si>
    <t>New</t>
  </si>
  <si>
    <t>ton</t>
  </si>
  <si>
    <t>Nor</t>
  </si>
  <si>
    <t>town</t>
  </si>
  <si>
    <t>Ol</t>
  </si>
  <si>
    <t>ville</t>
  </si>
  <si>
    <t>On</t>
  </si>
  <si>
    <t>vue</t>
  </si>
  <si>
    <t>Or</t>
  </si>
  <si>
    <t>wood</t>
  </si>
  <si>
    <t>Ost</t>
  </si>
  <si>
    <t>hallow</t>
  </si>
  <si>
    <t>Pit</t>
  </si>
  <si>
    <t>Per</t>
  </si>
  <si>
    <t>Por</t>
  </si>
  <si>
    <t>Qu</t>
  </si>
  <si>
    <t>Re</t>
  </si>
  <si>
    <t>Red</t>
  </si>
  <si>
    <t>Ro</t>
  </si>
  <si>
    <t>Sou</t>
  </si>
  <si>
    <t>Spa</t>
  </si>
  <si>
    <t>Spo</t>
  </si>
  <si>
    <t>Tor</t>
  </si>
  <si>
    <t>Un</t>
  </si>
  <si>
    <t>Val</t>
  </si>
  <si>
    <t>Van</t>
  </si>
  <si>
    <t>Wa</t>
  </si>
  <si>
    <t>Was</t>
  </si>
  <si>
    <t>Wes</t>
  </si>
  <si>
    <t>West</t>
  </si>
  <si>
    <t>Wo</t>
  </si>
  <si>
    <t>Yor</t>
  </si>
  <si>
    <t>Za</t>
  </si>
  <si>
    <t>North</t>
  </si>
  <si>
    <t>South</t>
  </si>
  <si>
    <t>TOWN NAME</t>
  </si>
  <si>
    <t>PAPER</t>
  </si>
  <si>
    <r>
      <t xml:space="preserve"> </t>
    </r>
    <r>
      <rPr>
        <b/>
        <i/>
        <sz val="12"/>
        <color indexed="8"/>
        <rFont val="High Tower Text"/>
        <family val="1"/>
      </rPr>
      <t xml:space="preserve">Dice </t>
    </r>
    <r>
      <rPr>
        <sz val="12"/>
        <rFont val="High Tower Text"/>
        <family val="1"/>
      </rPr>
      <t xml:space="preserve"> </t>
    </r>
  </si>
  <si>
    <r>
      <t xml:space="preserve"> </t>
    </r>
    <r>
      <rPr>
        <b/>
        <i/>
        <sz val="12"/>
        <color indexed="8"/>
        <rFont val="High Tower Text"/>
        <family val="1"/>
      </rPr>
      <t xml:space="preserve">Action </t>
    </r>
    <r>
      <rPr>
        <sz val="12"/>
        <rFont val="High Tower Text"/>
        <family val="1"/>
      </rPr>
      <t xml:space="preserve"> </t>
    </r>
  </si>
  <si>
    <r>
      <t xml:space="preserve"> </t>
    </r>
    <r>
      <rPr>
        <b/>
        <i/>
        <sz val="12"/>
        <color indexed="8"/>
        <rFont val="High Tower Text"/>
        <family val="1"/>
      </rPr>
      <t xml:space="preserve">Object </t>
    </r>
    <r>
      <rPr>
        <sz val="12"/>
        <rFont val="High Tower Text"/>
        <family val="1"/>
      </rPr>
      <t xml:space="preserve"> </t>
    </r>
  </si>
  <si>
    <r>
      <t xml:space="preserve"> </t>
    </r>
    <r>
      <rPr>
        <b/>
        <i/>
        <sz val="12"/>
        <color indexed="8"/>
        <rFont val="High Tower Text"/>
        <family val="1"/>
      </rPr>
      <t xml:space="preserve">Place </t>
    </r>
    <r>
      <rPr>
        <sz val="12"/>
        <rFont val="High Tower Text"/>
        <family val="1"/>
      </rPr>
      <t xml:space="preserve"> </t>
    </r>
  </si>
  <si>
    <r>
      <t xml:space="preserve"> </t>
    </r>
    <r>
      <rPr>
        <b/>
        <i/>
        <sz val="12"/>
        <color indexed="8"/>
        <rFont val="High Tower Text"/>
        <family val="1"/>
      </rPr>
      <t xml:space="preserve">Rider </t>
    </r>
    <r>
      <rPr>
        <sz val="12"/>
        <rFont val="High Tower Text"/>
        <family val="1"/>
      </rPr>
      <t xml:space="preserve"> </t>
    </r>
  </si>
  <si>
    <r>
      <t xml:space="preserve"> </t>
    </r>
    <r>
      <rPr>
        <sz val="12"/>
        <color indexed="8"/>
        <rFont val="High Tower Text"/>
        <family val="1"/>
      </rPr>
      <t xml:space="preserve">99 </t>
    </r>
    <r>
      <rPr>
        <sz val="12"/>
        <rFont val="High Tower Text"/>
        <family val="1"/>
      </rPr>
      <t xml:space="preserve"> </t>
    </r>
  </si>
  <si>
    <r>
      <t xml:space="preserve"> </t>
    </r>
    <r>
      <rPr>
        <sz val="12"/>
        <color indexed="8"/>
        <rFont val="High Tower Text"/>
        <family val="1"/>
      </rPr>
      <t xml:space="preserve">9T </t>
    </r>
    <r>
      <rPr>
        <sz val="12"/>
        <rFont val="High Tower Text"/>
        <family val="1"/>
      </rPr>
      <t xml:space="preserve"> </t>
    </r>
  </si>
  <si>
    <r>
      <t xml:space="preserve"> </t>
    </r>
    <r>
      <rPr>
        <sz val="12"/>
        <color indexed="8"/>
        <rFont val="High Tower Text"/>
        <family val="1"/>
      </rPr>
      <t xml:space="preserve">9J </t>
    </r>
    <r>
      <rPr>
        <sz val="12"/>
        <rFont val="High Tower Text"/>
        <family val="1"/>
      </rPr>
      <t xml:space="preserve"> </t>
    </r>
  </si>
  <si>
    <r>
      <t xml:space="preserve"> </t>
    </r>
    <r>
      <rPr>
        <sz val="12"/>
        <color indexed="8"/>
        <rFont val="High Tower Text"/>
        <family val="1"/>
      </rPr>
      <t xml:space="preserve">9Q </t>
    </r>
    <r>
      <rPr>
        <sz val="12"/>
        <rFont val="High Tower Text"/>
        <family val="1"/>
      </rPr>
      <t xml:space="preserve"> </t>
    </r>
  </si>
  <si>
    <r>
      <t xml:space="preserve"> </t>
    </r>
    <r>
      <rPr>
        <sz val="12"/>
        <color indexed="8"/>
        <rFont val="High Tower Text"/>
        <family val="1"/>
      </rPr>
      <t xml:space="preserve">9K </t>
    </r>
    <r>
      <rPr>
        <sz val="12"/>
        <rFont val="High Tower Text"/>
        <family val="1"/>
      </rPr>
      <t xml:space="preserve"> </t>
    </r>
  </si>
  <si>
    <r>
      <t xml:space="preserve"> </t>
    </r>
    <r>
      <rPr>
        <sz val="12"/>
        <color indexed="8"/>
        <rFont val="High Tower Text"/>
        <family val="1"/>
      </rPr>
      <t xml:space="preserve">9A </t>
    </r>
    <r>
      <rPr>
        <sz val="12"/>
        <rFont val="High Tower Text"/>
        <family val="1"/>
      </rPr>
      <t xml:space="preserve"> </t>
    </r>
  </si>
  <si>
    <r>
      <t xml:space="preserve"> </t>
    </r>
    <r>
      <rPr>
        <sz val="12"/>
        <color indexed="8"/>
        <rFont val="High Tower Text"/>
        <family val="1"/>
      </rPr>
      <t xml:space="preserve">TT </t>
    </r>
    <r>
      <rPr>
        <sz val="12"/>
        <rFont val="High Tower Text"/>
        <family val="1"/>
      </rPr>
      <t xml:space="preserve"> </t>
    </r>
  </si>
  <si>
    <r>
      <t xml:space="preserve"> </t>
    </r>
    <r>
      <rPr>
        <sz val="12"/>
        <color indexed="8"/>
        <rFont val="High Tower Text"/>
        <family val="1"/>
      </rPr>
      <t xml:space="preserve">TJ </t>
    </r>
    <r>
      <rPr>
        <sz val="12"/>
        <rFont val="High Tower Text"/>
        <family val="1"/>
      </rPr>
      <t xml:space="preserve"> </t>
    </r>
  </si>
  <si>
    <r>
      <t xml:space="preserve"> </t>
    </r>
    <r>
      <rPr>
        <sz val="12"/>
        <color indexed="8"/>
        <rFont val="High Tower Text"/>
        <family val="1"/>
      </rPr>
      <t xml:space="preserve">TQ </t>
    </r>
    <r>
      <rPr>
        <sz val="12"/>
        <rFont val="High Tower Text"/>
        <family val="1"/>
      </rPr>
      <t xml:space="preserve"> </t>
    </r>
  </si>
  <si>
    <r>
      <t xml:space="preserve"> </t>
    </r>
    <r>
      <rPr>
        <sz val="12"/>
        <color indexed="8"/>
        <rFont val="High Tower Text"/>
        <family val="1"/>
      </rPr>
      <t xml:space="preserve">TK </t>
    </r>
    <r>
      <rPr>
        <sz val="12"/>
        <rFont val="High Tower Text"/>
        <family val="1"/>
      </rPr>
      <t xml:space="preserve"> </t>
    </r>
  </si>
  <si>
    <r>
      <t xml:space="preserve"> </t>
    </r>
    <r>
      <rPr>
        <sz val="12"/>
        <color indexed="8"/>
        <rFont val="High Tower Text"/>
        <family val="1"/>
      </rPr>
      <t xml:space="preserve">TA </t>
    </r>
    <r>
      <rPr>
        <sz val="12"/>
        <rFont val="High Tower Text"/>
        <family val="1"/>
      </rPr>
      <t xml:space="preserve"> </t>
    </r>
  </si>
  <si>
    <r>
      <t xml:space="preserve"> </t>
    </r>
    <r>
      <rPr>
        <sz val="12"/>
        <color indexed="8"/>
        <rFont val="High Tower Text"/>
        <family val="1"/>
      </rPr>
      <t xml:space="preserve">JJ </t>
    </r>
    <r>
      <rPr>
        <sz val="12"/>
        <rFont val="High Tower Text"/>
        <family val="1"/>
      </rPr>
      <t xml:space="preserve"> </t>
    </r>
  </si>
  <si>
    <r>
      <t xml:space="preserve"> </t>
    </r>
    <r>
      <rPr>
        <sz val="12"/>
        <color indexed="8"/>
        <rFont val="High Tower Text"/>
        <family val="1"/>
      </rPr>
      <t xml:space="preserve">JQ </t>
    </r>
    <r>
      <rPr>
        <sz val="12"/>
        <rFont val="High Tower Text"/>
        <family val="1"/>
      </rPr>
      <t xml:space="preserve"> </t>
    </r>
  </si>
  <si>
    <r>
      <t xml:space="preserve"> </t>
    </r>
    <r>
      <rPr>
        <sz val="12"/>
        <color indexed="8"/>
        <rFont val="High Tower Text"/>
        <family val="1"/>
      </rPr>
      <t xml:space="preserve">JK </t>
    </r>
    <r>
      <rPr>
        <sz val="12"/>
        <rFont val="High Tower Text"/>
        <family val="1"/>
      </rPr>
      <t xml:space="preserve"> </t>
    </r>
  </si>
  <si>
    <r>
      <t xml:space="preserve"> </t>
    </r>
    <r>
      <rPr>
        <sz val="12"/>
        <color indexed="8"/>
        <rFont val="High Tower Text"/>
        <family val="1"/>
      </rPr>
      <t xml:space="preserve">JA </t>
    </r>
    <r>
      <rPr>
        <sz val="12"/>
        <rFont val="High Tower Text"/>
        <family val="1"/>
      </rPr>
      <t xml:space="preserve"> </t>
    </r>
  </si>
  <si>
    <r>
      <t xml:space="preserve"> </t>
    </r>
    <r>
      <rPr>
        <sz val="12"/>
        <color indexed="8"/>
        <rFont val="High Tower Text"/>
        <family val="1"/>
      </rPr>
      <t xml:space="preserve">QQ </t>
    </r>
    <r>
      <rPr>
        <sz val="12"/>
        <rFont val="High Tower Text"/>
        <family val="1"/>
      </rPr>
      <t xml:space="preserve"> </t>
    </r>
  </si>
  <si>
    <r>
      <t xml:space="preserve"> </t>
    </r>
    <r>
      <rPr>
        <sz val="12"/>
        <color indexed="8"/>
        <rFont val="High Tower Text"/>
        <family val="1"/>
      </rPr>
      <t xml:space="preserve">QK </t>
    </r>
    <r>
      <rPr>
        <sz val="12"/>
        <rFont val="High Tower Text"/>
        <family val="1"/>
      </rPr>
      <t xml:space="preserve"> </t>
    </r>
  </si>
  <si>
    <r>
      <t xml:space="preserve"> </t>
    </r>
    <r>
      <rPr>
        <sz val="12"/>
        <color indexed="8"/>
        <rFont val="High Tower Text"/>
        <family val="1"/>
      </rPr>
      <t xml:space="preserve">QA </t>
    </r>
    <r>
      <rPr>
        <sz val="12"/>
        <rFont val="High Tower Text"/>
        <family val="1"/>
      </rPr>
      <t xml:space="preserve"> </t>
    </r>
  </si>
  <si>
    <r>
      <t xml:space="preserve"> </t>
    </r>
    <r>
      <rPr>
        <sz val="12"/>
        <color indexed="8"/>
        <rFont val="High Tower Text"/>
        <family val="1"/>
      </rPr>
      <t xml:space="preserve">KK </t>
    </r>
    <r>
      <rPr>
        <sz val="12"/>
        <rFont val="High Tower Text"/>
        <family val="1"/>
      </rPr>
      <t xml:space="preserve"> </t>
    </r>
  </si>
  <si>
    <r>
      <t xml:space="preserve"> </t>
    </r>
    <r>
      <rPr>
        <sz val="12"/>
        <color indexed="8"/>
        <rFont val="High Tower Text"/>
        <family val="1"/>
      </rPr>
      <t xml:space="preserve">KA </t>
    </r>
    <r>
      <rPr>
        <sz val="12"/>
        <rFont val="High Tower Text"/>
        <family val="1"/>
      </rPr>
      <t xml:space="preserve"> </t>
    </r>
  </si>
  <si>
    <r>
      <t xml:space="preserve"> </t>
    </r>
    <r>
      <rPr>
        <sz val="12"/>
        <color indexed="8"/>
        <rFont val="High Tower Text"/>
        <family val="1"/>
      </rPr>
      <t xml:space="preserve">AA </t>
    </r>
    <r>
      <rPr>
        <sz val="12"/>
        <rFont val="High Tower Text"/>
        <family val="1"/>
      </rPr>
      <t xml:space="preserve"> </t>
    </r>
  </si>
  <si>
    <t>BONUS</t>
  </si>
  <si>
    <t>Goat</t>
  </si>
  <si>
    <t>GAME</t>
  </si>
  <si>
    <t>armadillo</t>
  </si>
  <si>
    <t>bear, black</t>
  </si>
  <si>
    <t>bear, grizzly</t>
  </si>
  <si>
    <t>big horn</t>
  </si>
  <si>
    <t xml:space="preserve">buffalo </t>
  </si>
  <si>
    <t xml:space="preserve">cow </t>
  </si>
  <si>
    <t xml:space="preserve">coyote </t>
  </si>
  <si>
    <t>crow</t>
  </si>
  <si>
    <t>duck</t>
  </si>
  <si>
    <t>eagle</t>
  </si>
  <si>
    <t>gull</t>
  </si>
  <si>
    <t>hawk</t>
  </si>
  <si>
    <t>owl</t>
  </si>
  <si>
    <t xml:space="preserve">rattlesnake </t>
  </si>
  <si>
    <t>vulture</t>
  </si>
  <si>
    <t xml:space="preserve">wolf </t>
  </si>
  <si>
    <t xml:space="preserve">wolverine </t>
  </si>
  <si>
    <t>Animate Hand</t>
  </si>
  <si>
    <t>Automaton</t>
  </si>
  <si>
    <t>Aztec Mummy</t>
  </si>
  <si>
    <t>Black Regiment</t>
  </si>
  <si>
    <t>Bloodwire</t>
  </si>
  <si>
    <t>Bloody Ones</t>
  </si>
  <si>
    <t>Bogie Man</t>
  </si>
  <si>
    <t>Bone Fiend</t>
  </si>
  <si>
    <t>Braincrawler</t>
  </si>
  <si>
    <t>Canker</t>
  </si>
  <si>
    <t>Carcajou</t>
  </si>
  <si>
    <t>Catamount</t>
  </si>
  <si>
    <t>Chinook</t>
  </si>
  <si>
    <t>Chupakabara</t>
  </si>
  <si>
    <t>Clockwork Tarantulas</t>
  </si>
  <si>
    <t>Corn Stalker</t>
  </si>
  <si>
    <t>Demon</t>
  </si>
  <si>
    <t>Desert Thing</t>
  </si>
  <si>
    <t>Devil Bats</t>
  </si>
  <si>
    <t>Devil Ray</t>
  </si>
  <si>
    <t>Dread Wolf</t>
  </si>
  <si>
    <t>Dust Devil</t>
  </si>
  <si>
    <t>Flesh Jacket</t>
  </si>
  <si>
    <t>Gabriel Hound</t>
  </si>
  <si>
    <t>Gaki</t>
  </si>
  <si>
    <t>Ghost</t>
  </si>
  <si>
    <t>Ghoul</t>
  </si>
  <si>
    <t>Giant Octopus</t>
  </si>
  <si>
    <t>Giant Saltwater Crocodile</t>
  </si>
  <si>
    <t>Giant Shark</t>
  </si>
  <si>
    <t>Gremlins</t>
  </si>
  <si>
    <t>Horned Serpent</t>
  </si>
  <si>
    <t>Humbug</t>
  </si>
  <si>
    <t>Jackalope</t>
  </si>
  <si>
    <t>Los Diablo</t>
  </si>
  <si>
    <t>Maze Dragon</t>
  </si>
  <si>
    <t>Mourning Mist</t>
  </si>
  <si>
    <t>Mudsucker</t>
  </si>
  <si>
    <t>Night Haunts</t>
  </si>
  <si>
    <t>Night Horror</t>
  </si>
  <si>
    <t>Night Raven</t>
  </si>
  <si>
    <t>Patchwork Man</t>
  </si>
  <si>
    <t>Pit Wasp</t>
  </si>
  <si>
    <t>Poison Woman</t>
  </si>
  <si>
    <t>Pole Man</t>
  </si>
  <si>
    <t>Pox Walker</t>
  </si>
  <si>
    <t>Prairie Tick Hatchling Swarm</t>
  </si>
  <si>
    <t>Prairie Tick Queen</t>
  </si>
  <si>
    <t>Replicant</t>
  </si>
  <si>
    <t>River Leviathan</t>
  </si>
  <si>
    <t>Sand Viper</t>
  </si>
  <si>
    <t>Sasquatch</t>
  </si>
  <si>
    <t>Scarecrow</t>
  </si>
  <si>
    <t>Sin Eater</t>
  </si>
  <si>
    <t>Siren</t>
  </si>
  <si>
    <t>Skinwalker</t>
  </si>
  <si>
    <t>Terrantula</t>
  </si>
  <si>
    <t>Texas Skeeter</t>
  </si>
  <si>
    <t>Texas Tummy Twister</t>
  </si>
  <si>
    <t>Tommyknocker</t>
  </si>
  <si>
    <t>Tunnel Critter, Adult</t>
  </si>
  <si>
    <t>Tunnel Critter, Elder</t>
  </si>
  <si>
    <t>Tunnel Critter, Young</t>
  </si>
  <si>
    <t>Uktena</t>
  </si>
  <si>
    <t>Weeping Widow</t>
  </si>
  <si>
    <t>Wereshark</t>
  </si>
  <si>
    <t>Werewolf</t>
  </si>
  <si>
    <t>Wolfling</t>
  </si>
  <si>
    <t>’Glom</t>
  </si>
  <si>
    <t>Hangin’ Judge</t>
  </si>
  <si>
    <t>Rattler Young ’Uns</t>
  </si>
  <si>
    <t>Walkin’ Dead</t>
  </si>
  <si>
    <t>Walkin’ Fossil</t>
  </si>
  <si>
    <t>Animal Men</t>
  </si>
  <si>
    <t>Headless Horseman</t>
  </si>
  <si>
    <t>Mexican Dragon</t>
  </si>
  <si>
    <t>Murderous Horde</t>
  </si>
  <si>
    <t>Stone Man</t>
  </si>
  <si>
    <t>Tarnished Phantasy</t>
  </si>
  <si>
    <t>Terrormental</t>
  </si>
  <si>
    <t>Two-Faces</t>
  </si>
  <si>
    <t>Union Pride Ghost Train</t>
  </si>
  <si>
    <t xml:space="preserve">Dark Beast </t>
  </si>
  <si>
    <t xml:space="preserve">Nagual </t>
  </si>
  <si>
    <t>Gargantuan Terrantula</t>
  </si>
  <si>
    <t>The Thing</t>
  </si>
  <si>
    <t>Piasa</t>
  </si>
  <si>
    <t xml:space="preserve">Blob </t>
  </si>
  <si>
    <t>Hellfish</t>
  </si>
  <si>
    <t>The Unquiet Dead</t>
  </si>
  <si>
    <t xml:space="preserve">Desiccated Dead </t>
  </si>
  <si>
    <t xml:space="preserve">Feral Walk’ Dead </t>
  </si>
  <si>
    <t xml:space="preserve">Orphaned Heads </t>
  </si>
  <si>
    <t xml:space="preserve">Skeletons </t>
  </si>
  <si>
    <t>Mummies</t>
  </si>
  <si>
    <t xml:space="preserve">Banshee </t>
  </si>
  <si>
    <t xml:space="preserve">Phantom </t>
  </si>
  <si>
    <t xml:space="preserve">Poltergeists </t>
  </si>
  <si>
    <t xml:space="preserve">Shades </t>
  </si>
  <si>
    <t xml:space="preserve">Specters </t>
  </si>
  <si>
    <t xml:space="preserve">Living Houses </t>
  </si>
  <si>
    <t xml:space="preserve">Utenka </t>
  </si>
  <si>
    <t xml:space="preserve">Little People </t>
  </si>
  <si>
    <t xml:space="preserve">Doom Clouds </t>
  </si>
  <si>
    <t xml:space="preserve">Paranoia </t>
  </si>
  <si>
    <t>Terrantula, large</t>
  </si>
  <si>
    <t>Terrantula Swarm, small</t>
  </si>
  <si>
    <t>Give</t>
  </si>
  <si>
    <t>Protect</t>
  </si>
  <si>
    <t>Gold</t>
  </si>
  <si>
    <t>Mine</t>
  </si>
  <si>
    <t>Ambush</t>
  </si>
  <si>
    <t>Cave</t>
  </si>
  <si>
    <t>Night</t>
  </si>
  <si>
    <t>Kill</t>
  </si>
  <si>
    <t>Daughter</t>
  </si>
  <si>
    <t>River</t>
  </si>
  <si>
    <t>Day</t>
  </si>
  <si>
    <t>Rescue</t>
  </si>
  <si>
    <t>Brother</t>
  </si>
  <si>
    <t>Stream</t>
  </si>
  <si>
    <t>Solstice</t>
  </si>
  <si>
    <t>Kidnap</t>
  </si>
  <si>
    <t>Sister</t>
  </si>
  <si>
    <t>Equinox</t>
  </si>
  <si>
    <t>Investigate</t>
  </si>
  <si>
    <t>Wife</t>
  </si>
  <si>
    <t>Mountain</t>
  </si>
  <si>
    <t>Events</t>
  </si>
  <si>
    <t>Solve</t>
  </si>
  <si>
    <t>Whore</t>
  </si>
  <si>
    <t>Hills</t>
  </si>
  <si>
    <t>Coerce</t>
  </si>
  <si>
    <t>Mystery</t>
  </si>
  <si>
    <t>Ship</t>
  </si>
  <si>
    <t>Legends</t>
  </si>
  <si>
    <t>Persuade</t>
  </si>
  <si>
    <t>Letter</t>
  </si>
  <si>
    <t>Forest</t>
  </si>
  <si>
    <t>Stories</t>
  </si>
  <si>
    <t>Find</t>
  </si>
  <si>
    <t>Deeds</t>
  </si>
  <si>
    <t>Town</t>
  </si>
  <si>
    <t>disappearance</t>
  </si>
  <si>
    <t>Destroy</t>
  </si>
  <si>
    <t>Map</t>
  </si>
  <si>
    <t>Camp</t>
  </si>
  <si>
    <t>Theft</t>
  </si>
  <si>
    <t>Escape</t>
  </si>
  <si>
    <t>Gun</t>
  </si>
  <si>
    <t>City</t>
  </si>
  <si>
    <t>Secrets</t>
  </si>
  <si>
    <t>Avoid</t>
  </si>
  <si>
    <t>Fort</t>
  </si>
  <si>
    <t>Intercept</t>
  </si>
  <si>
    <t>Weekday</t>
  </si>
  <si>
    <t>Hide</t>
  </si>
  <si>
    <t>Grain</t>
  </si>
  <si>
    <t>Store</t>
  </si>
  <si>
    <t>Trust</t>
  </si>
  <si>
    <t>Steal</t>
  </si>
  <si>
    <t>Booze</t>
  </si>
  <si>
    <t>Stable</t>
  </si>
  <si>
    <t>Relationship</t>
  </si>
  <si>
    <t>Use</t>
  </si>
  <si>
    <t>Horse</t>
  </si>
  <si>
    <t>Corral</t>
  </si>
  <si>
    <t>Holiday</t>
  </si>
  <si>
    <t>Buy</t>
  </si>
  <si>
    <t>Ranch</t>
  </si>
  <si>
    <t>Work</t>
  </si>
  <si>
    <t>Sell</t>
  </si>
  <si>
    <t>Railroad</t>
  </si>
  <si>
    <t>Business</t>
  </si>
  <si>
    <t>Scare</t>
  </si>
  <si>
    <t>Bandit</t>
  </si>
  <si>
    <t>Station</t>
  </si>
  <si>
    <t>Worship</t>
  </si>
  <si>
    <t>Indian</t>
  </si>
  <si>
    <t>Bid</t>
  </si>
  <si>
    <t>Double Cross</t>
  </si>
  <si>
    <t>A pack of youngsters dressed for a formal event emerge from a building and head on down the street.</t>
  </si>
  <si>
    <t>CREATURE</t>
  </si>
  <si>
    <t>HUNT</t>
  </si>
  <si>
    <t>4/3/2011: Added 60 more "In Town" Encounters</t>
  </si>
  <si>
    <t>UPDATES:</t>
  </si>
  <si>
    <t>Mojave Rattler</t>
  </si>
  <si>
    <t>The Posse is trekking through the wilderness and come to a ravine. A wooden-rope bridge once spanned the chasm, but now only one side of the bridge remains--basically two ropes, one 3 feet above the other spanning the gulf.  The Posse can go around, but it will add a day or two to their trek. They can scale down into the ravine, but are faced with the prospect of crossing the raging river that runs thru it.</t>
  </si>
  <si>
    <t>Two small children run pass yelling "Bang, Bang" as they shoot each other with wooden guns.</t>
  </si>
  <si>
    <t>a snipe</t>
  </si>
  <si>
    <t>an armadillo</t>
  </si>
  <si>
    <t>a badger</t>
  </si>
  <si>
    <t>a bobcat</t>
  </si>
  <si>
    <t>a cougar</t>
  </si>
  <si>
    <t>a flying squirrel</t>
  </si>
  <si>
    <t>a fox</t>
  </si>
  <si>
    <t>a jaguar</t>
  </si>
  <si>
    <t>a kingsnake</t>
  </si>
  <si>
    <t>a lynx</t>
  </si>
  <si>
    <t>an ocelot</t>
  </si>
  <si>
    <t>a puma</t>
  </si>
  <si>
    <t xml:space="preserve">a rattlesnake </t>
  </si>
  <si>
    <t>a snake</t>
  </si>
  <si>
    <t>a wild cat</t>
  </si>
  <si>
    <t xml:space="preserve">a wolverine </t>
  </si>
  <si>
    <t>an alligator</t>
  </si>
  <si>
    <t>a crocodile</t>
  </si>
  <si>
    <t>A ham and cheese sandwich</t>
  </si>
  <si>
    <t>A ham and cheese sandwich.</t>
  </si>
  <si>
    <t>The Cover and Blinds of Gotham</t>
  </si>
  <si>
    <t>a ham and cheese sandwich.</t>
  </si>
  <si>
    <t>.</t>
  </si>
  <si>
    <t>MONTH</t>
  </si>
  <si>
    <t>January</t>
  </si>
  <si>
    <t>February</t>
  </si>
  <si>
    <t>March</t>
  </si>
  <si>
    <t>April</t>
  </si>
  <si>
    <t>May</t>
  </si>
  <si>
    <t>June</t>
  </si>
  <si>
    <t>July</t>
  </si>
  <si>
    <t>August</t>
  </si>
  <si>
    <t>September</t>
  </si>
  <si>
    <t>October</t>
  </si>
  <si>
    <t>November</t>
  </si>
  <si>
    <t>December</t>
  </si>
  <si>
    <t>9/14/2011: added Magazines to the Tables tab</t>
  </si>
  <si>
    <t>9/12/2011: added "Hunt" encounter. Added Creature &amp; Hunt to the Tables tab</t>
  </si>
  <si>
    <t>a hanky</t>
  </si>
  <si>
    <t>a used hanky</t>
  </si>
  <si>
    <t>1.00</t>
  </si>
  <si>
    <t>BOOK</t>
  </si>
  <si>
    <t>8/5/2011 added "Loot" &amp; "Pickpocket" encounters</t>
  </si>
  <si>
    <t>A dangerous-looking raccoon has claimed an apple cart as the merchant beseeches Posse.</t>
  </si>
  <si>
    <t>A hawk can be seen flying down the "canyon" formed by the tall buildings on either side of the street, only a few scant feet above the pedestrians.</t>
  </si>
  <si>
    <t>A known crime boss sits and reads while a sweating shoe shine boy buffs and casts the Posse worried looks.</t>
  </si>
  <si>
    <t>A mob of children gather round a character openly trying to pick his pocket, each of them going for a different pocket. They count on people not wanting to hit children to get away with it.</t>
  </si>
  <si>
    <t>A pimp accuses one of the Posse: "you messin' with my woman?"</t>
  </si>
  <si>
    <t>A woman in an elaborate dress is having her picture taken by a photographer in the park.</t>
  </si>
  <si>
    <t>In front of the Posse is a blockade. Locals mutter and curse, if they turn a corner they find a completely abandoned street. About half a block in, even sound stops. In the center is a construction barrier around a sinkhole.</t>
  </si>
  <si>
    <t>Two young lovers run up to each other and begin a serious display of public affection.</t>
  </si>
  <si>
    <t>While walking past a Catholic School in midwinter, a snowball hits a Posse member in back. An elderly nun ambles about nonchalantly.</t>
  </si>
  <si>
    <t>A famous adventurer was found dead outside the main gate and his body laid to rest in one of the churches. What’s he doing walking into the tavern? And why is he coming toward the Posse’s table?</t>
  </si>
  <si>
    <t>The Celebrated Jumping Frog of Calaveras County, by Mark Twain {1867}</t>
  </si>
  <si>
    <t>General Washington's Negro Body-Servant, by Mark Twain {1868}</t>
  </si>
  <si>
    <t>My Late Senatorial Secretaryship, by Mark Twain {1868}</t>
  </si>
  <si>
    <t>The Innocents Abroad, by Mark Twain {1869}</t>
  </si>
  <si>
    <t>Memoranda, by Mark Twain {1870}</t>
  </si>
  <si>
    <t>Mark Twain's Burlesque Autobiography and First Romance, by Mark Twain {1871}</t>
  </si>
  <si>
    <t>Roughing It, by Mark Twain {1872}</t>
  </si>
  <si>
    <t>The Gilded Age: A Tale of Today, by Mark Twain {1873}</t>
  </si>
  <si>
    <t>Sketches New and Old, by Mark Twain {1875}</t>
  </si>
  <si>
    <t>Some Learned Fables for Good Old Boys and Girls, by Mark Twain {1875}</t>
  </si>
  <si>
    <t>Old Times on the Mississippi, by Mark Twain {1876}</t>
  </si>
  <si>
    <t>The Invalid's Story, by Mark Twain {1877}</t>
  </si>
  <si>
    <t>Punch, Brothers, Punch! and other Sketches, by Mark Twain {1878}</t>
  </si>
  <si>
    <t>The Great Revolution in Pitcairn, by Mark Twain {1879}</t>
  </si>
  <si>
    <t>1601: Conversation, as it was by the Social Fireside, in the Time of the Tudors, by Mark Twain {1880}</t>
  </si>
  <si>
    <t>A Tramp Abroad, by Mark Twain {1880}</t>
  </si>
  <si>
    <t>Sense and Sensibility, by Jane Austen {1811}</t>
  </si>
  <si>
    <t>Pride and Prejudice, by Jane Austen {1813}</t>
  </si>
  <si>
    <t>Mansfield Park, by Jane Austen {1814}</t>
  </si>
  <si>
    <t>Emma, by Jane Austen {1815}</t>
  </si>
  <si>
    <t>Northanger Abbey, by Jane Austen {1817}</t>
  </si>
  <si>
    <t>Persuasion, by Jane Austen {1818}</t>
  </si>
  <si>
    <t>Oliver Twist, by Charles Dickens {1837}</t>
  </si>
  <si>
    <t>The Count of Monte Cristo, by Alexandre Dumas {1844}</t>
  </si>
  <si>
    <t>The Three Musketeers, by Alexandre Dumas {1844}</t>
  </si>
  <si>
    <t>Wuthering Heights, by Emily Brontë {1847}</t>
  </si>
  <si>
    <t>Jane Eyre, by Charlotte Brontë {1847}</t>
  </si>
  <si>
    <t>Vanity Fair, by William Makepeace Thackeray {1848}</t>
  </si>
  <si>
    <t>David Copperfield, by Charles Dickens {1849}</t>
  </si>
  <si>
    <t>The Scarlet Letter, by Nathaniel Hawthorne {1850}</t>
  </si>
  <si>
    <t>Moby-Dick or, The Whale, by Herman Melville {1851}</t>
  </si>
  <si>
    <t>Uncle Tom's Cabin, by Harriet Beecher Stowe {1852}</t>
  </si>
  <si>
    <t>Villette, by Charlotte Brontë {1853}</t>
  </si>
  <si>
    <t>North and South, by Elizabeth Gaskell {1855}</t>
  </si>
  <si>
    <t>Madame Bovary, by Gustave Flaubert {1856}</t>
  </si>
  <si>
    <t>A Tale of Two Cities, by Charles Dickens {1859}</t>
  </si>
  <si>
    <t>The Woman in White, by Wilkie Collins {1859}</t>
  </si>
  <si>
    <t>Great Expectations, by Charles Dickens {1861}</t>
  </si>
  <si>
    <t>Les Misérables, by Victor Hugo {1862}</t>
  </si>
  <si>
    <t>Crime and Punishment, by Fyodor Dostoyevsky {1866}</t>
  </si>
  <si>
    <t>Little Women, by Louisa May Alcott {1868}</t>
  </si>
  <si>
    <t>War and Peace, by Leo Tolstoy {1869}</t>
  </si>
  <si>
    <t>Middlemarch, by George Eliot {1871}</t>
  </si>
  <si>
    <t>Anna Karenina, by Leo Tolstoy {1873}</t>
  </si>
  <si>
    <t>Around the World in Eighty Days, by Jules Verne {1873}</t>
  </si>
  <si>
    <t>Far from the Madding Crowd, by Thomas Hardy {1874}</t>
  </si>
  <si>
    <t>The Return of the Native, by Thomas Hardy {1878}</t>
  </si>
  <si>
    <t>A field of the most beautiful orange flowers that the Posse has ever seen.</t>
  </si>
  <si>
    <t>12/23/09: Added "NPC" Encounters</t>
  </si>
  <si>
    <t>Children have gone missing, there is a reward for their safe rescue.</t>
  </si>
  <si>
    <t>A sighting of a flying creature has provoked some intrigue and fear in the town, there is a reward for finding proof of this mysterious creature.</t>
  </si>
  <si>
    <t>A beautiful woman is accused of murdering her husband in his sleep, she is offering anything she has as a reward to help prove her innocence</t>
  </si>
  <si>
    <t>Miners have accidentally released something awful that once was buried deep.</t>
  </si>
  <si>
    <t>A mysterious fog swells over the region and persists, ghosts have been seen swimming through the fog, terrorizing and aging people.  There will be a sizeable reward for finding a way to rid the region of the fog and ghosts.</t>
  </si>
  <si>
    <t>Recently a local citizen of the town was infected with lycanthropy and has been on a killing rampage.</t>
  </si>
  <si>
    <t>Two well known heroes have met in town and are involved in a deadly match, the side effects of their battle is leaving the town scarred and citizens injured or killed.</t>
  </si>
  <si>
    <t>Evil mercenaries begin constructing a fortress not far from a community.</t>
  </si>
  <si>
    <t>An ancient curse is turning innocent people into murderers.</t>
  </si>
  <si>
    <t>An island at the center of the lake is actually the top of a strange, submerged fortress.</t>
  </si>
  <si>
    <t>Mysterious groaning sounds come from a haunted wood at night.</t>
  </si>
  <si>
    <t>An innocent man about to be hanged, pleads for someone to help him.</t>
  </si>
  <si>
    <t>During the construction of a new well a system of passages was discovered. The city is willing to pay good money for anyone who will explore them a party has already left and have yet to come back.</t>
  </si>
  <si>
    <t>Agnes Grey, by Anne Brontë {1847}</t>
  </si>
  <si>
    <t>Black Beauty, by Anna Sewell {1877}</t>
  </si>
  <si>
    <t>Cranford, by Elizabeth Gaskell {1851}</t>
  </si>
  <si>
    <t>Eugene Onegin, by Alexander Pushkin {1833}</t>
  </si>
  <si>
    <t>Fathers and Sons, by Ivan Turgenev {1862}</t>
  </si>
  <si>
    <t>Heidi, by Johanna Spyri {1880}</t>
  </si>
  <si>
    <t>Röda Rummet, by August Strindberg {1879}</t>
  </si>
  <si>
    <t>Sentimental Education, by Gustave Flaubert {1869}</t>
  </si>
  <si>
    <t>Silas Marner, by George Eliot {1861}</t>
  </si>
  <si>
    <t>The Charterhouse of Parma, by Stendhal {1839}</t>
  </si>
  <si>
    <t>The Communist Manifesto, by Karl Marx {1848}</t>
  </si>
  <si>
    <t>The Idiot, by Fyodor Dostoyevsky {1868}</t>
  </si>
  <si>
    <t>The Man in the Iron Mask, by Alexandre Dumas {1847}</t>
  </si>
  <si>
    <t>The Moonstone, by Wilkie Collins {1868}</t>
  </si>
  <si>
    <t>The Red and the Black, by Stendhal {1830}</t>
  </si>
  <si>
    <t>The Tenant of Wildfell Hall, by Anne Brontë {1848}</t>
  </si>
  <si>
    <t>Walden, or Life in the Woods, by Henry David Thoreau {1845}</t>
  </si>
  <si>
    <t xml:space="preserve">"HPL Loves SG" is carved into a tree on the side of the road. </t>
  </si>
  <si>
    <t>A woman who mysteriously vanished years ago is seen walking on the surface of a lake.</t>
  </si>
  <si>
    <t>A local child has come down with a bad fever, green spots have appeared all over the child's body.  The local government is seeking someone to find a cure.</t>
  </si>
  <si>
    <t>A man in the tavern got drunk and offended a passerby, the passerby glowed with power and the drunk flew back and crashed into the wall.  The town is afraid of this newcomer, and wish to employ the Posse to find out who and what he is.</t>
  </si>
  <si>
    <t>A jealous rival threatens to stop a well attended wedding.</t>
  </si>
  <si>
    <t>A local minister has gone on a crusade, he believes his god delivered him a message to go out and slay the monsters around the town.  The townsfolk offer the Posse a reward to find and return their minister safely.</t>
  </si>
  <si>
    <t>A madman, obsessed with studying the psychology behind fear, has created a golem to spread panic.  The madman follows his evil creation, observing as it terrorizes the local peasantry.</t>
  </si>
  <si>
    <t xml:space="preserve">Glom </t>
  </si>
  <si>
    <t xml:space="preserve">Mourning Mist </t>
  </si>
  <si>
    <t xml:space="preserve">Jackalope </t>
  </si>
  <si>
    <t xml:space="preserve">Prairie Ticks </t>
  </si>
  <si>
    <t xml:space="preserve">Mojave Rattler </t>
  </si>
  <si>
    <t xml:space="preserve">Gaki </t>
  </si>
  <si>
    <t xml:space="preserve">Maze Dragon </t>
  </si>
  <si>
    <t xml:space="preserve">Giant Octopus </t>
  </si>
  <si>
    <t xml:space="preserve">Giant Saltwater Crocodile </t>
  </si>
  <si>
    <t xml:space="preserve">Giant Shark </t>
  </si>
  <si>
    <t xml:space="preserve">Catamount </t>
  </si>
  <si>
    <t xml:space="preserve">Chinook </t>
  </si>
  <si>
    <t xml:space="preserve">Prospector </t>
  </si>
  <si>
    <t xml:space="preserve">Adult Rattler </t>
  </si>
  <si>
    <t xml:space="preserve">Devil Bats </t>
  </si>
  <si>
    <t xml:space="preserve">Dread Wolves </t>
  </si>
  <si>
    <t xml:space="preserve">Salt Rattler </t>
  </si>
  <si>
    <t xml:space="preserve">Walkin’ Fossil </t>
  </si>
  <si>
    <t xml:space="preserve">Tunnel Critter </t>
  </si>
  <si>
    <t xml:space="preserve">Poison Woman </t>
  </si>
  <si>
    <t xml:space="preserve">Pox Walker </t>
  </si>
  <si>
    <t xml:space="preserve">Uktena </t>
  </si>
  <si>
    <t xml:space="preserve">Night Raven </t>
  </si>
  <si>
    <t xml:space="preserve">Skin Shifter </t>
  </si>
  <si>
    <t xml:space="preserve">Bloodwire </t>
  </si>
  <si>
    <t xml:space="preserve">Carcajou </t>
  </si>
  <si>
    <t xml:space="preserve">Chupakabra </t>
  </si>
  <si>
    <t xml:space="preserve">Desert Thing </t>
  </si>
  <si>
    <t xml:space="preserve">Hangin’ Judge </t>
  </si>
  <si>
    <t>Kansas, Colorado</t>
  </si>
  <si>
    <t>Southern California, Nevada</t>
  </si>
  <si>
    <t>Washington, Oregon, Idaho</t>
  </si>
  <si>
    <t>Montana, Wyoming, Nebraska</t>
  </si>
  <si>
    <t>Utah</t>
  </si>
  <si>
    <t>Dakota, Oklahoma</t>
  </si>
  <si>
    <t>Texas, New Mexico, Arizona</t>
  </si>
  <si>
    <t>NPC</t>
  </si>
  <si>
    <t xml:space="preserve">Sasquatch </t>
  </si>
  <si>
    <t>Wendigo</t>
  </si>
  <si>
    <t>Wolflings</t>
  </si>
  <si>
    <t>1 Prospector</t>
  </si>
  <si>
    <t>Mexican</t>
  </si>
  <si>
    <t>, and a Lost Angel Cultist.</t>
  </si>
  <si>
    <t>CULT</t>
  </si>
  <si>
    <t>Pirate</t>
  </si>
  <si>
    <t>Chinese Pirate (use martial artists for crew)</t>
  </si>
  <si>
    <t>SHIP</t>
  </si>
  <si>
    <t>Swarm</t>
  </si>
  <si>
    <t>Large</t>
  </si>
  <si>
    <t>Gargantuan</t>
  </si>
  <si>
    <t>SIZE</t>
  </si>
  <si>
    <t>The Disputed Territories</t>
  </si>
  <si>
    <t>The Great Basin</t>
  </si>
  <si>
    <t xml:space="preserve">The Great Maze(Land) </t>
  </si>
  <si>
    <t xml:space="preserve">The Great Maze(Sea) </t>
  </si>
  <si>
    <t>The Great Northwest</t>
  </si>
  <si>
    <t>Sioux Nations</t>
  </si>
  <si>
    <t>The Wild Southwest</t>
  </si>
  <si>
    <t>Coyote Confederation</t>
  </si>
  <si>
    <t>The High Plains</t>
  </si>
  <si>
    <t>The Republic of Deseret</t>
  </si>
  <si>
    <t>Wilderness</t>
  </si>
  <si>
    <t>Hunt</t>
  </si>
  <si>
    <t>Loot</t>
  </si>
  <si>
    <t>Pickpocket</t>
  </si>
  <si>
    <t>11/5/2011: added The Disputed Territories, The Great Basin, The Great Maze(Land) , The Great Maze(Sea) , The Great Northwest, The High Plains, The Republic of Deseret, Sioux Nations, Coyote Confederation &amp; The Wild Southwest to the Tables Tab</t>
  </si>
  <si>
    <t xml:space="preserve">     Any Town Setting</t>
  </si>
  <si>
    <t xml:space="preserve">     Generic Wilderness</t>
  </si>
  <si>
    <t xml:space="preserve">     Kansas, Colorado</t>
  </si>
  <si>
    <t xml:space="preserve">     Southern California, Nevada</t>
  </si>
  <si>
    <t xml:space="preserve">     California</t>
  </si>
  <si>
    <t xml:space="preserve">     Washington, Oregon, Idaho</t>
  </si>
  <si>
    <t xml:space="preserve">     Montana, Wyoming, Nebraska</t>
  </si>
  <si>
    <t xml:space="preserve">     Dakota, Nebraska, Wyoming</t>
  </si>
  <si>
    <t xml:space="preserve">     Oklahoma</t>
  </si>
  <si>
    <t xml:space="preserve">     Texas, New Mexico, Arizona</t>
  </si>
  <si>
    <t xml:space="preserve">     Random People &amp; other Odd-Balls</t>
  </si>
  <si>
    <t xml:space="preserve">     Take it and run!</t>
  </si>
  <si>
    <t xml:space="preserve">     Find a lost wagon (or dead body) and take what you can</t>
  </si>
  <si>
    <t xml:space="preserve">     When the Hankerin' for wild game grabs ya</t>
  </si>
  <si>
    <t xml:space="preserve">     Utah</t>
  </si>
  <si>
    <t>A local big-wig has been acting strange lately, it is rumored that he has become possessed or is not himself.  The Posse is asked to investigate, what they will find is that the big-wig has developed multiple personalities.</t>
  </si>
  <si>
    <t>An earthquake uncovers a previously unknown cavern.</t>
  </si>
  <si>
    <t>Somehow someone is compelling others to steal for him/her…</t>
  </si>
  <si>
    <t>A thug is harassing a local family who cannot repay the debts they owe him. The thug requests the Posse's assistance.</t>
  </si>
  <si>
    <t>A thug is harassing a local family who cannot repay the debts they owe him.  The family begs the Posse for assistance.</t>
  </si>
  <si>
    <t>A man accused of cheating at a local gambling game was found dead, a knife in his back.  The local law does not handle homicides well and employs the Posse for assistance.</t>
  </si>
  <si>
    <t>Someone is sabotaging wagons and carts to come apart when they travel at high speed.</t>
  </si>
  <si>
    <t>A wealthy merchant traveling through hostile territory needs an escort.</t>
  </si>
  <si>
    <t>OCCULT</t>
  </si>
  <si>
    <t>: Character may gain a one time bonus level to their Occult, but must succeed 3 Gut Checks at a -4, failure means they must roll on the Scart Table.</t>
  </si>
  <si>
    <t>: Character may gain a +2 to their Occult, but must succeed a Gut Checks at a -4, failure means they must roll on the Scart Table.</t>
  </si>
  <si>
    <t>: If read the Posse member gains +1 to his/her Occult, but they gain a minor phobia or quirk.</t>
  </si>
  <si>
    <t>: If read the Posse member gains one time +1 bonus to their Occult.</t>
  </si>
  <si>
    <t>: If read the Posse member gains a +1 bonus to a skill related to the book's theme, however they gain a minor phobia or quirk.</t>
  </si>
  <si>
    <t>Cryptozoology of the North American Indians, by I.J. Stone</t>
  </si>
  <si>
    <t>Cooking, by Gygax</t>
  </si>
  <si>
    <t>Thesaurus Chemicus, by Roger Bacon</t>
  </si>
  <si>
    <t xml:space="preserve">Traicte des Chifferes ou Secretes d’Escrire, by  Blaise de Vigenere </t>
  </si>
  <si>
    <t xml:space="preserve">Turba Philosophorum, by  Guglielmo Grataroli </t>
  </si>
  <si>
    <t xml:space="preserve">Witch-Cult in Western Europe, The, by  Dr. Margaret Murray </t>
  </si>
  <si>
    <t xml:space="preserve">Wonders of the Invisible World, by  Cotton Mather </t>
  </si>
  <si>
    <t>Zohar</t>
  </si>
  <si>
    <t>Voynich manuscript</t>
  </si>
  <si>
    <t>An Expose on Explosive Substances and their Effect when Combined, by J. Altranz</t>
  </si>
  <si>
    <t>Archeology for the Curious, by Tasi</t>
  </si>
  <si>
    <t>This table is for Marshal use; whenever a posse travels out in the open, say by horseback, over land, or in town, and the Marshal wishes to put a little random fun into the experience.  Choose the Encounter Type and use the generated results.  Some degree of imagination has been left open for you, the Marshal, to fill in. The following are Encounter Type options:</t>
  </si>
  <si>
    <r>
      <rPr>
        <b/>
        <sz val="11"/>
        <rFont val="High Tower Text"/>
        <family val="1"/>
      </rPr>
      <t xml:space="preserve">Town: </t>
    </r>
    <r>
      <rPr>
        <sz val="11"/>
        <rFont val="High Tower Text"/>
        <family val="1"/>
      </rPr>
      <t>There are 5 results to choose from, the first four are for a "Town" setting and the fifth is a "mega" encounter{more of a plot seed really}.</t>
    </r>
  </si>
  <si>
    <r>
      <rPr>
        <b/>
        <sz val="11"/>
        <rFont val="High Tower Text"/>
        <family val="1"/>
      </rPr>
      <t xml:space="preserve">Wilderness: </t>
    </r>
    <r>
      <rPr>
        <sz val="11"/>
        <rFont val="High Tower Text"/>
        <family val="1"/>
      </rPr>
      <t>There are 5 results to choose from, the first four are a "Wilderness" setting and the fifth is a "mega" encounter{more of a plot seed really}.</t>
    </r>
  </si>
  <si>
    <r>
      <rPr>
        <b/>
        <sz val="11"/>
        <rFont val="High Tower Text"/>
        <family val="1"/>
      </rPr>
      <t xml:space="preserve">NPC: </t>
    </r>
    <r>
      <rPr>
        <sz val="11"/>
        <rFont val="High Tower Text"/>
        <family val="1"/>
      </rPr>
      <t>Offers a selection of NPC's and other Odd Balls to choose from.</t>
    </r>
  </si>
  <si>
    <r>
      <rPr>
        <b/>
        <sz val="11"/>
        <rFont val="High Tower Text"/>
        <family val="1"/>
      </rPr>
      <t xml:space="preserve">Hunt: </t>
    </r>
    <r>
      <rPr>
        <sz val="11"/>
        <rFont val="High Tower Text"/>
        <family val="1"/>
      </rPr>
      <t>Offers a selection of wild animal encounters for a hunt as well as a selection of critters from RCV, RCVII &amp; the DLR book.</t>
    </r>
  </si>
  <si>
    <r>
      <rPr>
        <b/>
        <sz val="11"/>
        <rFont val="High Tower Text"/>
        <family val="1"/>
      </rPr>
      <t xml:space="preserve">The Disputed Territories: </t>
    </r>
    <r>
      <rPr>
        <sz val="11"/>
        <rFont val="High Tower Text"/>
        <family val="1"/>
      </rPr>
      <t>A specific selection of encounters for the areas of The Disputed Territories: Kansas &amp; Colorado</t>
    </r>
  </si>
  <si>
    <r>
      <rPr>
        <b/>
        <sz val="11"/>
        <rFont val="High Tower Text"/>
        <family val="1"/>
      </rPr>
      <t xml:space="preserve">The Great Basin: </t>
    </r>
    <r>
      <rPr>
        <sz val="11"/>
        <rFont val="High Tower Text"/>
        <family val="1"/>
      </rPr>
      <t>A specific selection of encounters for the areas of  The Great Basin: Southern California, Nevada</t>
    </r>
  </si>
  <si>
    <r>
      <rPr>
        <b/>
        <sz val="11"/>
        <rFont val="High Tower Text"/>
        <family val="1"/>
      </rPr>
      <t xml:space="preserve">The Great Maze(Land): </t>
    </r>
    <r>
      <rPr>
        <sz val="11"/>
        <rFont val="High Tower Text"/>
        <family val="1"/>
      </rPr>
      <t>A specific selection of encounters for the areas of The Great Maze(Land): California</t>
    </r>
  </si>
  <si>
    <r>
      <rPr>
        <b/>
        <sz val="11"/>
        <rFont val="High Tower Text"/>
        <family val="1"/>
      </rPr>
      <t xml:space="preserve">The Great Maze(Sea): </t>
    </r>
    <r>
      <rPr>
        <sz val="11"/>
        <rFont val="High Tower Text"/>
        <family val="1"/>
      </rPr>
      <t>A specific selection from the areas of The Great Maze(Sea): California</t>
    </r>
  </si>
  <si>
    <r>
      <rPr>
        <b/>
        <sz val="11"/>
        <rFont val="High Tower Text"/>
        <family val="1"/>
      </rPr>
      <t xml:space="preserve">The Great Northwest: </t>
    </r>
    <r>
      <rPr>
        <sz val="11"/>
        <rFont val="High Tower Text"/>
        <family val="1"/>
      </rPr>
      <t>A specific selection from the areas of The Great Northwest: Washington, Oregon, Idaho</t>
    </r>
  </si>
  <si>
    <r>
      <rPr>
        <b/>
        <sz val="11"/>
        <rFont val="High Tower Text"/>
        <family val="1"/>
      </rPr>
      <t xml:space="preserve">The High Plains: </t>
    </r>
    <r>
      <rPr>
        <sz val="11"/>
        <rFont val="High Tower Text"/>
        <family val="1"/>
      </rPr>
      <t>A specific selection from the areas of The High Plains: Montana, Wyoming, Nebraska</t>
    </r>
  </si>
  <si>
    <r>
      <rPr>
        <b/>
        <sz val="11"/>
        <rFont val="High Tower Text"/>
        <family val="1"/>
      </rPr>
      <t xml:space="preserve">The Republic of Deseret: </t>
    </r>
    <r>
      <rPr>
        <sz val="11"/>
        <rFont val="High Tower Text"/>
        <family val="1"/>
      </rPr>
      <t>A specific selection from the areas of The Republic of Deseret: Utah</t>
    </r>
  </si>
  <si>
    <r>
      <rPr>
        <b/>
        <sz val="11"/>
        <rFont val="High Tower Text"/>
        <family val="1"/>
      </rPr>
      <t xml:space="preserve">Sioux Nations: </t>
    </r>
    <r>
      <rPr>
        <sz val="11"/>
        <rFont val="High Tower Text"/>
        <family val="1"/>
      </rPr>
      <t>A specific selection from the areas of Sioux Nations: Dakota, Nebraska, Wyoming</t>
    </r>
  </si>
  <si>
    <r>
      <rPr>
        <b/>
        <sz val="11"/>
        <rFont val="High Tower Text"/>
        <family val="1"/>
      </rPr>
      <t xml:space="preserve">Coyote Confederation: </t>
    </r>
    <r>
      <rPr>
        <sz val="11"/>
        <rFont val="High Tower Text"/>
        <family val="1"/>
      </rPr>
      <t>A specific selection from the areas of Coyote Confederation: Oklahoma</t>
    </r>
  </si>
  <si>
    <r>
      <rPr>
        <b/>
        <sz val="11"/>
        <rFont val="High Tower Text"/>
        <family val="1"/>
      </rPr>
      <t xml:space="preserve">The Wild Southwest: </t>
    </r>
    <r>
      <rPr>
        <sz val="11"/>
        <rFont val="High Tower Text"/>
        <family val="1"/>
      </rPr>
      <t>A specific selection from the areas of The Wild Southwest: Texas, New Mexico, Arizona</t>
    </r>
  </si>
  <si>
    <t>, if read it has an article one of the posse can use for a one time +2 bonus to a skill related to the magazine's theme.</t>
  </si>
  <si>
    <t>: If read the Posse member gains one time +2 bonus to a skill related to the book's theme.</t>
  </si>
  <si>
    <t>A lonely mountain pass is guarded by a powerful "Something" denying all passage.</t>
  </si>
  <si>
    <t>A small abandoned town is spotted in the distance, it turns out to be just a cluster (10) of buildings that are in various cases of ruin.  There is a Mojave Rattler who has made the territory its home, and it fiercely defends the territory.</t>
  </si>
  <si>
    <t>A local philanthroper seeks to clear a patch of wilderness of all monsters.</t>
  </si>
  <si>
    <t>Cultists are kidnapping girls as potential sacrifices.</t>
  </si>
  <si>
    <t>New construction reveals a previously unknown underground tomb/cavern.</t>
  </si>
  <si>
    <t>A Mad Scientist has developed a new and deadly construct, the construct has managed to rebel against its creator and is now wreaking havoc for all whom come across its path.</t>
  </si>
  <si>
    <t>The funeral for a famous gun-fighter is disrupted by enemies he made while alive.</t>
  </si>
  <si>
    <t>The sewers underneath the city are facing infestation of vermin. A substantial reward will be given to those willing to go into the sewers and clear out the infestations. Rumors are circulating that an intelligent force is behind these infestations.</t>
  </si>
  <si>
    <t>The Posse has been arrested for a crime they didn’t commit. Now they must escape their prison and bring the culprits to justice. All of their gear has been taken and they must recover it as well. With the few resources they have they must make their way out without being killed.</t>
  </si>
  <si>
    <t>Unexplained snowstorms bring strange wolves into an otherwise peaceful area.</t>
  </si>
  <si>
    <t>The Posse rudely awakened when the roadside inn they're staying at comes under sudden attack.  Raiders have set the inn on fire and are slaughtering confused patrons as they stumble out.  Awakened by the shouts, the Posse is surrounded by chaos and smoke, with sudden death waiting without.</t>
  </si>
  <si>
    <t>11/9/2011: added Books to the Tables Tab</t>
  </si>
  <si>
    <t>Dead Town: The Posse come across a settlement where everyone is dead. A  successful Healing roll lets them know that the bodies have been drained completely of blood. The weird thing is that none of them have bite marks on them, just hundreds of tiny holes.</t>
  </si>
  <si>
    <t>Black Rain</t>
  </si>
  <si>
    <t>attacks the Posse for 'parts'!</t>
  </si>
  <si>
    <t>ignores the Posse.</t>
  </si>
  <si>
    <t>TINMAN</t>
  </si>
  <si>
    <t>11/11/2011: added 43 more "Town" Encounters, 11 more "Wilderness" Encounters, 1 more "NPC" Encounter and 1 More "Big" Encounter</t>
  </si>
  <si>
    <t>Love's Traveling Goods: Professor Xavior Love and his wagon full of elixirs are traveling to the next town, but he'll gladly sell his wares to the Posse if they are willing. The elixirs could be legit, snake oil, or perhaps lethal and that's how he makes his money.</t>
  </si>
  <si>
    <t>Zanthu Tablets, by Zanthu</t>
  </si>
  <si>
    <t>12/11/2011: Fixed the "Pickpocket" &amp; "Loot" lists and formulas</t>
  </si>
  <si>
    <t>10/1/2012: Adjusted numbers for herd animals under "Hunt".</t>
  </si>
  <si>
    <t>porcupine</t>
  </si>
  <si>
    <t>cannot stop complaining, and will complain to anyone near him/her. If you listen carefully there may be key information hidden among the complaints.</t>
  </si>
  <si>
    <r>
      <rPr>
        <b/>
        <sz val="11"/>
        <rFont val="High Tower Text"/>
        <family val="1"/>
      </rPr>
      <t>Pickpocket:</t>
    </r>
    <r>
      <rPr>
        <sz val="11"/>
        <rFont val="High Tower Text"/>
        <family val="1"/>
      </rPr>
      <t xml:space="preserve"> Offers a selection for your "procurement" oriented players, the first four are single items and the fifth gives a list of five items.</t>
    </r>
  </si>
  <si>
    <r>
      <rPr>
        <b/>
        <sz val="11"/>
        <rFont val="High Tower Text"/>
        <family val="1"/>
      </rPr>
      <t xml:space="preserve">Loot: </t>
    </r>
    <r>
      <rPr>
        <sz val="11"/>
        <rFont val="High Tower Text"/>
        <family val="1"/>
      </rPr>
      <t>Offers a selection of larger items for looting bodies or wagons, the first four are single items and the fifth gives a list of ten items.</t>
    </r>
  </si>
  <si>
    <t>11/6/2011: re-wrote the search criteria on the Encounters Tab, added the above to the Encounters Tab.</t>
  </si>
  <si>
    <t>11/24/2011: Adjusted the Pickpocket &amp; Loot parameters</t>
  </si>
  <si>
    <t>3/30/2013: Adjusted Territory encounters</t>
  </si>
  <si>
    <t>7/24/2013: Fixed the formula in the Territory lists</t>
  </si>
  <si>
    <t>Rumors</t>
  </si>
  <si>
    <t>Artifact</t>
  </si>
  <si>
    <t>Honor</t>
  </si>
  <si>
    <t>medium quality perfume</t>
  </si>
  <si>
    <t>Bourbon</t>
  </si>
  <si>
    <t>Graveyard with marker stones. The locals are quite artistic, so many are more elaborate than you have ever seen.</t>
  </si>
  <si>
    <t>The foundation stones and a few burned support beams are all that remain of a way station.</t>
  </si>
  <si>
    <t>There is a lone building along the road. It used to be a business of some kind, maybe a store or inn or way station. It has been abandoned for nearly two decades and is quite overgrown.</t>
  </si>
  <si>
    <t>A small child asks one of the Posse if that is a real gun/sword/etc. they have hidden on them.</t>
  </si>
  <si>
    <t>a broken compass</t>
  </si>
  <si>
    <t>a shark tooth</t>
  </si>
  <si>
    <t>A wanderin' "crazy" runs up to a Posse member, slaps 'em on the back yelling "TAG! "then runs off.</t>
  </si>
  <si>
    <t>Italian</t>
  </si>
  <si>
    <t>Gaelic</t>
  </si>
  <si>
    <t>Sioux</t>
  </si>
  <si>
    <t>Chronicle</t>
  </si>
  <si>
    <t>Some people are setting up an odd looking machines with lights and tubes over some kind of access point {sewer cover, etc.}. They really don't look like maintenance people.</t>
  </si>
  <si>
    <t>Something growls at from the gloom of an alley. It sounds like a larger cat {lion, tiger, etc.}. If the Posse actually investigates, there is nothing there and there are no traces of such a creature.</t>
  </si>
  <si>
    <t>a Winchester</t>
  </si>
  <si>
    <t>pursuing bankrobbers.</t>
  </si>
  <si>
    <t>A “Robber Barron” is mortally offended by a Posse's behavior and challenges the Posse to a duel a l'outrance (to the death). There is no way to back out without violating social mores and ruining the Posse's reputation. Careful investigation will reveal that the “Robber Barron” and the Posse were subtly maneuvered into it by a third party trying to get the “Robber Barron” killed. And if the wandering adventurer gets killed instead, who cares?</t>
  </si>
  <si>
    <t>The boards in front of the general store creak as the Posse approaches, but no one can be seen walking across them.</t>
  </si>
  <si>
    <t>Seth Jones, or the Captives of the Frontier</t>
  </si>
  <si>
    <t>Lightening Leo, the Behind the Scenes Detective</t>
  </si>
  <si>
    <t>Buffalo Bill's Sure Shots</t>
  </si>
  <si>
    <t>Isaac Stone vs. Prof. Harrison Fjord in South America, Volume 1, Issue 6</t>
  </si>
  <si>
    <t>Lured to an isolated ruin a day's journey from town by an anonymous note promising a lucrative job, the Posse finds no one.  On the way back they spot a wanted poster for themselves!  While away, they were framed for a crime they did not commit, and now they have a price on their heads.</t>
  </si>
  <si>
    <t>Isaac Stone vs. the Murderous Hoard, Volume 3, Issue 9</t>
  </si>
  <si>
    <t>The Posse witnesses a "claim jumping’"…</t>
  </si>
  <si>
    <t>has distinctly disproportionate limbs {i.e. one arm longer than the other, etc.} that were altered through magic.</t>
  </si>
  <si>
    <t>Stable master</t>
  </si>
  <si>
    <t>A Clockwork Man and Other Abomanations of Science, by F. Alexander {1871}</t>
  </si>
  <si>
    <t xml:space="preserve">Doppelgangers </t>
  </si>
  <si>
    <t>w</t>
  </si>
  <si>
    <t>t</t>
  </si>
  <si>
    <t>tw</t>
  </si>
  <si>
    <t>The Posse spot several tough looking types wearing leather trench coats and fairly obvious swords and peacemakers. Anyone who makes a decent spot check will realize the weaponry is not real. Its the local Vampire LARP group out on a "full costume" social.</t>
  </si>
  <si>
    <t>7/28/2013: Sorted the NPC encounters into "town", "wildreness" &amp; "town/wilderness"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</si>
</sst>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7" x14ac:knownFonts="1">
    <font>
      <sz val="10"/>
      <name val="Arial"/>
    </font>
    <font>
      <sz val="8"/>
      <name val="Arial"/>
      <family val="2"/>
    </font>
    <font>
      <sz val="12"/>
      <color indexed="8"/>
      <name val="High Tower Text"/>
      <family val="1"/>
    </font>
    <font>
      <sz val="12"/>
      <name val="High Tower Text"/>
      <family val="1"/>
    </font>
    <font>
      <sz val="20"/>
      <color indexed="10"/>
      <name val="Saloon"/>
    </font>
    <font>
      <sz val="10"/>
      <name val="Arial"/>
      <family val="2"/>
    </font>
    <font>
      <b/>
      <sz val="12"/>
      <name val="High Tower Text"/>
      <family val="1"/>
    </font>
    <font>
      <sz val="11"/>
      <name val="High Tower Text"/>
      <family val="1"/>
    </font>
    <font>
      <b/>
      <i/>
      <sz val="12"/>
      <name val="High Tower Text"/>
      <family val="1"/>
    </font>
    <font>
      <i/>
      <sz val="12"/>
      <name val="High Tower Text"/>
      <family val="1"/>
    </font>
    <font>
      <b/>
      <i/>
      <sz val="12"/>
      <color indexed="8"/>
      <name val="High Tower Text"/>
      <family val="1"/>
    </font>
    <font>
      <b/>
      <sz val="10"/>
      <name val="Arial"/>
      <family val="2"/>
    </font>
    <font>
      <sz val="9"/>
      <name val="Verdana"/>
      <family val="2"/>
    </font>
    <font>
      <sz val="10"/>
      <name val="Verdana"/>
      <family val="2"/>
    </font>
    <font>
      <sz val="18"/>
      <color indexed="10"/>
      <name val="Saloon"/>
    </font>
    <font>
      <b/>
      <sz val="11"/>
      <name val="High Tower Text"/>
      <family val="1"/>
    </font>
    <font>
      <b/>
      <sz val="11"/>
      <color indexed="48"/>
      <name val="High Tower Text"/>
      <family val="1"/>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20">
    <border>
      <left/>
      <right/>
      <top/>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thin">
        <color indexed="64"/>
      </bottom>
      <diagonal/>
    </border>
    <border>
      <left/>
      <right/>
      <top style="double">
        <color indexed="64"/>
      </top>
      <bottom style="double">
        <color indexed="64"/>
      </bottom>
      <diagonal/>
    </border>
    <border>
      <left/>
      <right/>
      <top/>
      <bottom style="double">
        <color indexed="64"/>
      </bottom>
      <diagonal/>
    </border>
    <border>
      <left/>
      <right style="double">
        <color indexed="64"/>
      </right>
      <top/>
      <bottom/>
      <diagonal/>
    </border>
    <border>
      <left style="double">
        <color indexed="64"/>
      </left>
      <right/>
      <top/>
      <bottom style="double">
        <color indexed="64"/>
      </bottom>
      <diagonal/>
    </border>
    <border>
      <left/>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4">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2" borderId="0" xfId="0" applyFont="1" applyFill="1"/>
    <xf numFmtId="0" fontId="3" fillId="2" borderId="0" xfId="0" applyFont="1" applyFill="1" applyAlignment="1">
      <alignment vertical="top"/>
    </xf>
    <xf numFmtId="0" fontId="3" fillId="2" borderId="0" xfId="0" applyFont="1" applyFill="1" applyAlignment="1">
      <alignment vertical="top" wrapText="1"/>
    </xf>
    <xf numFmtId="0" fontId="3" fillId="0" borderId="0" xfId="0" applyFont="1" applyAlignment="1">
      <alignment vertical="top"/>
    </xf>
    <xf numFmtId="0" fontId="3" fillId="0" borderId="0" xfId="0" applyNumberFormat="1" applyFont="1" applyAlignment="1">
      <alignment vertical="top" wrapText="1"/>
    </xf>
    <xf numFmtId="0" fontId="3" fillId="2" borderId="1" xfId="0" applyFont="1" applyFill="1" applyBorder="1" applyAlignment="1">
      <alignment vertical="top"/>
    </xf>
    <xf numFmtId="0" fontId="3" fillId="2" borderId="2" xfId="0" applyFont="1" applyFill="1" applyBorder="1" applyAlignment="1">
      <alignment vertical="top"/>
    </xf>
    <xf numFmtId="0" fontId="3" fillId="2" borderId="0" xfId="0" applyFont="1" applyFill="1" applyAlignment="1"/>
    <xf numFmtId="0" fontId="3" fillId="2" borderId="3" xfId="0" applyFont="1" applyFill="1" applyBorder="1" applyAlignment="1">
      <alignment vertical="top"/>
    </xf>
    <xf numFmtId="49" fontId="3" fillId="0" borderId="0" xfId="0" applyNumberFormat="1" applyFont="1" applyAlignment="1">
      <alignment vertical="top" wrapText="1"/>
    </xf>
    <xf numFmtId="0" fontId="3" fillId="0" borderId="0" xfId="0" applyFont="1" applyBorder="1" applyAlignment="1">
      <alignment vertical="top" wrapText="1"/>
    </xf>
    <xf numFmtId="164" fontId="3" fillId="0" borderId="0" xfId="0" applyNumberFormat="1" applyFont="1" applyAlignment="1">
      <alignment horizontal="left" vertical="top" wrapText="1"/>
    </xf>
    <xf numFmtId="0" fontId="3" fillId="0" borderId="0" xfId="0" applyFont="1" applyAlignment="1">
      <alignment horizontal="left" vertical="top"/>
    </xf>
    <xf numFmtId="0" fontId="8" fillId="0" borderId="0" xfId="0" applyFont="1" applyAlignment="1">
      <alignment vertical="top" wrapText="1"/>
    </xf>
    <xf numFmtId="0" fontId="3" fillId="0" borderId="0" xfId="0" applyFont="1" applyFill="1" applyBorder="1" applyAlignment="1">
      <alignment vertical="top" wrapText="1"/>
    </xf>
    <xf numFmtId="0" fontId="3" fillId="0" borderId="5" xfId="0" applyFont="1" applyBorder="1" applyAlignment="1">
      <alignment vertical="top" wrapText="1"/>
    </xf>
    <xf numFmtId="0" fontId="3" fillId="0" borderId="5" xfId="0" applyFont="1" applyFill="1" applyBorder="1"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8" fillId="0" borderId="0" xfId="0" applyFont="1" applyAlignment="1">
      <alignment horizontal="center" vertical="top" wrapText="1"/>
    </xf>
    <xf numFmtId="0" fontId="9" fillId="0" borderId="0" xfId="0" applyFont="1" applyAlignment="1">
      <alignment vertical="top" wrapText="1"/>
    </xf>
    <xf numFmtId="0" fontId="2" fillId="0" borderId="0" xfId="0" applyFont="1" applyAlignment="1">
      <alignment vertical="top" wrapText="1"/>
    </xf>
    <xf numFmtId="0" fontId="3" fillId="2" borderId="7" xfId="0" applyFont="1" applyFill="1" applyBorder="1" applyAlignment="1">
      <alignment horizontal="left"/>
    </xf>
    <xf numFmtId="0" fontId="12" fillId="0" borderId="0" xfId="0" applyFont="1" applyAlignment="1">
      <alignment horizontal="center" wrapText="1"/>
    </xf>
    <xf numFmtId="0" fontId="0" fillId="0" borderId="0" xfId="0" applyAlignment="1">
      <alignment vertical="top"/>
    </xf>
    <xf numFmtId="0" fontId="3" fillId="4" borderId="0" xfId="0" applyFont="1" applyFill="1" applyBorder="1" applyAlignment="1">
      <alignment vertical="top" wrapText="1"/>
    </xf>
    <xf numFmtId="0" fontId="4" fillId="5" borderId="0" xfId="0" applyFont="1" applyFill="1" applyAlignment="1">
      <alignment vertical="top"/>
    </xf>
    <xf numFmtId="0" fontId="0" fillId="5" borderId="0" xfId="0" applyFill="1" applyAlignment="1">
      <alignment vertical="top"/>
    </xf>
    <xf numFmtId="0" fontId="7" fillId="5" borderId="0" xfId="0" applyFont="1" applyFill="1" applyBorder="1" applyAlignment="1">
      <alignment vertical="top" wrapText="1"/>
    </xf>
    <xf numFmtId="0" fontId="7" fillId="5" borderId="0" xfId="0" applyFont="1" applyFill="1" applyAlignment="1">
      <alignment vertical="top"/>
    </xf>
    <xf numFmtId="0" fontId="7" fillId="5" borderId="0" xfId="0" applyFont="1" applyFill="1" applyAlignment="1">
      <alignment horizontal="left" vertical="top"/>
    </xf>
    <xf numFmtId="0" fontId="11" fillId="5" borderId="0" xfId="0" applyFont="1" applyFill="1" applyAlignment="1">
      <alignment vertical="top"/>
    </xf>
    <xf numFmtId="0" fontId="5" fillId="5" borderId="0" xfId="0" applyFont="1" applyFill="1" applyAlignment="1">
      <alignment vertical="top"/>
    </xf>
    <xf numFmtId="0" fontId="7" fillId="5" borderId="0" xfId="0" applyNumberFormat="1" applyFont="1" applyFill="1" applyAlignment="1">
      <alignment vertical="top" wrapText="1"/>
    </xf>
    <xf numFmtId="0" fontId="7" fillId="5" borderId="0" xfId="0" applyFont="1" applyFill="1" applyAlignment="1">
      <alignment vertical="top" wrapText="1"/>
    </xf>
    <xf numFmtId="0" fontId="5" fillId="5" borderId="0" xfId="0" applyFont="1" applyFill="1" applyAlignment="1">
      <alignment vertical="top" wrapText="1"/>
    </xf>
    <xf numFmtId="0" fontId="7" fillId="5" borderId="0" xfId="0" applyFont="1" applyFill="1" applyBorder="1" applyAlignment="1">
      <alignment horizontal="left" vertical="top" wrapText="1"/>
    </xf>
    <xf numFmtId="0" fontId="13" fillId="0" borderId="0" xfId="0" applyFont="1" applyAlignment="1">
      <alignment vertical="top" wrapText="1"/>
    </xf>
    <xf numFmtId="0" fontId="3" fillId="5" borderId="0" xfId="0" applyFont="1" applyFill="1" applyBorder="1" applyAlignment="1">
      <alignment vertical="top" wrapText="1"/>
    </xf>
    <xf numFmtId="0" fontId="3" fillId="0" borderId="0" xfId="0" applyFont="1" applyFill="1" applyAlignment="1">
      <alignment horizontal="left" vertical="top"/>
    </xf>
    <xf numFmtId="0" fontId="15" fillId="2" borderId="5" xfId="0" applyFont="1" applyFill="1" applyBorder="1" applyAlignment="1">
      <alignment horizontal="right"/>
    </xf>
    <xf numFmtId="0" fontId="16" fillId="0" borderId="4" xfId="0" applyFont="1" applyBorder="1" applyAlignment="1">
      <alignment horizontal="left"/>
    </xf>
    <xf numFmtId="0" fontId="7" fillId="2" borderId="6" xfId="0" applyFont="1" applyFill="1" applyBorder="1" applyAlignment="1"/>
    <xf numFmtId="0" fontId="6" fillId="0" borderId="0" xfId="0" applyFont="1" applyAlignment="1">
      <alignment vertical="top"/>
    </xf>
    <xf numFmtId="0" fontId="6" fillId="0" borderId="0" xfId="0" applyFont="1" applyFill="1" applyBorder="1" applyAlignment="1">
      <alignment vertical="top" wrapText="1"/>
    </xf>
    <xf numFmtId="49" fontId="6" fillId="0" borderId="0" xfId="0" applyNumberFormat="1" applyFont="1" applyAlignment="1">
      <alignment vertical="top" wrapText="1"/>
    </xf>
    <xf numFmtId="0" fontId="3" fillId="2" borderId="8" xfId="0" applyFont="1" applyFill="1" applyBorder="1" applyAlignment="1">
      <alignment horizontal="left" vertical="top" wrapText="1"/>
    </xf>
    <xf numFmtId="0" fontId="3" fillId="2" borderId="0" xfId="0" applyFont="1" applyFill="1" applyBorder="1" applyAlignment="1">
      <alignment horizontal="left" vertical="top" wrapText="1"/>
    </xf>
    <xf numFmtId="0" fontId="14" fillId="3" borderId="9" xfId="0" applyFont="1" applyFill="1" applyBorder="1" applyAlignment="1">
      <alignment horizontal="center"/>
    </xf>
    <xf numFmtId="0" fontId="14" fillId="3" borderId="4" xfId="0" applyFont="1" applyFill="1" applyBorder="1" applyAlignment="1">
      <alignment horizontal="center"/>
    </xf>
    <xf numFmtId="0" fontId="14" fillId="3" borderId="10" xfId="0" applyFont="1" applyFill="1" applyBorder="1" applyAlignment="1">
      <alignment horizontal="center"/>
    </xf>
    <xf numFmtId="0" fontId="7" fillId="2" borderId="11" xfId="0" applyNumberFormat="1" applyFont="1" applyFill="1" applyBorder="1" applyAlignment="1">
      <alignment horizontal="left" vertical="top" wrapText="1"/>
    </xf>
    <xf numFmtId="0" fontId="7" fillId="2" borderId="12" xfId="0" applyNumberFormat="1" applyFont="1" applyFill="1" applyBorder="1" applyAlignment="1">
      <alignment horizontal="left" vertical="top" wrapText="1"/>
    </xf>
    <xf numFmtId="0" fontId="7" fillId="2" borderId="13" xfId="0" applyNumberFormat="1" applyFont="1" applyFill="1" applyBorder="1" applyAlignment="1">
      <alignment horizontal="left" vertical="top" wrapText="1"/>
    </xf>
    <xf numFmtId="0" fontId="7" fillId="2" borderId="14" xfId="0" applyNumberFormat="1" applyFont="1" applyFill="1" applyBorder="1" applyAlignment="1">
      <alignment horizontal="left" vertical="top" wrapText="1"/>
    </xf>
    <xf numFmtId="0" fontId="7" fillId="2" borderId="15" xfId="0" applyNumberFormat="1" applyFont="1" applyFill="1" applyBorder="1" applyAlignment="1">
      <alignment horizontal="left" vertical="top" wrapText="1"/>
    </xf>
    <xf numFmtId="0" fontId="7" fillId="2" borderId="16" xfId="0" applyNumberFormat="1" applyFont="1" applyFill="1" applyBorder="1" applyAlignment="1">
      <alignment horizontal="left" vertical="top" wrapText="1"/>
    </xf>
    <xf numFmtId="0" fontId="7" fillId="2" borderId="17" xfId="0" applyNumberFormat="1" applyFont="1" applyFill="1" applyBorder="1" applyAlignment="1">
      <alignment horizontal="left" vertical="top" wrapText="1"/>
    </xf>
    <xf numFmtId="0" fontId="7" fillId="2" borderId="18" xfId="0" applyNumberFormat="1" applyFont="1" applyFill="1" applyBorder="1" applyAlignment="1">
      <alignment horizontal="left" vertical="top" wrapText="1"/>
    </xf>
    <xf numFmtId="0" fontId="7" fillId="2" borderId="19"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15"/>
  <sheetViews>
    <sheetView tabSelected="1" workbookViewId="0"/>
  </sheetViews>
  <sheetFormatPr defaultColWidth="9.140625" defaultRowHeight="12.75" x14ac:dyDescent="0.2"/>
  <cols>
    <col min="1" max="1" width="137.28515625" style="31" customWidth="1"/>
    <col min="2" max="2" width="24.7109375" style="31" customWidth="1"/>
    <col min="3" max="16384" width="9.140625" style="31"/>
  </cols>
  <sheetData>
    <row r="1" spans="1:2" ht="25.5" x14ac:dyDescent="0.2">
      <c r="A1" s="30" t="s">
        <v>14</v>
      </c>
    </row>
    <row r="2" spans="1:2" ht="45" x14ac:dyDescent="0.2">
      <c r="A2" s="37" t="s">
        <v>2934</v>
      </c>
      <c r="B2" s="37"/>
    </row>
    <row r="3" spans="1:2" ht="15" x14ac:dyDescent="0.2">
      <c r="A3" s="40" t="s">
        <v>2935</v>
      </c>
      <c r="B3" s="32"/>
    </row>
    <row r="4" spans="1:2" ht="15" x14ac:dyDescent="0.2">
      <c r="A4" s="40" t="s">
        <v>2936</v>
      </c>
      <c r="B4" s="32"/>
    </row>
    <row r="5" spans="1:2" ht="15" x14ac:dyDescent="0.2">
      <c r="A5" s="40" t="s">
        <v>2939</v>
      </c>
      <c r="B5" s="32"/>
    </row>
    <row r="6" spans="1:2" ht="15" x14ac:dyDescent="0.2">
      <c r="A6" s="40" t="s">
        <v>2940</v>
      </c>
      <c r="B6" s="32"/>
    </row>
    <row r="7" spans="1:2" ht="15" x14ac:dyDescent="0.2">
      <c r="A7" s="40" t="s">
        <v>2941</v>
      </c>
      <c r="B7" s="32"/>
    </row>
    <row r="8" spans="1:2" ht="15" x14ac:dyDescent="0.2">
      <c r="A8" s="40" t="s">
        <v>2942</v>
      </c>
      <c r="B8" s="32"/>
    </row>
    <row r="9" spans="1:2" ht="15" x14ac:dyDescent="0.2">
      <c r="A9" s="40" t="s">
        <v>2943</v>
      </c>
      <c r="B9" s="32"/>
    </row>
    <row r="10" spans="1:2" ht="15" x14ac:dyDescent="0.2">
      <c r="A10" s="40" t="s">
        <v>2944</v>
      </c>
      <c r="B10" s="32"/>
    </row>
    <row r="11" spans="1:2" ht="15" x14ac:dyDescent="0.2">
      <c r="A11" s="40" t="s">
        <v>2945</v>
      </c>
      <c r="B11" s="32"/>
    </row>
    <row r="12" spans="1:2" ht="15" x14ac:dyDescent="0.2">
      <c r="A12" s="40" t="s">
        <v>2946</v>
      </c>
      <c r="B12" s="32"/>
    </row>
    <row r="13" spans="1:2" ht="15" x14ac:dyDescent="0.2">
      <c r="A13" s="40" t="s">
        <v>2947</v>
      </c>
      <c r="B13" s="32"/>
    </row>
    <row r="14" spans="1:2" ht="15" x14ac:dyDescent="0.2">
      <c r="A14" s="40" t="s">
        <v>2948</v>
      </c>
      <c r="B14" s="32"/>
    </row>
    <row r="15" spans="1:2" ht="15" x14ac:dyDescent="0.2">
      <c r="A15" s="40" t="s">
        <v>2937</v>
      </c>
      <c r="B15" s="32"/>
    </row>
    <row r="16" spans="1:2" ht="15" x14ac:dyDescent="0.2">
      <c r="A16" s="40" t="s">
        <v>2938</v>
      </c>
      <c r="B16" s="32"/>
    </row>
    <row r="17" spans="1:2" ht="15" x14ac:dyDescent="0.2">
      <c r="A17" s="40" t="s">
        <v>2975</v>
      </c>
      <c r="B17" s="32"/>
    </row>
    <row r="18" spans="1:2" ht="15" x14ac:dyDescent="0.2">
      <c r="A18" s="40" t="s">
        <v>2976</v>
      </c>
      <c r="B18" s="32"/>
    </row>
    <row r="19" spans="1:2" ht="9" customHeight="1" x14ac:dyDescent="0.2"/>
    <row r="20" spans="1:2" ht="15" x14ac:dyDescent="0.2">
      <c r="A20" s="33" t="s">
        <v>432</v>
      </c>
    </row>
    <row r="21" spans="1:2" ht="15" x14ac:dyDescent="0.2">
      <c r="A21" s="33" t="s">
        <v>15</v>
      </c>
    </row>
    <row r="22" spans="1:2" ht="15" x14ac:dyDescent="0.2">
      <c r="A22" s="33" t="s">
        <v>16</v>
      </c>
    </row>
    <row r="23" spans="1:2" ht="15" x14ac:dyDescent="0.2">
      <c r="A23" s="33" t="s">
        <v>17</v>
      </c>
    </row>
    <row r="24" spans="1:2" ht="15" x14ac:dyDescent="0.2">
      <c r="A24" s="34" t="s">
        <v>18</v>
      </c>
    </row>
    <row r="25" spans="1:2" ht="9" customHeight="1" x14ac:dyDescent="0.2">
      <c r="A25" s="33"/>
    </row>
    <row r="26" spans="1:2" ht="15" x14ac:dyDescent="0.2">
      <c r="A26" s="33" t="s">
        <v>5</v>
      </c>
    </row>
    <row r="27" spans="1:2" ht="15" x14ac:dyDescent="0.2">
      <c r="A27" s="33" t="s">
        <v>6</v>
      </c>
    </row>
    <row r="28" spans="1:2" ht="15" x14ac:dyDescent="0.2">
      <c r="A28" s="33" t="s">
        <v>447</v>
      </c>
    </row>
    <row r="29" spans="1:2" ht="15" x14ac:dyDescent="0.2">
      <c r="A29" s="33"/>
    </row>
    <row r="30" spans="1:2" ht="47.25" customHeight="1" x14ac:dyDescent="0.2">
      <c r="A30" s="38" t="s">
        <v>993</v>
      </c>
      <c r="B30" s="38"/>
    </row>
    <row r="32" spans="1:2" x14ac:dyDescent="0.2">
      <c r="A32" s="35" t="s">
        <v>2685</v>
      </c>
    </row>
    <row r="33" spans="1:2" x14ac:dyDescent="0.2">
      <c r="A33" s="31" t="s">
        <v>2790</v>
      </c>
    </row>
    <row r="34" spans="1:2" x14ac:dyDescent="0.2">
      <c r="A34" s="36" t="s">
        <v>2684</v>
      </c>
    </row>
    <row r="35" spans="1:2" x14ac:dyDescent="0.2">
      <c r="A35" s="36" t="s">
        <v>2731</v>
      </c>
    </row>
    <row r="36" spans="1:2" x14ac:dyDescent="0.2">
      <c r="A36" s="36" t="s">
        <v>2726</v>
      </c>
    </row>
    <row r="37" spans="1:2" x14ac:dyDescent="0.2">
      <c r="A37" s="36" t="s">
        <v>2725</v>
      </c>
    </row>
    <row r="38" spans="1:2" ht="25.5" x14ac:dyDescent="0.2">
      <c r="A38" s="39" t="s">
        <v>2893</v>
      </c>
      <c r="B38" s="39"/>
    </row>
    <row r="39" spans="1:2" x14ac:dyDescent="0.2">
      <c r="A39" s="36" t="s">
        <v>2977</v>
      </c>
    </row>
    <row r="40" spans="1:2" x14ac:dyDescent="0.2">
      <c r="A40" s="31" t="s">
        <v>2962</v>
      </c>
    </row>
    <row r="41" spans="1:2" x14ac:dyDescent="0.2">
      <c r="A41" s="36" t="s">
        <v>2968</v>
      </c>
    </row>
    <row r="42" spans="1:2" x14ac:dyDescent="0.2">
      <c r="A42" s="36" t="s">
        <v>2978</v>
      </c>
    </row>
    <row r="43" spans="1:2" x14ac:dyDescent="0.2">
      <c r="A43" s="31" t="s">
        <v>2971</v>
      </c>
    </row>
    <row r="44" spans="1:2" x14ac:dyDescent="0.2">
      <c r="A44" s="31" t="s">
        <v>2972</v>
      </c>
    </row>
    <row r="45" spans="1:2" x14ac:dyDescent="0.2">
      <c r="A45" s="36" t="s">
        <v>2979</v>
      </c>
    </row>
    <row r="46" spans="1:2" x14ac:dyDescent="0.2">
      <c r="A46" s="36" t="s">
        <v>2980</v>
      </c>
    </row>
    <row r="47" spans="1:2" x14ac:dyDescent="0.2">
      <c r="A47" s="36" t="s">
        <v>3018</v>
      </c>
    </row>
    <row r="100" spans="1:1" ht="15.75" x14ac:dyDescent="0.2">
      <c r="A100" s="42" t="s">
        <v>2642</v>
      </c>
    </row>
    <row r="101" spans="1:1" ht="15.75" x14ac:dyDescent="0.2">
      <c r="A101" s="42" t="s">
        <v>2889</v>
      </c>
    </row>
    <row r="102" spans="1:1" ht="15.75" x14ac:dyDescent="0.2">
      <c r="A102" s="42" t="s">
        <v>2879</v>
      </c>
    </row>
    <row r="103" spans="1:1" ht="15.75" x14ac:dyDescent="0.2">
      <c r="A103" s="42" t="s">
        <v>2880</v>
      </c>
    </row>
    <row r="104" spans="1:1" ht="15.75" x14ac:dyDescent="0.2">
      <c r="A104" s="42" t="s">
        <v>2881</v>
      </c>
    </row>
    <row r="105" spans="1:1" ht="15.75" x14ac:dyDescent="0.2">
      <c r="A105" s="42" t="s">
        <v>2882</v>
      </c>
    </row>
    <row r="106" spans="1:1" ht="15.75" x14ac:dyDescent="0.2">
      <c r="A106" s="42" t="s">
        <v>2883</v>
      </c>
    </row>
    <row r="107" spans="1:1" ht="15.75" x14ac:dyDescent="0.2">
      <c r="A107" s="42" t="s">
        <v>2887</v>
      </c>
    </row>
    <row r="108" spans="1:1" ht="15.75" x14ac:dyDescent="0.2">
      <c r="A108" s="42" t="s">
        <v>2888</v>
      </c>
    </row>
    <row r="109" spans="1:1" ht="15.75" x14ac:dyDescent="0.2">
      <c r="A109" s="42" t="s">
        <v>2884</v>
      </c>
    </row>
    <row r="110" spans="1:1" ht="15.75" x14ac:dyDescent="0.2">
      <c r="A110" s="42" t="s">
        <v>2886</v>
      </c>
    </row>
    <row r="111" spans="1:1" ht="15.75" x14ac:dyDescent="0.2">
      <c r="A111" s="42" t="s">
        <v>2885</v>
      </c>
    </row>
    <row r="112" spans="1:1" ht="15.75" x14ac:dyDescent="0.2">
      <c r="A112" s="42" t="s">
        <v>2864</v>
      </c>
    </row>
    <row r="113" spans="1:1" ht="15.75" x14ac:dyDescent="0.2">
      <c r="A113" s="42" t="s">
        <v>2890</v>
      </c>
    </row>
    <row r="114" spans="1:1" ht="15.75" x14ac:dyDescent="0.2">
      <c r="A114" s="42" t="s">
        <v>2892</v>
      </c>
    </row>
    <row r="115" spans="1:1" ht="15.75" x14ac:dyDescent="0.2">
      <c r="A115" s="42" t="s">
        <v>2891</v>
      </c>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zoomScaleNormal="100" workbookViewId="0">
      <selection activeCell="C2" sqref="C2"/>
    </sheetView>
  </sheetViews>
  <sheetFormatPr defaultColWidth="9.140625" defaultRowHeight="159.94999999999999" customHeight="1" x14ac:dyDescent="0.25"/>
  <cols>
    <col min="1" max="1" width="2.140625" style="5" customWidth="1"/>
    <col min="2" max="2" width="31.42578125" style="6" customWidth="1"/>
    <col min="3" max="3" width="28.5703125" style="4" customWidth="1"/>
    <col min="4" max="4" width="77" style="4" customWidth="1"/>
    <col min="5" max="16384" width="9.140625" style="4"/>
  </cols>
  <sheetData>
    <row r="1" spans="1:5" s="11" customFormat="1" ht="21.75" customHeight="1" thickTop="1" thickBot="1" x14ac:dyDescent="0.35">
      <c r="A1" s="52" t="s">
        <v>4</v>
      </c>
      <c r="B1" s="53"/>
      <c r="C1" s="53"/>
      <c r="D1" s="54"/>
      <c r="E1" s="11">
        <f ca="1">RANDBETWEEN(1,5)</f>
        <v>5</v>
      </c>
    </row>
    <row r="2" spans="1:5" s="11" customFormat="1" ht="15" customHeight="1" thickTop="1" thickBot="1" x14ac:dyDescent="0.3">
      <c r="A2" s="26"/>
      <c r="B2" s="44" t="s">
        <v>2146</v>
      </c>
      <c r="C2" s="45" t="s">
        <v>2642</v>
      </c>
      <c r="D2" s="46" t="str">
        <f>IF($C$2=Tables!$B$2,Tables!B3,IF($C$2=Tables!$B$9,Tables!B10,IF($C$2=Tables!$B$16,Tables!B17,IF($C$2=Tables!$B$23,Tables!B24,IF($C$2=Tables!$B$30,Tables!B31,IF($C$2=Tables!$B$37,Tables!B38,IF($C$2=Tables!$B$44,Tables!B45,IF($C$2=Tables!$B$51,Tables!B52,IF($C$2=Tables!$B$58,Tables!B59,IF($C$2=Tables!$B$65,Tables!B66,IF($C$2=Tables!$B$72,Tables!B73,IF($C$2=Tables!$B$79,Tables!B80,IF($C$2=Tables!$B$86,Tables!B87,IF($C$2=Tables!$B$93,Tables!B94,IF($C$2=Tables!$B$107,Tables!B108,IF($C$2=Tables!$B$100,Tables!B101))))))))))))))))</f>
        <v xml:space="preserve">     Any Town Setting</v>
      </c>
    </row>
    <row r="3" spans="1:5" ht="59.25" customHeight="1" thickTop="1" x14ac:dyDescent="0.25">
      <c r="A3" s="12">
        <v>1</v>
      </c>
      <c r="B3" s="55" t="str">
        <f ca="1">IF($C$2=Tables!$B$2,Tables!B4,IF($C$2=Tables!$B$9,Tables!B11,IF($C$2=Tables!$B$16,Tables!B18,IF($C$2=Tables!$B$23,Tables!B25,IF($C$2=Tables!$B$30,Tables!B32,IF($C$2=Tables!$B$37,Tables!B39,IF($C$2=Tables!$B$44,Tables!B46,IF($C$2=Tables!$B$51,Tables!B53,IF($C$2=Tables!$B$58,Tables!B60,IF($C$2=Tables!$B$65,Tables!B67,IF($C$2=Tables!$B$72,Tables!B74,IF($C$2=Tables!$B$79,Tables!B81,IF($C$2=Tables!$B$86,Tables!B88,IF($C$2=Tables!$B$93,Tables!B95,IF($C$2=Tables!$B$107,Tables!B109,IF($C$2=Tables!$B$100,Tables!B102))))))))))))))))</f>
        <v>A thug is harassing a local family who cannot repay the debts they owe him.  The family begs the Posse for assistance.</v>
      </c>
      <c r="C3" s="56"/>
      <c r="D3" s="57"/>
    </row>
    <row r="4" spans="1:5" ht="59.25" customHeight="1" x14ac:dyDescent="0.25">
      <c r="A4" s="9">
        <v>2</v>
      </c>
      <c r="B4" s="58" t="str">
        <f ca="1">IF($C$2=Tables!$B$2,Tables!B5,IF($C$2=Tables!$B$9,Tables!B12,IF($C$2=Tables!$B$16,Tables!B19,IF($C$2=Tables!$B$23,Tables!B26,IF($C$2=Tables!$B$30,Tables!B33,IF($C$2=Tables!$B$37,Tables!B40,IF($C$2=Tables!$B$44,Tables!B47,IF($C$2=Tables!$B$51,Tables!B54,IF($C$2=Tables!$B$58,Tables!B61,IF($C$2=Tables!$B$65,Tables!B68,IF($C$2=Tables!$B$72,Tables!B75,IF($C$2=Tables!$B$79,Tables!B82,IF($C$2=Tables!$B$86,Tables!B89,IF($C$2=Tables!$B$93,Tables!B96,IF($C$2=Tables!$B$107,Tables!B110,IF($C$2=Tables!$B$100,Tables!B103))))))))))))))))</f>
        <v>A gypsy intercepts the most charismatic member of the Posse and tells him of a vision she had. She predicts the Posse member will find a beautiful person in this city and it will be the love of his life. She provides no further details. Later on, a beautiful person flirts with the character.</v>
      </c>
      <c r="C4" s="59"/>
      <c r="D4" s="60"/>
    </row>
    <row r="5" spans="1:5" ht="59.25" customHeight="1" x14ac:dyDescent="0.25">
      <c r="A5" s="9">
        <v>3</v>
      </c>
      <c r="B5" s="58" t="str">
        <f ca="1">IF($C$2=Tables!$B$2,Tables!B6,IF($C$2=Tables!$B$9,Tables!B13,IF($C$2=Tables!$B$16,Tables!B20,IF($C$2=Tables!$B$23,Tables!B27,IF($C$2=Tables!$B$30,Tables!B34,IF($C$2=Tables!$B$37,Tables!B41,IF($C$2=Tables!$B$44,Tables!B48,IF($C$2=Tables!$B$51,Tables!B55,IF($C$2=Tables!$B$58,Tables!B62,IF($C$2=Tables!$B$65,Tables!B69,IF($C$2=Tables!$B$72,Tables!B76,IF($C$2=Tables!$B$79,Tables!B83,IF($C$2=Tables!$B$86,Tables!B90,IF($C$2=Tables!$B$93,Tables!B97,IF($C$2=Tables!$B$107,Tables!B111,IF($C$2=Tables!$B$100,Tables!B104))))))))))))))))</f>
        <v>A small group of people stands nonchalantly as one of them ducks down to pry up a grate covering a storm drain. He pulls on a rope attached to the overhanging eaves.</v>
      </c>
      <c r="C5" s="59"/>
      <c r="D5" s="60"/>
    </row>
    <row r="6" spans="1:5" ht="59.25" customHeight="1" x14ac:dyDescent="0.25">
      <c r="A6" s="9">
        <v>4</v>
      </c>
      <c r="B6" s="58" t="str">
        <f ca="1">IF($C$2=Tables!$B$2,Tables!B7,IF($C$2=Tables!$B$9,Tables!B14,IF($C$2=Tables!$B$16,Tables!B21,IF($C$2=Tables!$B$23,Tables!B28,IF($C$2=Tables!$B$30,Tables!B35,IF($C$2=Tables!$B$37,Tables!B42,IF($C$2=Tables!$B$44,Tables!B49,IF($C$2=Tables!$B$51,Tables!B56,IF($C$2=Tables!$B$58,Tables!B63,IF($C$2=Tables!$B$65,Tables!B70,IF($C$2=Tables!$B$72,Tables!B77,IF($C$2=Tables!$B$79,Tables!B84,IF($C$2=Tables!$B$86,Tables!B91,IF($C$2=Tables!$B$93,Tables!B98,IF($C$2=Tables!$B$107,Tables!B112,IF($C$2=Tables!$B$100,Tables!B105))))))))))))))))</f>
        <v>One of the Posse has an intense itch.</v>
      </c>
      <c r="C6" s="59"/>
      <c r="D6" s="60"/>
    </row>
    <row r="7" spans="1:5" ht="106.5" customHeight="1" thickBot="1" x14ac:dyDescent="0.3">
      <c r="A7" s="10">
        <v>5</v>
      </c>
      <c r="B7" s="61" t="str">
        <f ca="1">IF($C$2=Tables!$B$2,Tables!B8,IF($C$2=Tables!$B$9,Tables!B15,IF($C$2=Tables!$B$16,Tables!B22,IF($C$2=Tables!$B$23,Tables!B29,IF($C$2=Tables!$B$30,Tables!B36,IF($C$2=Tables!$B$37,Tables!B43,IF($C$2=Tables!$B$44,Tables!B50,IF($C$2=Tables!$B$51,Tables!B57,IF($C$2=Tables!$B$58,Tables!B64,IF($C$2=Tables!$B$65,Tables!B71,IF($C$2=Tables!$B$72,Tables!B78,IF($C$2=Tables!$B$79,Tables!B85,IF($C$2=Tables!$B$86,Tables!B92,IF($C$2=Tables!$B$93,Tables!B99,IF($C$2=Tables!$B$107,Tables!B113,IF($C$2=Tables!$B$100,Tables!B106))))))))))))))))</f>
        <v>The Posse comes to a rocky crevasse.  While not impassable, it will require careful navigation. The crevasse is the home of a small collection Wall Crawlers.  The encounter should only appear to be a technical challenge, clambering up and down rocks, transporting their gear without breakage, etc. The whole time that they are engaged in this, they are being watched, and when they are at their most vulnerable 2 Wall Crawlers will attack. Beating off an attack while scattered over 200 vertical feet of rock will certainly add a certain level of tension!</v>
      </c>
      <c r="C7" s="62"/>
      <c r="D7" s="63"/>
    </row>
    <row r="8" spans="1:5" ht="159.94999999999999" customHeight="1" thickTop="1" x14ac:dyDescent="0.25">
      <c r="B8" s="50"/>
      <c r="C8" s="50"/>
      <c r="D8" s="50"/>
    </row>
    <row r="9" spans="1:5" ht="159.94999999999999" customHeight="1" x14ac:dyDescent="0.25">
      <c r="B9" s="51"/>
      <c r="C9" s="51"/>
      <c r="D9" s="51"/>
    </row>
  </sheetData>
  <dataConsolidate/>
  <mergeCells count="8">
    <mergeCell ref="B8:D8"/>
    <mergeCell ref="B9:D9"/>
    <mergeCell ref="A1:D1"/>
    <mergeCell ref="B3:D3"/>
    <mergeCell ref="B4:D4"/>
    <mergeCell ref="B5:D5"/>
    <mergeCell ref="B6:D6"/>
    <mergeCell ref="B7:D7"/>
  </mergeCells>
  <phoneticPr fontId="1" type="noConversion"/>
  <dataValidations count="1">
    <dataValidation type="list" allowBlank="1" showInputMessage="1" showErrorMessage="1" sqref="C2">
      <formula1>"Town, Wilderness, The Disputed Territories, The Great Basin, The Great Maze(Land) , The Great Maze(Sea) , The Great Northwest, The High Plains, The Republic of Deseret, Sioux Nations, Coyote Confederation, The Wild Southwest, NPC, Hunt, Pickpocket, Loot"</formula1>
    </dataValidation>
  </dataValidation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1106"/>
  <sheetViews>
    <sheetView workbookViewId="0">
      <pane ySplit="1" topLeftCell="A2" activePane="bottomLeft" state="frozen"/>
      <selection activeCell="B1" sqref="B1"/>
      <selection pane="bottomLeft" activeCell="A2" sqref="A2"/>
    </sheetView>
  </sheetViews>
  <sheetFormatPr defaultColWidth="9.140625" defaultRowHeight="15.75" x14ac:dyDescent="0.2"/>
  <cols>
    <col min="1" max="1" width="5.5703125" style="3" customWidth="1"/>
    <col min="2" max="2" width="65.7109375" style="3" customWidth="1"/>
    <col min="3" max="3" width="9.140625" style="3"/>
    <col min="4" max="4" width="5.140625" style="3" bestFit="1" customWidth="1"/>
    <col min="5" max="5" width="65.7109375" style="3" customWidth="1"/>
    <col min="6" max="6" width="5.140625" style="3" bestFit="1" customWidth="1"/>
    <col min="7" max="7" width="65.7109375" style="3" customWidth="1"/>
    <col min="8" max="8" width="5.140625" style="3" bestFit="1" customWidth="1"/>
    <col min="9" max="9" width="65.7109375" style="3" customWidth="1"/>
    <col min="10" max="10" width="11.140625" style="3" customWidth="1"/>
    <col min="11" max="11" width="9.140625" style="3" customWidth="1"/>
    <col min="12" max="12" width="65.7109375" style="3" customWidth="1"/>
    <col min="13" max="13" width="6" style="3" customWidth="1"/>
    <col min="14" max="14" width="4" style="3" bestFit="1" customWidth="1"/>
    <col min="15" max="15" width="65.7109375" style="3" customWidth="1"/>
    <col min="16" max="16" width="4" style="3" bestFit="1" customWidth="1"/>
    <col min="17" max="17" width="65.7109375" style="2" customWidth="1"/>
    <col min="18" max="18" width="5.5703125" style="3" bestFit="1" customWidth="1"/>
    <col min="19" max="19" width="65.7109375" style="3" customWidth="1"/>
    <col min="20" max="20" width="5.7109375" style="3" customWidth="1"/>
    <col min="21" max="21" width="40.7109375" style="3" customWidth="1"/>
    <col min="22" max="16384" width="9.140625" style="3"/>
  </cols>
  <sheetData>
    <row r="1" spans="1:31" s="23" customFormat="1" x14ac:dyDescent="0.2">
      <c r="E1" s="23" t="s">
        <v>636</v>
      </c>
      <c r="G1" s="23" t="s">
        <v>1869</v>
      </c>
      <c r="H1" s="24"/>
      <c r="I1" s="23" t="s">
        <v>648</v>
      </c>
      <c r="K1" s="24"/>
      <c r="L1" s="23" t="s">
        <v>1868</v>
      </c>
      <c r="N1" s="24"/>
      <c r="O1" s="17" t="s">
        <v>1873</v>
      </c>
      <c r="P1" s="24"/>
      <c r="Q1" s="17" t="s">
        <v>1874</v>
      </c>
      <c r="R1" s="24"/>
      <c r="S1" s="17" t="s">
        <v>1875</v>
      </c>
      <c r="U1" s="17" t="s">
        <v>1959</v>
      </c>
    </row>
    <row r="2" spans="1:31" ht="47.25" x14ac:dyDescent="0.2">
      <c r="B2" s="17" t="s">
        <v>927</v>
      </c>
      <c r="D2" s="3">
        <v>1</v>
      </c>
      <c r="E2" s="3" t="s">
        <v>2821</v>
      </c>
      <c r="F2" s="3">
        <v>1</v>
      </c>
      <c r="G2" s="3" t="s">
        <v>757</v>
      </c>
      <c r="H2" s="3">
        <v>1</v>
      </c>
      <c r="I2" s="3" t="str">
        <f ca="1">RANDBETWEEN(2,5)&amp;" emaciated children tug at the sleeves of the Posse."</f>
        <v>3 emaciated children tug at the sleeves of the Posse.</v>
      </c>
      <c r="J2" s="3" t="s">
        <v>3015</v>
      </c>
      <c r="K2" s="14">
        <v>1</v>
      </c>
      <c r="L2" s="15" t="str">
        <f>"$0.00"</f>
        <v>$0.00</v>
      </c>
      <c r="O2" s="22" t="s">
        <v>963</v>
      </c>
      <c r="Q2" s="21" t="s">
        <v>1137</v>
      </c>
      <c r="R2" s="7"/>
      <c r="S2" s="47" t="s">
        <v>1138</v>
      </c>
      <c r="T2" s="7"/>
      <c r="U2" s="22" t="s">
        <v>1282</v>
      </c>
      <c r="W2" s="3" t="s">
        <v>2454</v>
      </c>
      <c r="X2" s="3" t="s">
        <v>2455</v>
      </c>
      <c r="Y2" s="3" t="s">
        <v>2456</v>
      </c>
      <c r="Z2" s="3" t="s">
        <v>2457</v>
      </c>
      <c r="AA2" s="3" t="s">
        <v>2458</v>
      </c>
    </row>
    <row r="3" spans="1:31" ht="31.5" x14ac:dyDescent="0.2">
      <c r="B3" s="3" t="s">
        <v>2894</v>
      </c>
      <c r="D3" s="3">
        <v>2</v>
      </c>
      <c r="E3" s="3" t="s">
        <v>417</v>
      </c>
      <c r="F3" s="3">
        <v>2</v>
      </c>
      <c r="G3" s="3" t="s">
        <v>758</v>
      </c>
      <c r="H3" s="3">
        <v>2</v>
      </c>
      <c r="I3" s="2" t="s">
        <v>422</v>
      </c>
      <c r="J3" s="2" t="s">
        <v>3015</v>
      </c>
      <c r="K3" s="14">
        <v>5</v>
      </c>
      <c r="L3" s="15" t="str">
        <f>"$0.00"</f>
        <v>$0.00</v>
      </c>
      <c r="N3" s="3">
        <v>1</v>
      </c>
      <c r="O3" s="3" t="s">
        <v>142</v>
      </c>
      <c r="P3" s="3">
        <v>1</v>
      </c>
      <c r="Q3" s="2" t="s">
        <v>1139</v>
      </c>
      <c r="R3" s="7">
        <v>1</v>
      </c>
      <c r="S3" s="7" t="s">
        <v>1140</v>
      </c>
      <c r="T3" s="7">
        <v>1</v>
      </c>
      <c r="U3" s="3" t="s">
        <v>1286</v>
      </c>
      <c r="W3" s="3">
        <v>1</v>
      </c>
      <c r="X3" s="3" t="s">
        <v>2608</v>
      </c>
      <c r="Y3" s="3" t="s">
        <v>2609</v>
      </c>
      <c r="Z3" s="3" t="s">
        <v>2610</v>
      </c>
      <c r="AA3" s="3" t="s">
        <v>2680</v>
      </c>
      <c r="AC3" s="3" t="s">
        <v>2459</v>
      </c>
      <c r="AE3" s="7" t="str">
        <f ca="1">VLOOKUP(RANDBETWEEN(1,21),W3:AA23,2)&amp;" "&amp;VLOOKUP(RANDBETWEEN(1,21),W3:AA23,3)&amp;" "&amp;VLOOKUP(RANDBETWEEN(1,21),W3:AA23,4)&amp;" "&amp;VLOOKUP(RANDBETWEEN(1,21),W3:AA23,5)</f>
        <v>Coerce Silver Mine Worship</v>
      </c>
    </row>
    <row r="4" spans="1:31" ht="31.5" x14ac:dyDescent="0.2">
      <c r="A4" s="3">
        <v>1</v>
      </c>
      <c r="B4" s="3" t="str">
        <f ca="1">VLOOKUP(RANDBETWEEN(1,380),InTown,2)</f>
        <v>A thug is harassing a local family who cannot repay the debts they owe him.  The family begs the Posse for assistance.</v>
      </c>
      <c r="D4" s="3">
        <v>3</v>
      </c>
      <c r="E4" s="3" t="str">
        <f ca="1">"The Local 'lawdog' follows you for "&amp;RANDBETWEEN(2,8)&amp;" blocks."</f>
        <v>The Local 'lawdog' follows you for 3 blocks.</v>
      </c>
      <c r="F4" s="3">
        <v>3</v>
      </c>
      <c r="G4" s="3" t="s">
        <v>759</v>
      </c>
      <c r="H4" s="3">
        <v>3</v>
      </c>
      <c r="I4" s="2" t="s">
        <v>964</v>
      </c>
      <c r="J4" s="2" t="s">
        <v>3015</v>
      </c>
      <c r="K4" s="14">
        <v>10</v>
      </c>
      <c r="L4" s="15" t="str">
        <f ca="1">"$"&amp;RANDBETWEEN(0,2)&amp;VLOOKUP(RANDBETWEEN(1,100),CHANGE,2)</f>
        <v>$2.36</v>
      </c>
      <c r="N4" s="3">
        <v>2</v>
      </c>
      <c r="O4" s="3" t="s">
        <v>143</v>
      </c>
      <c r="P4" s="3">
        <v>2</v>
      </c>
      <c r="Q4" s="2">
        <v>0.36</v>
      </c>
      <c r="R4" s="7">
        <v>2</v>
      </c>
      <c r="S4" s="7" t="s">
        <v>1141</v>
      </c>
      <c r="T4" s="7">
        <v>4</v>
      </c>
      <c r="U4" s="3" t="s">
        <v>1284</v>
      </c>
      <c r="W4" s="3">
        <v>2</v>
      </c>
      <c r="X4" s="3" t="s">
        <v>2611</v>
      </c>
      <c r="Y4" s="3" t="s">
        <v>1406</v>
      </c>
      <c r="Z4" s="3" t="s">
        <v>2612</v>
      </c>
      <c r="AA4" s="3" t="s">
        <v>2613</v>
      </c>
      <c r="AC4" s="3" t="s">
        <v>2460</v>
      </c>
    </row>
    <row r="5" spans="1:31" ht="47.25" x14ac:dyDescent="0.2">
      <c r="A5" s="3">
        <v>2</v>
      </c>
      <c r="B5" s="3" t="str">
        <f ca="1">VLOOKUP(RANDBETWEEN(1,380),InTown,2)</f>
        <v>A gypsy intercepts the most charismatic member of the Posse and tells him of a vision she had. She predicts the Posse member will find a beautiful person in this city and it will be the love of his life. She provides no further details. Later on, a beautiful person flirts with the character.</v>
      </c>
      <c r="D5" s="3">
        <v>4</v>
      </c>
      <c r="E5" s="3" t="str">
        <f ca="1">RANDBETWEEN(3,6)&amp;" Dogs chasing each other run by."</f>
        <v>5 Dogs chasing each other run by.</v>
      </c>
      <c r="F5" s="3">
        <v>4</v>
      </c>
      <c r="G5" s="3" t="s">
        <v>760</v>
      </c>
      <c r="H5" s="3">
        <v>4</v>
      </c>
      <c r="I5" s="2" t="s">
        <v>421</v>
      </c>
      <c r="J5" s="2" t="s">
        <v>3015</v>
      </c>
      <c r="K5" s="14">
        <v>15</v>
      </c>
      <c r="L5" s="15" t="str">
        <f ca="1">"$"&amp;RANDBETWEEN(0,2)&amp;VLOOKUP(RANDBETWEEN(1,100),CHANGE,2)</f>
        <v>$0.25</v>
      </c>
      <c r="N5" s="3">
        <v>3</v>
      </c>
      <c r="O5" s="3" t="s">
        <v>144</v>
      </c>
      <c r="P5" s="3">
        <v>3</v>
      </c>
      <c r="Q5" s="2">
        <v>0.38</v>
      </c>
      <c r="R5" s="7">
        <v>3</v>
      </c>
      <c r="S5" s="7" t="s">
        <v>1142</v>
      </c>
      <c r="W5" s="3">
        <v>3</v>
      </c>
      <c r="X5" s="3" t="s">
        <v>2614</v>
      </c>
      <c r="Y5" s="3" t="s">
        <v>2615</v>
      </c>
      <c r="Z5" s="3" t="s">
        <v>2616</v>
      </c>
      <c r="AA5" s="3" t="s">
        <v>2617</v>
      </c>
      <c r="AC5" s="3" t="s">
        <v>2461</v>
      </c>
    </row>
    <row r="6" spans="1:31" ht="31.5" x14ac:dyDescent="0.2">
      <c r="A6" s="3">
        <v>3</v>
      </c>
      <c r="B6" s="3" t="str">
        <f ca="1">VLOOKUP(RANDBETWEEN(1,380),InTown,2)</f>
        <v>A small group of people stands nonchalantly as one of them ducks down to pry up a grate covering a storm drain. He pulls on a rope attached to the overhanging eaves.</v>
      </c>
      <c r="D6" s="3">
        <v>5</v>
      </c>
      <c r="E6" s="2" t="s">
        <v>422</v>
      </c>
      <c r="F6" s="3">
        <v>5</v>
      </c>
      <c r="G6" s="3" t="s">
        <v>761</v>
      </c>
      <c r="H6" s="3">
        <v>5</v>
      </c>
      <c r="I6" s="3" t="s">
        <v>553</v>
      </c>
      <c r="J6" s="3" t="s">
        <v>3015</v>
      </c>
      <c r="K6" s="14">
        <v>20</v>
      </c>
      <c r="L6" s="15" t="str">
        <f ca="1">"$"&amp;RANDBETWEEN(0,5)&amp;VLOOKUP(RANDBETWEEN(1,100),CHANGE,2)</f>
        <v>$0.44</v>
      </c>
      <c r="N6" s="3">
        <v>4</v>
      </c>
      <c r="O6" s="3" t="s">
        <v>145</v>
      </c>
      <c r="P6" s="3">
        <v>4</v>
      </c>
      <c r="Q6" s="2" t="s">
        <v>1143</v>
      </c>
      <c r="R6" s="7">
        <v>4</v>
      </c>
      <c r="S6" s="7" t="s">
        <v>1144</v>
      </c>
      <c r="U6" s="21" t="s">
        <v>1799</v>
      </c>
      <c r="W6" s="3">
        <v>4</v>
      </c>
      <c r="X6" s="3" t="s">
        <v>2618</v>
      </c>
      <c r="Y6" s="3" t="s">
        <v>2619</v>
      </c>
      <c r="Z6" s="3" t="s">
        <v>2620</v>
      </c>
      <c r="AA6" s="3" t="s">
        <v>2621</v>
      </c>
      <c r="AC6" s="3" t="s">
        <v>2462</v>
      </c>
    </row>
    <row r="7" spans="1:31" ht="40.5" customHeight="1" x14ac:dyDescent="0.2">
      <c r="A7" s="3">
        <v>4</v>
      </c>
      <c r="B7" s="3" t="str">
        <f ca="1">VLOOKUP(RANDBETWEEN(1,380),InTown,2)</f>
        <v>One of the Posse has an intense itch.</v>
      </c>
      <c r="D7" s="3">
        <v>6</v>
      </c>
      <c r="E7" s="2" t="s">
        <v>964</v>
      </c>
      <c r="F7" s="3">
        <v>6</v>
      </c>
      <c r="G7" s="3" t="s">
        <v>762</v>
      </c>
      <c r="H7" s="3">
        <v>6</v>
      </c>
      <c r="I7" s="3" t="s">
        <v>424</v>
      </c>
      <c r="J7" s="3" t="s">
        <v>3015</v>
      </c>
      <c r="K7" s="14">
        <v>25</v>
      </c>
      <c r="L7" s="15" t="str">
        <f ca="1">"$"&amp;RANDBETWEEN(0,5)&amp;VLOOKUP(RANDBETWEEN(1,100),CHANGE,2)</f>
        <v>$3.80</v>
      </c>
      <c r="N7" s="3">
        <v>5</v>
      </c>
      <c r="O7" s="3" t="s">
        <v>146</v>
      </c>
      <c r="P7" s="3">
        <v>5</v>
      </c>
      <c r="Q7" s="2">
        <v>0.41</v>
      </c>
      <c r="R7" s="7">
        <v>5</v>
      </c>
      <c r="S7" s="7" t="s">
        <v>1145</v>
      </c>
      <c r="T7" s="3">
        <v>1</v>
      </c>
      <c r="U7" s="2" t="s">
        <v>1958</v>
      </c>
      <c r="W7" s="3">
        <v>5</v>
      </c>
      <c r="X7" s="3" t="s">
        <v>2622</v>
      </c>
      <c r="Y7" s="3" t="s">
        <v>2623</v>
      </c>
      <c r="Z7" s="3" t="s">
        <v>1354</v>
      </c>
      <c r="AA7" s="3" t="s">
        <v>2624</v>
      </c>
      <c r="AC7" s="3" t="s">
        <v>2463</v>
      </c>
    </row>
    <row r="8" spans="1:31" ht="45.75" customHeight="1" x14ac:dyDescent="0.2">
      <c r="A8" s="3">
        <v>5</v>
      </c>
      <c r="B8" s="3" t="str">
        <f ca="1">VLOOKUP(RANDBETWEEN(1,37),Big,2)</f>
        <v>The Posse comes to a rocky crevasse.  While not impassable, it will require careful navigation. The crevasse is the home of a small collection Wall Crawlers.  The encounter should only appear to be a technical challenge, clambering up and down rocks, transporting their gear without breakage, etc. The whole time that they are engaged in this, they are being watched, and when they are at their most vulnerable 2 Wall Crawlers will attack. Beating off an attack while scattered over 200 vertical feet of rock will certainly add a certain level of tension!</v>
      </c>
      <c r="D8" s="3">
        <v>7</v>
      </c>
      <c r="E8" s="2" t="s">
        <v>421</v>
      </c>
      <c r="F8" s="3">
        <v>7</v>
      </c>
      <c r="G8" s="3" t="s">
        <v>763</v>
      </c>
      <c r="H8" s="3">
        <v>7</v>
      </c>
      <c r="I8" s="3" t="s">
        <v>425</v>
      </c>
      <c r="J8" s="3" t="s">
        <v>3015</v>
      </c>
      <c r="K8" s="14">
        <v>30</v>
      </c>
      <c r="L8" s="15" t="str">
        <f ca="1">"$"&amp;RANDBETWEEN(0,5)&amp;VLOOKUP(RANDBETWEEN(1,100),CHANGE,2)</f>
        <v>$1.36</v>
      </c>
      <c r="N8" s="3">
        <v>6</v>
      </c>
      <c r="O8" s="3" t="s">
        <v>147</v>
      </c>
      <c r="P8" s="3">
        <v>6</v>
      </c>
      <c r="Q8" s="2">
        <v>0.42</v>
      </c>
      <c r="R8" s="7">
        <v>6</v>
      </c>
      <c r="S8" s="7" t="s">
        <v>383</v>
      </c>
      <c r="T8" s="3">
        <v>10</v>
      </c>
      <c r="U8" s="2" t="s">
        <v>1957</v>
      </c>
      <c r="W8" s="3">
        <v>6</v>
      </c>
      <c r="X8" s="3" t="s">
        <v>2625</v>
      </c>
      <c r="Y8" s="3" t="s">
        <v>2626</v>
      </c>
      <c r="Z8" s="3" t="s">
        <v>2627</v>
      </c>
      <c r="AA8" s="3" t="s">
        <v>2628</v>
      </c>
      <c r="AC8" s="3" t="s">
        <v>2464</v>
      </c>
    </row>
    <row r="9" spans="1:31" ht="31.5" x14ac:dyDescent="0.2">
      <c r="B9" s="17" t="s">
        <v>637</v>
      </c>
      <c r="D9" s="3">
        <v>8</v>
      </c>
      <c r="E9" s="3" t="s">
        <v>553</v>
      </c>
      <c r="F9" s="3">
        <v>8</v>
      </c>
      <c r="G9" s="3" t="s">
        <v>764</v>
      </c>
      <c r="H9" s="3">
        <v>8</v>
      </c>
      <c r="I9" s="3" t="str">
        <f ca="1">"A bully "&amp;VLOOKUP(RANDBETWEEN(1,40),town,2)</f>
        <v>A bully forming a posse.</v>
      </c>
      <c r="J9" s="3" t="s">
        <v>3015</v>
      </c>
      <c r="K9" s="14">
        <v>35</v>
      </c>
      <c r="L9" s="15" t="str">
        <f ca="1">"$"&amp;RANDBETWEEN(1,5)&amp;VLOOKUP(RANDBETWEEN(1,100),CHANGE,2)</f>
        <v>$2.60</v>
      </c>
      <c r="N9" s="3">
        <v>7</v>
      </c>
      <c r="O9" s="3" t="s">
        <v>285</v>
      </c>
      <c r="P9" s="3">
        <v>7</v>
      </c>
      <c r="Q9" s="2">
        <v>0.44</v>
      </c>
      <c r="R9" s="7">
        <v>7</v>
      </c>
      <c r="S9" s="7" t="s">
        <v>1146</v>
      </c>
      <c r="W9" s="3">
        <v>7</v>
      </c>
      <c r="X9" s="3" t="s">
        <v>2629</v>
      </c>
      <c r="Y9" s="3" t="s">
        <v>2630</v>
      </c>
      <c r="Z9" s="3" t="s">
        <v>2631</v>
      </c>
      <c r="AA9" s="3" t="s">
        <v>2981</v>
      </c>
      <c r="AC9" s="3" t="s">
        <v>2465</v>
      </c>
    </row>
    <row r="10" spans="1:31" ht="47.25" x14ac:dyDescent="0.2">
      <c r="B10" s="3" t="s">
        <v>2895</v>
      </c>
      <c r="D10" s="3">
        <v>9</v>
      </c>
      <c r="E10" s="3" t="s">
        <v>423</v>
      </c>
      <c r="F10" s="3">
        <v>9</v>
      </c>
      <c r="G10" s="3" t="s">
        <v>765</v>
      </c>
      <c r="H10" s="3">
        <v>9</v>
      </c>
      <c r="I10" s="3" t="s">
        <v>461</v>
      </c>
      <c r="J10" s="3" t="s">
        <v>3015</v>
      </c>
      <c r="K10" s="14">
        <v>40</v>
      </c>
      <c r="L10" s="15" t="str">
        <f ca="1">"$"&amp;RANDBETWEEN(0,10)&amp;VLOOKUP(RANDBETWEEN(1,100),CHANGE,2)</f>
        <v>$8.38</v>
      </c>
      <c r="N10" s="3">
        <v>8</v>
      </c>
      <c r="O10" s="3" t="s">
        <v>148</v>
      </c>
      <c r="P10" s="3">
        <v>8</v>
      </c>
      <c r="Q10" s="2">
        <v>0.45</v>
      </c>
      <c r="R10" s="7">
        <v>8</v>
      </c>
      <c r="S10" s="7" t="s">
        <v>1147</v>
      </c>
      <c r="U10" s="21" t="s">
        <v>1163</v>
      </c>
      <c r="W10" s="3">
        <v>8</v>
      </c>
      <c r="X10" s="3" t="s">
        <v>2632</v>
      </c>
      <c r="Y10" s="3" t="s">
        <v>2633</v>
      </c>
      <c r="Z10" s="3" t="s">
        <v>2634</v>
      </c>
      <c r="AA10" s="3" t="s">
        <v>2635</v>
      </c>
      <c r="AC10" s="3" t="s">
        <v>2466</v>
      </c>
    </row>
    <row r="11" spans="1:31" ht="63" x14ac:dyDescent="0.2">
      <c r="A11" s="3">
        <v>1</v>
      </c>
      <c r="B11" s="3" t="str">
        <f ca="1">VLOOKUP(RANDBETWEEN(1,425),InWilderness,2)</f>
        <v>Deer tracks heading east.</v>
      </c>
      <c r="D11" s="3">
        <v>10</v>
      </c>
      <c r="E11" s="3" t="s">
        <v>470</v>
      </c>
      <c r="F11" s="3">
        <v>10</v>
      </c>
      <c r="G11" s="3" t="s">
        <v>2789</v>
      </c>
      <c r="H11" s="3">
        <v>10</v>
      </c>
      <c r="I11" s="3" t="s">
        <v>564</v>
      </c>
      <c r="J11" s="3" t="s">
        <v>3015</v>
      </c>
      <c r="K11" s="14">
        <v>42</v>
      </c>
      <c r="L11" s="15" t="str">
        <f ca="1">"$"&amp;RANDBETWEEN(0,10)&amp;VLOOKUP(RANDBETWEEN(1,100),CHANGE,2)</f>
        <v>$1.75</v>
      </c>
      <c r="P11" s="3">
        <v>9</v>
      </c>
      <c r="Q11" s="2">
        <v>0.46</v>
      </c>
      <c r="R11" s="7">
        <v>9</v>
      </c>
      <c r="S11" s="7" t="s">
        <v>1148</v>
      </c>
      <c r="T11" s="3">
        <v>1</v>
      </c>
      <c r="U11" s="2" t="s">
        <v>2033</v>
      </c>
      <c r="W11" s="3">
        <v>9</v>
      </c>
      <c r="X11" s="3" t="s">
        <v>2636</v>
      </c>
      <c r="Y11" s="3" t="s">
        <v>2637</v>
      </c>
      <c r="Z11" s="3" t="s">
        <v>2638</v>
      </c>
      <c r="AA11" s="3" t="s">
        <v>2639</v>
      </c>
      <c r="AC11" s="3" t="s">
        <v>2467</v>
      </c>
    </row>
    <row r="12" spans="1:31" ht="63" x14ac:dyDescent="0.2">
      <c r="A12" s="3">
        <v>2</v>
      </c>
      <c r="B12" s="3" t="str">
        <f ca="1">VLOOKUP(RANDBETWEEN(1,425),InWilderness,2)</f>
        <v>An enormous hole in the ground that has clearly been dug out by shovels. It used to be a diamond mine, but has long since been abandoned.</v>
      </c>
      <c r="D12" s="3">
        <v>11</v>
      </c>
      <c r="E12" s="3" t="s">
        <v>469</v>
      </c>
      <c r="F12" s="3">
        <v>11</v>
      </c>
      <c r="G12" s="3" t="s">
        <v>766</v>
      </c>
      <c r="H12" s="3">
        <v>11</v>
      </c>
      <c r="I12" s="3" t="s">
        <v>475</v>
      </c>
      <c r="J12" s="3" t="s">
        <v>3015</v>
      </c>
      <c r="K12" s="14">
        <v>44</v>
      </c>
      <c r="L12" s="15" t="str">
        <f ca="1">"$"&amp;RANDBETWEEN(1,10)&amp;VLOOKUP(RANDBETWEEN(1,100),CHANGE,2)</f>
        <v>$6.33</v>
      </c>
      <c r="O12" s="22" t="s">
        <v>911</v>
      </c>
      <c r="P12" s="3">
        <v>10</v>
      </c>
      <c r="Q12" s="2" t="s">
        <v>1149</v>
      </c>
      <c r="R12" s="7">
        <v>10</v>
      </c>
      <c r="S12" s="7" t="s">
        <v>1150</v>
      </c>
      <c r="T12" s="3">
        <v>8</v>
      </c>
      <c r="U12" s="2" t="s">
        <v>2034</v>
      </c>
      <c r="W12" s="3">
        <v>10</v>
      </c>
      <c r="X12" s="3" t="s">
        <v>2640</v>
      </c>
      <c r="Y12" s="3" t="s">
        <v>2641</v>
      </c>
      <c r="Z12" s="3" t="s">
        <v>2642</v>
      </c>
      <c r="AA12" s="3" t="s">
        <v>2643</v>
      </c>
      <c r="AC12" s="3" t="s">
        <v>2468</v>
      </c>
    </row>
    <row r="13" spans="1:31" ht="48.75" customHeight="1" x14ac:dyDescent="0.2">
      <c r="A13" s="3">
        <v>3</v>
      </c>
      <c r="B13" s="3" t="str">
        <f ca="1">VLOOKUP(RANDBETWEEN(1,425),InWilderness,2)</f>
        <v>A line of pillars that stretches straight across the plains and through the ocean to the other side of the world.</v>
      </c>
      <c r="D13" s="3">
        <v>12</v>
      </c>
      <c r="E13" s="3" t="s">
        <v>426</v>
      </c>
      <c r="F13" s="3">
        <v>12</v>
      </c>
      <c r="G13" s="3" t="s">
        <v>767</v>
      </c>
      <c r="H13" s="3">
        <v>12</v>
      </c>
      <c r="I13" s="3" t="s">
        <v>478</v>
      </c>
      <c r="J13" s="3" t="s">
        <v>3015</v>
      </c>
      <c r="K13" s="14">
        <v>46</v>
      </c>
      <c r="L13" s="15" t="str">
        <f ca="1">"$"&amp;RANDBETWEEN(5,10)&amp;VLOOKUP(RANDBETWEEN(1,100),CHANGE,2)</f>
        <v>$6.06</v>
      </c>
      <c r="N13" s="3">
        <v>1</v>
      </c>
      <c r="O13" s="3" t="s">
        <v>212</v>
      </c>
      <c r="P13" s="3">
        <v>11</v>
      </c>
      <c r="Q13" s="2">
        <v>0.56000000000000005</v>
      </c>
      <c r="R13" s="7">
        <v>11</v>
      </c>
      <c r="S13" s="7" t="s">
        <v>1151</v>
      </c>
      <c r="W13" s="3">
        <v>11</v>
      </c>
      <c r="X13" s="3" t="s">
        <v>2644</v>
      </c>
      <c r="Y13" s="3" t="s">
        <v>2645</v>
      </c>
      <c r="Z13" s="3" t="s">
        <v>2646</v>
      </c>
      <c r="AA13" s="3" t="s">
        <v>2647</v>
      </c>
      <c r="AC13" s="3" t="s">
        <v>2469</v>
      </c>
    </row>
    <row r="14" spans="1:31" ht="47.25" x14ac:dyDescent="0.2">
      <c r="A14" s="3">
        <v>4</v>
      </c>
      <c r="B14" s="3" t="str">
        <f ca="1">VLOOKUP(RANDBETWEEN(1,425),InWilderness,2)</f>
        <v>A broken, rotted wagon wheel lies forgotten.</v>
      </c>
      <c r="D14" s="3">
        <v>13</v>
      </c>
      <c r="E14" s="3" t="s">
        <v>543</v>
      </c>
      <c r="F14" s="3">
        <v>13</v>
      </c>
      <c r="G14" s="3" t="s">
        <v>768</v>
      </c>
      <c r="H14" s="3">
        <v>13</v>
      </c>
      <c r="I14" s="3" t="str">
        <f ca="1">"A chugger {charity mugger} approaches with a clipboard and asks if the party can spare a few moments and a small monthly contribution to ease the plight of "&amp;VLOOKUP(RANDBETWEEN(1,20),plight,2)</f>
        <v>A chugger {charity mugger} approaches with a clipboard and asks if the party can spare a few moments and a small monthly contribution to ease the plight of those afflicted with "zombie-isim".</v>
      </c>
      <c r="J14" s="3" t="s">
        <v>3015</v>
      </c>
      <c r="K14" s="14">
        <v>47</v>
      </c>
      <c r="L14" s="15" t="str">
        <f ca="1">"$"&amp;RANDBETWEEN(1,50)&amp;VLOOKUP(RANDBETWEEN(1,100),CHANGE,2)</f>
        <v>$17.17</v>
      </c>
      <c r="N14" s="3">
        <v>2</v>
      </c>
      <c r="O14" s="3" t="s">
        <v>213</v>
      </c>
      <c r="P14" s="3">
        <v>12</v>
      </c>
      <c r="Q14" s="2">
        <v>0.56999999999999995</v>
      </c>
      <c r="R14" s="7">
        <v>12</v>
      </c>
      <c r="S14" s="7" t="s">
        <v>1152</v>
      </c>
      <c r="U14" s="22" t="s">
        <v>1955</v>
      </c>
      <c r="W14" s="3">
        <v>12</v>
      </c>
      <c r="X14" s="3" t="s">
        <v>2648</v>
      </c>
      <c r="Y14" s="3" t="s">
        <v>2649</v>
      </c>
      <c r="Z14" s="3" t="s">
        <v>2650</v>
      </c>
      <c r="AA14" s="3" t="s">
        <v>2651</v>
      </c>
      <c r="AC14" s="3" t="s">
        <v>2470</v>
      </c>
    </row>
    <row r="15" spans="1:31" ht="110.25" x14ac:dyDescent="0.2">
      <c r="A15" s="3">
        <v>5</v>
      </c>
      <c r="B15" s="3" t="str">
        <f ca="1">VLOOKUP(RANDBETWEEN(1,37),Big,2)</f>
        <v>On a dark and windy day, the Posse rests upon a ridge.  When all at once a mighty herd of red eyed cows come plowin' through the ragged skies and up a cloudy draw.  Their brands are still on fire and their hooves are made of steel their horns are black and shiny and their hot breath burns the Posses’ faces…  A bolt of fear drives through the Posse as the heard thunders through the sky, for the riders can be seen coming hard and their mournful cry echoes.  Their faces are gaunt their eyes are blurred and their shirts all soaked with sweat, they're ridin' hard to catch that herd…</v>
      </c>
      <c r="D15" s="3">
        <v>14</v>
      </c>
      <c r="E15" s="3" t="s">
        <v>484</v>
      </c>
      <c r="F15" s="3">
        <v>14</v>
      </c>
      <c r="G15" s="3" t="s">
        <v>769</v>
      </c>
      <c r="H15" s="3">
        <v>14</v>
      </c>
      <c r="I15" s="3" t="str">
        <f ca="1">"A cowboy "&amp;VLOOKUP(RANDBETWEEN(1,40),town,2)</f>
        <v>A cowboy skipping out on a wedding.</v>
      </c>
      <c r="J15" s="3" t="s">
        <v>3015</v>
      </c>
      <c r="K15" s="14">
        <v>48</v>
      </c>
      <c r="L15" s="15" t="str">
        <f ca="1">"$"&amp;RANDBETWEEN(1,5)&amp;VLOOKUP(RANDBETWEEN(1,100),CHANGE,2)</f>
        <v>$4.40</v>
      </c>
      <c r="N15" s="3">
        <v>3</v>
      </c>
      <c r="O15" s="3" t="s">
        <v>214</v>
      </c>
      <c r="P15" s="3">
        <v>13</v>
      </c>
      <c r="Q15" s="2">
        <v>0.57999999999999996</v>
      </c>
      <c r="R15" s="7">
        <v>13</v>
      </c>
      <c r="S15" s="7" t="s">
        <v>1153</v>
      </c>
      <c r="T15" s="3">
        <v>1</v>
      </c>
      <c r="U15" s="3" t="s">
        <v>1956</v>
      </c>
      <c r="W15" s="3">
        <v>13</v>
      </c>
      <c r="X15" s="3" t="s">
        <v>2652</v>
      </c>
      <c r="Y15" s="3" t="s">
        <v>2982</v>
      </c>
      <c r="Z15" s="3" t="s">
        <v>2653</v>
      </c>
      <c r="AA15" s="3" t="s">
        <v>1686</v>
      </c>
      <c r="AC15" s="3" t="s">
        <v>2471</v>
      </c>
    </row>
    <row r="16" spans="1:31" ht="47.25" x14ac:dyDescent="0.2">
      <c r="B16" s="47" t="s">
        <v>2879</v>
      </c>
      <c r="D16" s="3">
        <v>15</v>
      </c>
      <c r="E16" s="3" t="s">
        <v>461</v>
      </c>
      <c r="F16" s="3">
        <v>15</v>
      </c>
      <c r="G16" s="3" t="s">
        <v>770</v>
      </c>
      <c r="H16" s="3">
        <v>15</v>
      </c>
      <c r="I16" s="3" t="s">
        <v>835</v>
      </c>
      <c r="J16" s="3" t="s">
        <v>3015</v>
      </c>
      <c r="K16" s="14">
        <v>49</v>
      </c>
      <c r="L16" s="3" t="str">
        <f ca="1">"$"&amp;RANDBETWEEN(1,50)&amp;VLOOKUP(RANDBETWEEN(1,100),CHANGE,2)</f>
        <v>$24.14</v>
      </c>
      <c r="P16" s="3">
        <v>14</v>
      </c>
      <c r="Q16" s="2">
        <v>0.69</v>
      </c>
      <c r="R16" s="7">
        <v>14</v>
      </c>
      <c r="S16" s="7" t="s">
        <v>1154</v>
      </c>
      <c r="T16" s="3">
        <v>2</v>
      </c>
      <c r="U16" s="3" t="s">
        <v>1954</v>
      </c>
      <c r="W16" s="3">
        <v>14</v>
      </c>
      <c r="X16" s="3" t="s">
        <v>2654</v>
      </c>
      <c r="Y16" s="3" t="s">
        <v>2983</v>
      </c>
      <c r="Z16" s="3" t="s">
        <v>1543</v>
      </c>
      <c r="AA16" s="3" t="s">
        <v>2655</v>
      </c>
      <c r="AC16" s="3" t="s">
        <v>2472</v>
      </c>
    </row>
    <row r="17" spans="1:29" ht="63" x14ac:dyDescent="0.2">
      <c r="B17" s="7" t="s">
        <v>2896</v>
      </c>
      <c r="D17" s="3">
        <v>16</v>
      </c>
      <c r="E17" s="3" t="s">
        <v>564</v>
      </c>
      <c r="F17" s="3">
        <v>16</v>
      </c>
      <c r="G17" s="3" t="s">
        <v>771</v>
      </c>
      <c r="H17" s="3">
        <v>16</v>
      </c>
      <c r="I17" s="3" t="s">
        <v>837</v>
      </c>
      <c r="J17" s="3" t="s">
        <v>3015</v>
      </c>
      <c r="K17" s="14">
        <v>50</v>
      </c>
      <c r="L17" s="15" t="str">
        <f ca="1">"$"&amp;RANDBETWEEN(1,10)&amp;VLOOKUP(RANDBETWEEN(1,100),CHANGE,2)</f>
        <v>$5.42</v>
      </c>
      <c r="O17" s="22" t="s">
        <v>912</v>
      </c>
      <c r="P17" s="3">
        <v>15</v>
      </c>
      <c r="Q17" s="2" t="s">
        <v>1155</v>
      </c>
      <c r="R17" s="7">
        <v>15</v>
      </c>
      <c r="S17" s="7" t="s">
        <v>1156</v>
      </c>
      <c r="W17" s="3">
        <v>15</v>
      </c>
      <c r="X17" s="3" t="s">
        <v>2656</v>
      </c>
      <c r="Y17" s="3" t="s">
        <v>2657</v>
      </c>
      <c r="Z17" s="3" t="s">
        <v>2658</v>
      </c>
      <c r="AA17" s="3" t="s">
        <v>2659</v>
      </c>
      <c r="AC17" s="3" t="s">
        <v>2473</v>
      </c>
    </row>
    <row r="18" spans="1:29" ht="31.5" x14ac:dyDescent="0.2">
      <c r="A18" s="3">
        <v>1</v>
      </c>
      <c r="B18" s="3" t="str">
        <f ca="1">VLOOKUP(RANDBETWEEN(1,414),InWilderness,2)</f>
        <v>A deep arroyo, its sandstone cliffs layered in sunset pastels and honeycombed with small holes that are home to a multitude of scorpions {small and large} and everything in between. Experienced Posse members will think nothing of small, normal stinging creatures, but hundreds of them at once can present a dangerous challenge.</v>
      </c>
      <c r="D18" s="3">
        <v>17</v>
      </c>
      <c r="E18" s="3" t="s">
        <v>475</v>
      </c>
      <c r="F18" s="3">
        <v>17</v>
      </c>
      <c r="G18" s="3" t="s">
        <v>772</v>
      </c>
      <c r="H18" s="3">
        <v>17</v>
      </c>
      <c r="I18" s="3" t="s">
        <v>838</v>
      </c>
      <c r="J18" s="3" t="s">
        <v>3015</v>
      </c>
      <c r="K18" s="14">
        <v>51</v>
      </c>
      <c r="L18" s="3" t="s">
        <v>2727</v>
      </c>
      <c r="N18" s="3">
        <v>1</v>
      </c>
      <c r="O18" s="3" t="s">
        <v>211</v>
      </c>
      <c r="P18" s="3">
        <v>16</v>
      </c>
      <c r="Q18" s="2" t="s">
        <v>1157</v>
      </c>
      <c r="R18" s="7"/>
      <c r="S18" s="7"/>
      <c r="U18" s="22" t="s">
        <v>2124</v>
      </c>
      <c r="W18" s="3">
        <v>16</v>
      </c>
      <c r="X18" s="3" t="s">
        <v>2660</v>
      </c>
      <c r="Y18" s="3" t="s">
        <v>2661</v>
      </c>
      <c r="Z18" s="3" t="s">
        <v>2662</v>
      </c>
      <c r="AA18" s="3" t="s">
        <v>2663</v>
      </c>
      <c r="AC18" s="3" t="s">
        <v>2474</v>
      </c>
    </row>
    <row r="19" spans="1:29" ht="31.5" x14ac:dyDescent="0.2">
      <c r="A19" s="3">
        <v>2</v>
      </c>
      <c r="B19" s="3" t="str">
        <f ca="1">VLOOKUP(RANDBETWEEN(1,414),InWilderness,2)</f>
        <v>Dead, rotted, burnt, headless body sits in the middle of the path.</v>
      </c>
      <c r="D19" s="3">
        <v>18</v>
      </c>
      <c r="E19" s="3" t="s">
        <v>493</v>
      </c>
      <c r="F19" s="3">
        <v>18</v>
      </c>
      <c r="G19" s="3" t="s">
        <v>773</v>
      </c>
      <c r="H19" s="3">
        <v>18</v>
      </c>
      <c r="I19" s="3" t="str">
        <f ca="1">"A drunk "&amp;VLOOKUP(RANDBETWEEN(1,40),town,2)</f>
        <v>A drunk skipping out on a wedding.</v>
      </c>
      <c r="J19" s="3" t="s">
        <v>3015</v>
      </c>
      <c r="K19" s="14">
        <v>52</v>
      </c>
      <c r="L19" s="3" t="s">
        <v>2728</v>
      </c>
      <c r="N19" s="3">
        <v>2</v>
      </c>
      <c r="O19" s="3" t="s">
        <v>305</v>
      </c>
      <c r="P19" s="3">
        <v>17</v>
      </c>
      <c r="Q19" s="2" t="s">
        <v>1158</v>
      </c>
      <c r="R19" s="7"/>
      <c r="S19" s="47" t="s">
        <v>1159</v>
      </c>
      <c r="T19" s="3">
        <v>1</v>
      </c>
      <c r="U19" s="3" t="s">
        <v>2125</v>
      </c>
      <c r="W19" s="3">
        <v>17</v>
      </c>
      <c r="X19" s="3" t="s">
        <v>2664</v>
      </c>
      <c r="Y19" s="3" t="s">
        <v>2665</v>
      </c>
      <c r="Z19" s="3" t="s">
        <v>2666</v>
      </c>
      <c r="AA19" s="3" t="s">
        <v>2667</v>
      </c>
      <c r="AC19" s="3" t="s">
        <v>2475</v>
      </c>
    </row>
    <row r="20" spans="1:29" ht="94.5" x14ac:dyDescent="0.2">
      <c r="A20" s="3">
        <v>3</v>
      </c>
      <c r="B20" s="3" t="str">
        <f ca="1">VLOOKUP(RANDBETWEEN(158,336),NPCS,2)</f>
        <v>A detective herding cattle through town.</v>
      </c>
      <c r="D20" s="3">
        <v>19</v>
      </c>
      <c r="E20" s="3" t="s">
        <v>454</v>
      </c>
      <c r="F20" s="3">
        <v>19</v>
      </c>
      <c r="G20" s="3" t="s">
        <v>774</v>
      </c>
      <c r="H20" s="3">
        <v>19</v>
      </c>
      <c r="I20" s="3" t="s">
        <v>500</v>
      </c>
      <c r="J20" s="3" t="s">
        <v>3015</v>
      </c>
      <c r="K20" s="14">
        <v>53</v>
      </c>
      <c r="L20" s="3" t="str">
        <f ca="1">"a hanky with the initials "&amp;VLOOKUP(RANDBETWEEN(1,13),LETTERS,2)&amp;"."&amp;VLOOKUP(RANDBETWEEN(14,26),LETTERS,2)&amp;". on them"</f>
        <v>a hanky with the initials V.H. on them</v>
      </c>
      <c r="N20" s="3">
        <v>3</v>
      </c>
      <c r="O20" s="3" t="s">
        <v>2869</v>
      </c>
      <c r="P20" s="3">
        <v>18</v>
      </c>
      <c r="Q20" s="2" t="s">
        <v>1160</v>
      </c>
      <c r="R20" s="7">
        <v>1</v>
      </c>
      <c r="S20" s="7" t="s">
        <v>1142</v>
      </c>
      <c r="T20" s="3">
        <v>2</v>
      </c>
      <c r="U20" s="3" t="s">
        <v>2126</v>
      </c>
      <c r="W20" s="3">
        <v>18</v>
      </c>
      <c r="X20" s="3" t="s">
        <v>2668</v>
      </c>
      <c r="Y20" s="3" t="s">
        <v>1618</v>
      </c>
      <c r="Z20" s="3" t="s">
        <v>2669</v>
      </c>
      <c r="AA20" s="3" t="s">
        <v>2670</v>
      </c>
      <c r="AC20" s="3" t="s">
        <v>2476</v>
      </c>
    </row>
    <row r="21" spans="1:29" ht="63" x14ac:dyDescent="0.2">
      <c r="A21" s="3">
        <v>4</v>
      </c>
      <c r="B21" s="7" t="str">
        <f ca="1">VLOOKUP(RANDBETWEEN(1,20),TDT,2)</f>
        <v>6 Walkin’ Dead.</v>
      </c>
      <c r="D21" s="3">
        <v>20</v>
      </c>
      <c r="E21" s="3" t="s">
        <v>545</v>
      </c>
      <c r="F21" s="3">
        <v>20</v>
      </c>
      <c r="G21" s="3" t="s">
        <v>775</v>
      </c>
      <c r="H21" s="3">
        <v>20</v>
      </c>
      <c r="I21" s="3" t="s">
        <v>639</v>
      </c>
      <c r="J21" s="3" t="s">
        <v>3015</v>
      </c>
      <c r="K21" s="14">
        <v>54</v>
      </c>
      <c r="L21" s="3" t="str">
        <f ca="1">"pocket watch "&amp;VLOOKUP(RANDBETWEEN(1,10),MAGIC,2)</f>
        <v>pocket watch (non-magical)</v>
      </c>
      <c r="O21" s="22" t="s">
        <v>913</v>
      </c>
      <c r="R21" s="7">
        <v>2</v>
      </c>
      <c r="S21" s="7" t="s">
        <v>1170</v>
      </c>
      <c r="T21" s="3">
        <v>3</v>
      </c>
      <c r="U21" s="3" t="s">
        <v>2127</v>
      </c>
      <c r="W21" s="3">
        <v>19</v>
      </c>
      <c r="X21" s="3" t="s">
        <v>2671</v>
      </c>
      <c r="Y21" s="3" t="s">
        <v>2653</v>
      </c>
      <c r="Z21" s="3" t="s">
        <v>2672</v>
      </c>
      <c r="AA21" s="3" t="s">
        <v>2673</v>
      </c>
      <c r="AC21" s="3" t="s">
        <v>2477</v>
      </c>
    </row>
    <row r="22" spans="1:29" ht="31.5" x14ac:dyDescent="0.2">
      <c r="A22" s="3">
        <v>5</v>
      </c>
      <c r="B22" s="7" t="str">
        <f ca="1">VLOOKUP(RANDBETWEEN(1,20),TDT,2)</f>
        <v>10 Outlaws.</v>
      </c>
      <c r="D22" s="3">
        <v>21</v>
      </c>
      <c r="E22" s="3" t="s">
        <v>521</v>
      </c>
      <c r="F22" s="3">
        <v>21</v>
      </c>
      <c r="G22" s="3" t="s">
        <v>776</v>
      </c>
      <c r="H22" s="3">
        <v>21</v>
      </c>
      <c r="I22" s="3" t="s">
        <v>662</v>
      </c>
      <c r="J22" s="3" t="s">
        <v>3015</v>
      </c>
      <c r="K22" s="14">
        <v>55</v>
      </c>
      <c r="L22" s="3" t="str">
        <f ca="1">"a gold pocket watch with the initials "&amp;VLOOKUP(RANDBETWEEN(14,26),LETTERS,2)&amp;"."&amp;VLOOKUP(RANDBETWEEN(1,13),LETTERS,2)&amp;"."</f>
        <v>a gold pocket watch with the initials N.S.</v>
      </c>
      <c r="N22" s="3">
        <v>1</v>
      </c>
      <c r="O22" s="3" t="s">
        <v>219</v>
      </c>
      <c r="R22" s="7">
        <v>3</v>
      </c>
      <c r="S22" s="7" t="s">
        <v>1171</v>
      </c>
      <c r="T22" s="3">
        <v>4</v>
      </c>
      <c r="U22" s="3" t="s">
        <v>2128</v>
      </c>
      <c r="W22" s="3">
        <v>20</v>
      </c>
      <c r="X22" s="3" t="s">
        <v>2674</v>
      </c>
      <c r="Y22" s="3" t="s">
        <v>2675</v>
      </c>
      <c r="Z22" s="3" t="s">
        <v>2676</v>
      </c>
      <c r="AA22" s="3" t="s">
        <v>2677</v>
      </c>
      <c r="AC22" s="3" t="s">
        <v>2478</v>
      </c>
    </row>
    <row r="23" spans="1:29" ht="47.25" x14ac:dyDescent="0.2">
      <c r="B23" s="47" t="s">
        <v>2880</v>
      </c>
      <c r="D23" s="3">
        <v>22</v>
      </c>
      <c r="E23" s="3" t="s">
        <v>481</v>
      </c>
      <c r="F23" s="3">
        <v>22</v>
      </c>
      <c r="G23" s="3" t="s">
        <v>777</v>
      </c>
      <c r="H23" s="3">
        <v>22</v>
      </c>
      <c r="I23" s="3" t="s">
        <v>663</v>
      </c>
      <c r="J23" s="3" t="s">
        <v>3015</v>
      </c>
      <c r="K23" s="14">
        <v>56</v>
      </c>
      <c r="L23" s="3" t="s">
        <v>1933</v>
      </c>
      <c r="N23" s="3">
        <v>2</v>
      </c>
      <c r="O23" s="3" t="s">
        <v>220</v>
      </c>
      <c r="R23" s="7">
        <v>4</v>
      </c>
      <c r="S23" s="7" t="s">
        <v>1172</v>
      </c>
      <c r="T23" s="3">
        <v>5</v>
      </c>
      <c r="U23" s="3" t="s">
        <v>2129</v>
      </c>
      <c r="W23" s="3">
        <v>21</v>
      </c>
      <c r="X23" s="25" t="s">
        <v>2607</v>
      </c>
      <c r="Y23" s="3" t="s">
        <v>2678</v>
      </c>
      <c r="Z23" s="3" t="s">
        <v>1503</v>
      </c>
      <c r="AA23" s="3" t="s">
        <v>2679</v>
      </c>
      <c r="AC23" s="3" t="s">
        <v>2479</v>
      </c>
    </row>
    <row r="24" spans="1:29" ht="63" x14ac:dyDescent="0.2">
      <c r="B24" s="7" t="s">
        <v>2897</v>
      </c>
      <c r="D24" s="3">
        <v>23</v>
      </c>
      <c r="E24" s="3" t="s">
        <v>478</v>
      </c>
      <c r="F24" s="3">
        <v>23</v>
      </c>
      <c r="G24" s="3" t="s">
        <v>778</v>
      </c>
      <c r="H24" s="3">
        <v>23</v>
      </c>
      <c r="I24" s="3" t="s">
        <v>477</v>
      </c>
      <c r="J24" s="3" t="s">
        <v>3015</v>
      </c>
      <c r="K24" s="14">
        <v>57</v>
      </c>
      <c r="L24" s="3" t="s">
        <v>1934</v>
      </c>
      <c r="N24" s="3">
        <v>3</v>
      </c>
      <c r="O24" s="3" t="s">
        <v>221</v>
      </c>
      <c r="R24" s="7">
        <v>5</v>
      </c>
      <c r="S24" s="7" t="s">
        <v>1173</v>
      </c>
    </row>
    <row r="25" spans="1:29" ht="67.5" customHeight="1" x14ac:dyDescent="0.2">
      <c r="A25" s="3">
        <v>1</v>
      </c>
      <c r="B25" s="3" t="str">
        <f ca="1">VLOOKUP(RANDBETWEEN(1,414),InWilderness,2)</f>
        <v>Rich Tinhorn Traveler {worth $6294.00} who is looking for fellows to travel with.</v>
      </c>
      <c r="D25" s="3">
        <v>24</v>
      </c>
      <c r="E25" s="3" t="s">
        <v>428</v>
      </c>
      <c r="F25" s="3">
        <v>24</v>
      </c>
      <c r="G25" s="3" t="s">
        <v>779</v>
      </c>
      <c r="H25" s="3">
        <v>24</v>
      </c>
      <c r="I25" s="3" t="s">
        <v>458</v>
      </c>
      <c r="J25" s="3" t="s">
        <v>3015</v>
      </c>
      <c r="K25" s="14">
        <v>58</v>
      </c>
      <c r="L25" s="3" t="s">
        <v>1935</v>
      </c>
      <c r="N25" s="3">
        <v>4</v>
      </c>
      <c r="O25" s="3" t="s">
        <v>222</v>
      </c>
      <c r="R25" s="7">
        <v>6</v>
      </c>
      <c r="S25" s="7" t="s">
        <v>1177</v>
      </c>
      <c r="U25" s="22" t="s">
        <v>2132</v>
      </c>
    </row>
    <row r="26" spans="1:29" ht="47.25" x14ac:dyDescent="0.2">
      <c r="A26" s="3">
        <v>2</v>
      </c>
      <c r="B26" s="3" t="str">
        <f ca="1">VLOOKUP(RANDBETWEEN(1,414),InWilderness,2)</f>
        <v>As the Posse settles for the night a church congregations singing "We'll shall gather at the river" wanders by heading for… the River!</v>
      </c>
      <c r="D26" s="3">
        <v>25</v>
      </c>
      <c r="E26" s="3" t="s">
        <v>429</v>
      </c>
      <c r="F26" s="3">
        <v>25</v>
      </c>
      <c r="G26" s="3" t="s">
        <v>780</v>
      </c>
      <c r="H26" s="3">
        <v>25</v>
      </c>
      <c r="I26" s="3" t="s">
        <v>489</v>
      </c>
      <c r="J26" s="3" t="s">
        <v>3015</v>
      </c>
      <c r="K26" s="14">
        <v>59</v>
      </c>
      <c r="L26" s="3" t="s">
        <v>2710</v>
      </c>
      <c r="R26" s="7">
        <v>7</v>
      </c>
      <c r="S26" s="7" t="s">
        <v>1167</v>
      </c>
      <c r="T26" s="3">
        <v>1</v>
      </c>
      <c r="U26" s="3" t="s">
        <v>2130</v>
      </c>
    </row>
    <row r="27" spans="1:29" ht="47.25" x14ac:dyDescent="0.2">
      <c r="A27" s="3">
        <v>3</v>
      </c>
      <c r="B27" s="3" t="str">
        <f ca="1">VLOOKUP(RANDBETWEEN(158,336),NPCS,2)</f>
        <v>As the Posse approaches a homestead the head of the household entreats the Posse: A local land/cattle/rail baron has resorted to all manner of underhanded methods to drive them off their homestead, in hopes of swiping up their land for various reasons.</v>
      </c>
      <c r="D27" s="3">
        <v>26</v>
      </c>
      <c r="E27" s="3" t="str">
        <f ca="1">"A chugger {charity mugger} approaches with a clipboard and asks if the party can spare a few moments and a small monthly contribution to ease the plight of "&amp;VLOOKUP(RANDBETWEEN(1,20),plight,2)</f>
        <v>A chugger {charity mugger} approaches with a clipboard and asks if the party can spare a few moments and a small monthly contribution to ease the plight of environmental erosion.</v>
      </c>
      <c r="F27" s="3">
        <v>26</v>
      </c>
      <c r="G27" s="3" t="s">
        <v>781</v>
      </c>
      <c r="H27" s="3">
        <v>26</v>
      </c>
      <c r="I27" s="1" t="str">
        <f ca="1">"A gunsmith "&amp;VLOOKUP(RANDBETWEEN(1,40),town,2)</f>
        <v>A gunsmith loading supplies onto a wagon.</v>
      </c>
      <c r="J27" s="1" t="s">
        <v>3015</v>
      </c>
      <c r="K27" s="14">
        <v>60</v>
      </c>
      <c r="L27" s="3" t="str">
        <f ca="1">"a silver pocket watch with the initials "&amp;VLOOKUP(RANDBETWEEN(1,26),LETTERS,2)&amp;"."&amp;VLOOKUP(RANDBETWEEN(1,26),LETTERS,2)&amp;"."</f>
        <v>a silver pocket watch with the initials Z.J.</v>
      </c>
      <c r="O27" s="22" t="s">
        <v>914</v>
      </c>
      <c r="R27" s="7">
        <v>8</v>
      </c>
      <c r="S27" s="7" t="s">
        <v>1168</v>
      </c>
      <c r="T27" s="3">
        <v>2</v>
      </c>
      <c r="U27" s="3" t="s">
        <v>2131</v>
      </c>
    </row>
    <row r="28" spans="1:29" ht="78.75" x14ac:dyDescent="0.2">
      <c r="A28" s="3">
        <v>4</v>
      </c>
      <c r="B28" s="7" t="str">
        <f ca="1">VLOOKUP(RANDBETWEEN(1,20),TGB,2)</f>
        <v>5 Confederate Soldiers.</v>
      </c>
      <c r="D28" s="3">
        <v>27</v>
      </c>
      <c r="E28" s="3" t="s">
        <v>459</v>
      </c>
      <c r="F28" s="3">
        <v>27</v>
      </c>
      <c r="G28" s="3" t="s">
        <v>782</v>
      </c>
      <c r="H28" s="3">
        <v>27</v>
      </c>
      <c r="I28" s="3" t="s">
        <v>460</v>
      </c>
      <c r="J28" s="3" t="s">
        <v>3015</v>
      </c>
      <c r="K28" s="14">
        <v>61</v>
      </c>
      <c r="L28" s="3" t="str">
        <f ca="1">RANDBETWEEN(2,15)&amp;" used matches"</f>
        <v>5 used matches</v>
      </c>
      <c r="N28" s="3">
        <v>1</v>
      </c>
      <c r="O28" s="3" t="s">
        <v>217</v>
      </c>
      <c r="R28" s="7">
        <v>9</v>
      </c>
      <c r="S28" s="7" t="s">
        <v>1169</v>
      </c>
    </row>
    <row r="29" spans="1:29" ht="31.5" x14ac:dyDescent="0.2">
      <c r="A29" s="3">
        <v>5</v>
      </c>
      <c r="B29" s="7" t="str">
        <f ca="1">VLOOKUP(RANDBETWEEN(1,20),TGB,2)</f>
        <v>7 Indian Braves.</v>
      </c>
      <c r="D29" s="3">
        <v>28</v>
      </c>
      <c r="E29" s="1" t="s">
        <v>430</v>
      </c>
      <c r="F29" s="3">
        <v>28</v>
      </c>
      <c r="G29" s="3" t="s">
        <v>783</v>
      </c>
      <c r="H29" s="3">
        <v>28</v>
      </c>
      <c r="I29" s="3" t="s">
        <v>455</v>
      </c>
      <c r="J29" s="3" t="s">
        <v>3015</v>
      </c>
      <c r="K29" s="14">
        <v>62</v>
      </c>
      <c r="L29" s="3" t="str">
        <f ca="1">"a box of "&amp;RANDBETWEEN(8,15)&amp;" matches"</f>
        <v>a box of 13 matches</v>
      </c>
      <c r="N29" s="3">
        <v>2</v>
      </c>
      <c r="O29" s="3" t="s">
        <v>218</v>
      </c>
      <c r="R29" s="7">
        <v>10</v>
      </c>
      <c r="S29" s="7" t="s">
        <v>1178</v>
      </c>
      <c r="U29" s="47" t="s">
        <v>2148</v>
      </c>
    </row>
    <row r="30" spans="1:29" ht="126" x14ac:dyDescent="0.2">
      <c r="B30" s="47" t="s">
        <v>2881</v>
      </c>
      <c r="D30" s="3">
        <v>29</v>
      </c>
      <c r="E30" s="3" t="s">
        <v>534</v>
      </c>
      <c r="F30" s="3">
        <v>29</v>
      </c>
      <c r="G30" s="3" t="s">
        <v>784</v>
      </c>
      <c r="H30" s="3">
        <v>29</v>
      </c>
      <c r="I30" s="3" t="s">
        <v>665</v>
      </c>
      <c r="J30" s="3" t="s">
        <v>3015</v>
      </c>
      <c r="K30" s="14">
        <v>63</v>
      </c>
      <c r="L30" s="3" t="str">
        <f ca="1">RANDBETWEEN(2,6)&amp;" tooth picks"</f>
        <v>5 tooth picks</v>
      </c>
      <c r="R30" s="7">
        <v>11</v>
      </c>
      <c r="S30" s="7" t="s">
        <v>1180</v>
      </c>
      <c r="T30" s="3">
        <v>1</v>
      </c>
      <c r="U30" s="13" t="s">
        <v>2149</v>
      </c>
    </row>
    <row r="31" spans="1:29" ht="39.75" customHeight="1" x14ac:dyDescent="0.2">
      <c r="B31" s="7" t="s">
        <v>2898</v>
      </c>
      <c r="D31" s="3">
        <v>30</v>
      </c>
      <c r="E31" s="3" t="s">
        <v>650</v>
      </c>
      <c r="F31" s="3">
        <v>30</v>
      </c>
      <c r="G31" s="3" t="s">
        <v>785</v>
      </c>
      <c r="H31" s="3">
        <v>30</v>
      </c>
      <c r="I31" s="3" t="s">
        <v>666</v>
      </c>
      <c r="J31" s="3" t="s">
        <v>3015</v>
      </c>
      <c r="K31" s="14">
        <v>64</v>
      </c>
      <c r="L31" s="3" t="str">
        <f ca="1">RANDBETWEEN(1,5)&amp;" cigar(s)"</f>
        <v>2 cigar(s)</v>
      </c>
      <c r="O31" s="22" t="s">
        <v>915</v>
      </c>
      <c r="R31" s="7">
        <v>12</v>
      </c>
      <c r="S31" s="7" t="s">
        <v>1161</v>
      </c>
      <c r="T31" s="3">
        <v>2</v>
      </c>
      <c r="U31" s="13" t="s">
        <v>2199</v>
      </c>
    </row>
    <row r="32" spans="1:29" ht="31.5" x14ac:dyDescent="0.2">
      <c r="A32" s="3">
        <v>1</v>
      </c>
      <c r="B32" s="3" t="str">
        <f ca="1">VLOOKUP(RANDBETWEEN(1,414),InWilderness,2)</f>
        <v>The foundation of a burned out manor sized home. It has been decades and the forest is reclaiming the space.</v>
      </c>
      <c r="D32" s="3">
        <v>31</v>
      </c>
      <c r="E32" s="3" t="s">
        <v>480</v>
      </c>
      <c r="F32" s="3">
        <v>31</v>
      </c>
      <c r="G32" s="3" t="s">
        <v>786</v>
      </c>
      <c r="H32" s="3">
        <v>31</v>
      </c>
      <c r="I32" s="3" t="s">
        <v>667</v>
      </c>
      <c r="J32" s="3" t="s">
        <v>3015</v>
      </c>
      <c r="K32" s="14">
        <v>65</v>
      </c>
      <c r="L32" s="3" t="str">
        <f ca="1">RANDBETWEEN(2,12)&amp;" cigaretts"</f>
        <v>11 cigaretts</v>
      </c>
      <c r="N32" s="3">
        <v>1</v>
      </c>
      <c r="O32" s="3" t="s">
        <v>224</v>
      </c>
      <c r="R32" s="7">
        <v>13</v>
      </c>
      <c r="S32" s="7" t="s">
        <v>1162</v>
      </c>
      <c r="T32" s="3">
        <v>3</v>
      </c>
      <c r="U32" s="13" t="s">
        <v>2200</v>
      </c>
    </row>
    <row r="33" spans="1:21" ht="63" x14ac:dyDescent="0.2">
      <c r="A33" s="3">
        <v>2</v>
      </c>
      <c r="B33" s="3" t="str">
        <f ca="1">VLOOKUP(RANDBETWEEN(1,414),InWilderness,2)</f>
        <v>Smoke rises in distance {brush fire}...</v>
      </c>
      <c r="D33" s="3">
        <v>32</v>
      </c>
      <c r="E33" s="3" t="s">
        <v>651</v>
      </c>
      <c r="F33" s="3">
        <v>32</v>
      </c>
      <c r="G33" s="3" t="s">
        <v>787</v>
      </c>
      <c r="H33" s="3">
        <v>32</v>
      </c>
      <c r="I33" s="3" t="s">
        <v>529</v>
      </c>
      <c r="J33" s="3" t="s">
        <v>3015</v>
      </c>
      <c r="K33" s="14">
        <v>66</v>
      </c>
      <c r="L33" s="3" t="s">
        <v>1936</v>
      </c>
      <c r="N33" s="3">
        <v>2</v>
      </c>
      <c r="O33" s="3" t="s">
        <v>225</v>
      </c>
      <c r="R33" s="7">
        <v>14</v>
      </c>
      <c r="S33" s="7" t="s">
        <v>1164</v>
      </c>
      <c r="T33" s="3">
        <v>4</v>
      </c>
      <c r="U33" s="13" t="s">
        <v>2201</v>
      </c>
    </row>
    <row r="34" spans="1:21" ht="31.5" x14ac:dyDescent="0.2">
      <c r="A34" s="3">
        <v>3</v>
      </c>
      <c r="B34" s="3" t="str">
        <f ca="1">VLOOKUP(RANDBETWEEN(1,335),NPCS,2)</f>
        <v>A wandering 'TinMan' ignores the Posse.</v>
      </c>
      <c r="D34" s="3">
        <v>33</v>
      </c>
      <c r="E34" s="3" t="s">
        <v>652</v>
      </c>
      <c r="F34" s="3">
        <v>33</v>
      </c>
      <c r="G34" s="3" t="s">
        <v>788</v>
      </c>
      <c r="H34" s="3">
        <v>33</v>
      </c>
      <c r="I34" s="3" t="s">
        <v>526</v>
      </c>
      <c r="J34" s="3" t="s">
        <v>3015</v>
      </c>
      <c r="K34" s="14">
        <v>67</v>
      </c>
      <c r="L34" s="3" t="s">
        <v>1937</v>
      </c>
      <c r="N34" s="3">
        <v>3</v>
      </c>
      <c r="O34" s="3" t="s">
        <v>226</v>
      </c>
      <c r="Q34" s="21" t="s">
        <v>910</v>
      </c>
      <c r="R34" s="7">
        <v>15</v>
      </c>
      <c r="S34" s="7" t="s">
        <v>1165</v>
      </c>
      <c r="T34" s="3">
        <v>5</v>
      </c>
      <c r="U34" s="13" t="s">
        <v>2202</v>
      </c>
    </row>
    <row r="35" spans="1:21" ht="47.25" x14ac:dyDescent="0.2">
      <c r="A35" s="3">
        <v>4</v>
      </c>
      <c r="B35" s="7" t="str">
        <f ca="1">VLOOKUP(RANDBETWEEN(1,20),TGML,2)</f>
        <v>7 Union Soldiers.</v>
      </c>
      <c r="D35" s="3">
        <v>34</v>
      </c>
      <c r="E35" s="3" t="s">
        <v>479</v>
      </c>
      <c r="F35" s="3">
        <v>34</v>
      </c>
      <c r="G35" s="3" t="s">
        <v>965</v>
      </c>
      <c r="H35" s="3">
        <v>34</v>
      </c>
      <c r="I35" s="3" t="s">
        <v>503</v>
      </c>
      <c r="J35" s="3" t="s">
        <v>3015</v>
      </c>
      <c r="K35" s="14">
        <v>68</v>
      </c>
      <c r="L35" s="3" t="s">
        <v>1938</v>
      </c>
      <c r="N35" s="3">
        <v>4</v>
      </c>
      <c r="O35" s="3" t="s">
        <v>227</v>
      </c>
      <c r="P35" s="3">
        <v>1</v>
      </c>
      <c r="Q35" s="2" t="s">
        <v>1001</v>
      </c>
      <c r="R35" s="7">
        <v>16</v>
      </c>
      <c r="S35" s="7" t="s">
        <v>1166</v>
      </c>
      <c r="T35" s="3">
        <v>6</v>
      </c>
      <c r="U35" s="13" t="s">
        <v>2203</v>
      </c>
    </row>
    <row r="36" spans="1:21" ht="31.5" x14ac:dyDescent="0.2">
      <c r="A36" s="3">
        <v>5</v>
      </c>
      <c r="B36" s="7" t="str">
        <f ca="1">VLOOKUP(RANDBETWEEN(1,20),TGML,2)</f>
        <v>2 Iron Dragon Martial Artists.</v>
      </c>
      <c r="D36" s="3">
        <v>35</v>
      </c>
      <c r="E36" s="3" t="s">
        <v>653</v>
      </c>
      <c r="F36" s="3">
        <v>35</v>
      </c>
      <c r="G36" s="3" t="s">
        <v>789</v>
      </c>
      <c r="H36" s="3">
        <v>35</v>
      </c>
      <c r="I36" s="3" t="s">
        <v>504</v>
      </c>
      <c r="J36" s="3" t="s">
        <v>3015</v>
      </c>
      <c r="K36" s="14">
        <v>69</v>
      </c>
      <c r="L36" s="3" t="s">
        <v>1939</v>
      </c>
      <c r="N36" s="3">
        <v>5</v>
      </c>
      <c r="O36" s="3" t="s">
        <v>228</v>
      </c>
      <c r="P36" s="3">
        <v>2</v>
      </c>
      <c r="Q36" s="2" t="s">
        <v>1002</v>
      </c>
      <c r="R36" s="7">
        <v>17</v>
      </c>
      <c r="S36" s="7" t="s">
        <v>1174</v>
      </c>
      <c r="T36" s="3">
        <v>7</v>
      </c>
      <c r="U36" s="13" t="s">
        <v>2204</v>
      </c>
    </row>
    <row r="37" spans="1:21" ht="31.5" x14ac:dyDescent="0.2">
      <c r="B37" s="47" t="s">
        <v>2882</v>
      </c>
      <c r="D37" s="3">
        <v>36</v>
      </c>
      <c r="E37" s="3" t="s">
        <v>2732</v>
      </c>
      <c r="F37" s="3">
        <v>36</v>
      </c>
      <c r="G37" s="3" t="s">
        <v>790</v>
      </c>
      <c r="H37" s="3">
        <v>36</v>
      </c>
      <c r="I37" s="3" t="s">
        <v>548</v>
      </c>
      <c r="J37" s="3" t="s">
        <v>3015</v>
      </c>
      <c r="K37" s="14">
        <v>70</v>
      </c>
      <c r="L37" s="3" t="s">
        <v>1940</v>
      </c>
      <c r="N37" s="3">
        <v>6</v>
      </c>
      <c r="O37" s="3" t="s">
        <v>975</v>
      </c>
      <c r="P37" s="3">
        <v>3</v>
      </c>
      <c r="Q37" s="2" t="s">
        <v>1003</v>
      </c>
      <c r="R37" s="7">
        <v>18</v>
      </c>
      <c r="S37" s="7" t="s">
        <v>1175</v>
      </c>
      <c r="T37" s="3">
        <v>8</v>
      </c>
      <c r="U37" s="13" t="s">
        <v>2205</v>
      </c>
    </row>
    <row r="38" spans="1:21" ht="31.5" x14ac:dyDescent="0.2">
      <c r="B38" s="7" t="s">
        <v>2898</v>
      </c>
      <c r="D38" s="3">
        <v>37</v>
      </c>
      <c r="E38" s="3" t="s">
        <v>654</v>
      </c>
      <c r="F38" s="3">
        <v>37</v>
      </c>
      <c r="G38" s="3" t="s">
        <v>791</v>
      </c>
      <c r="H38" s="3">
        <v>37</v>
      </c>
      <c r="I38" s="3" t="s">
        <v>551</v>
      </c>
      <c r="J38" s="3" t="s">
        <v>3015</v>
      </c>
      <c r="K38" s="14">
        <v>71</v>
      </c>
      <c r="L38" s="3" t="s">
        <v>1941</v>
      </c>
      <c r="P38" s="3">
        <v>4</v>
      </c>
      <c r="Q38" s="2" t="s">
        <v>1004</v>
      </c>
      <c r="R38" s="7">
        <v>19</v>
      </c>
      <c r="S38" s="7" t="s">
        <v>383</v>
      </c>
      <c r="T38" s="3">
        <v>9</v>
      </c>
      <c r="U38" s="13" t="s">
        <v>2206</v>
      </c>
    </row>
    <row r="39" spans="1:21" ht="63" x14ac:dyDescent="0.2">
      <c r="A39" s="3">
        <v>1</v>
      </c>
      <c r="B39" s="3" t="str">
        <f ca="1">VLOOKUP(RANDBETWEEN(1,414),InWilderness,2)</f>
        <v>A random Posse member falls prey to some sort of trap and 1hunter(s) pop(s) out. They are trying to trap a vicious wolf raiding the area.  There is a $47.00 bounty on every wolf tongue - which can also be used to pay taxes {this actually is historical!}.</v>
      </c>
      <c r="D39" s="3">
        <v>38</v>
      </c>
      <c r="E39" s="3" t="s">
        <v>437</v>
      </c>
      <c r="F39" s="3">
        <v>38</v>
      </c>
      <c r="G39" s="3" t="s">
        <v>792</v>
      </c>
      <c r="H39" s="3">
        <v>38</v>
      </c>
      <c r="I39" s="3" t="s">
        <v>445</v>
      </c>
      <c r="J39" s="3" t="s">
        <v>3015</v>
      </c>
      <c r="K39" s="14">
        <v>72</v>
      </c>
      <c r="L39" s="3" t="str">
        <f ca="1">"a key "&amp;VLOOKUP(RANDBETWEEN(1,10),MAGIC,2)</f>
        <v>a key (non-magical)</v>
      </c>
      <c r="O39" s="22" t="s">
        <v>916</v>
      </c>
      <c r="P39" s="3">
        <v>5</v>
      </c>
      <c r="Q39" s="2" t="s">
        <v>1005</v>
      </c>
      <c r="R39" s="7">
        <v>20</v>
      </c>
      <c r="S39" s="7" t="s">
        <v>1176</v>
      </c>
      <c r="T39" s="3">
        <v>10</v>
      </c>
      <c r="U39" s="13" t="s">
        <v>2207</v>
      </c>
    </row>
    <row r="40" spans="1:21" ht="78.75" x14ac:dyDescent="0.2">
      <c r="A40" s="3">
        <v>2</v>
      </c>
      <c r="B40" s="3" t="str">
        <f ca="1">VLOOKUP(RANDBETWEEN(1,414),InWilderness,2)</f>
        <v>A Confederatecavalry patrol prospecting.</v>
      </c>
      <c r="D40" s="3">
        <v>39</v>
      </c>
      <c r="E40" s="3" t="str">
        <f ca="1">"A door bursts open as "&amp;RANDBETWEEN(5,15)&amp;" drunks fill the street in a fist fight."</f>
        <v>A door bursts open as 12 drunks fill the street in a fist fight.</v>
      </c>
      <c r="F40" s="3">
        <v>39</v>
      </c>
      <c r="G40" s="3" t="s">
        <v>793</v>
      </c>
      <c r="H40" s="3">
        <v>39</v>
      </c>
      <c r="I40" s="3" t="str">
        <f ca="1">"A merchant "&amp;VLOOKUP(RANDBETWEEN(1,40),town,2)</f>
        <v>A merchant selling 2 horse(s).</v>
      </c>
      <c r="J40" s="3" t="s">
        <v>3015</v>
      </c>
      <c r="K40" s="14">
        <v>73</v>
      </c>
      <c r="L40" s="3" t="s">
        <v>1942</v>
      </c>
      <c r="N40" s="3">
        <v>1</v>
      </c>
      <c r="O40" s="3" t="s">
        <v>229</v>
      </c>
      <c r="P40" s="3">
        <v>6</v>
      </c>
      <c r="Q40" s="2" t="s">
        <v>1006</v>
      </c>
      <c r="R40" s="7">
        <v>21</v>
      </c>
      <c r="S40" s="7" t="s">
        <v>1179</v>
      </c>
      <c r="T40" s="3">
        <v>11</v>
      </c>
      <c r="U40" s="13" t="s">
        <v>2208</v>
      </c>
    </row>
    <row r="41" spans="1:21" ht="63" x14ac:dyDescent="0.2">
      <c r="A41" s="3">
        <v>3</v>
      </c>
      <c r="B41" s="3" t="str">
        <f ca="1">VLOOKUP(RANDBETWEEN(158,336),NPCS,2)</f>
        <v>A dective transporting prisoners.</v>
      </c>
      <c r="D41" s="3">
        <v>40</v>
      </c>
      <c r="E41" s="3" t="s">
        <v>465</v>
      </c>
      <c r="F41" s="3">
        <v>40</v>
      </c>
      <c r="G41" s="3" t="s">
        <v>794</v>
      </c>
      <c r="H41" s="3">
        <v>40</v>
      </c>
      <c r="I41" s="3" t="s">
        <v>550</v>
      </c>
      <c r="J41" s="3" t="s">
        <v>3015</v>
      </c>
      <c r="K41" s="14">
        <v>74</v>
      </c>
      <c r="L41" s="3" t="s">
        <v>375</v>
      </c>
      <c r="N41" s="3">
        <v>2</v>
      </c>
      <c r="O41" s="3" t="s">
        <v>51</v>
      </c>
      <c r="P41" s="3">
        <v>7</v>
      </c>
      <c r="Q41" s="2" t="s">
        <v>1007</v>
      </c>
      <c r="R41" s="7">
        <v>22</v>
      </c>
      <c r="S41" s="3" t="s">
        <v>2277</v>
      </c>
      <c r="T41" s="3">
        <v>12</v>
      </c>
      <c r="U41" s="13" t="s">
        <v>2209</v>
      </c>
    </row>
    <row r="42" spans="1:21" ht="47.25" x14ac:dyDescent="0.2">
      <c r="A42" s="3">
        <v>4</v>
      </c>
      <c r="B42" s="7" t="str">
        <f ca="1">VLOOKUP(RANDBETWEEN(1,20),TGMS,2)</f>
        <v>18 Devil Rays.</v>
      </c>
      <c r="D42" s="3">
        <v>41</v>
      </c>
      <c r="E42" s="3" t="s">
        <v>464</v>
      </c>
      <c r="F42" s="3">
        <v>41</v>
      </c>
      <c r="G42" s="3" t="s">
        <v>795</v>
      </c>
      <c r="H42" s="3">
        <v>41</v>
      </c>
      <c r="I42" s="3" t="s">
        <v>486</v>
      </c>
      <c r="J42" s="3" t="s">
        <v>3015</v>
      </c>
      <c r="K42" s="14">
        <v>75</v>
      </c>
      <c r="L42" s="3" t="s">
        <v>1943</v>
      </c>
      <c r="N42" s="3">
        <v>3</v>
      </c>
      <c r="O42" s="3" t="s">
        <v>230</v>
      </c>
      <c r="P42" s="3">
        <v>8</v>
      </c>
      <c r="Q42" s="2" t="s">
        <v>1008</v>
      </c>
      <c r="T42" s="3">
        <v>13</v>
      </c>
      <c r="U42" s="13" t="s">
        <v>2150</v>
      </c>
    </row>
    <row r="43" spans="1:21" ht="47.25" x14ac:dyDescent="0.2">
      <c r="A43" s="3">
        <v>5</v>
      </c>
      <c r="B43" s="7" t="str">
        <f ca="1">VLOOKUP(RANDBETWEEN(1,20),TGMS,2)</f>
        <v xml:space="preserve">Giant Shark </v>
      </c>
      <c r="D43" s="3">
        <v>42</v>
      </c>
      <c r="E43" s="3" t="s">
        <v>240</v>
      </c>
      <c r="F43" s="3">
        <v>42</v>
      </c>
      <c r="G43" s="3" t="s">
        <v>796</v>
      </c>
      <c r="H43" s="3">
        <v>42</v>
      </c>
      <c r="I43" s="3" t="s">
        <v>2681</v>
      </c>
      <c r="J43" s="3" t="s">
        <v>3015</v>
      </c>
      <c r="K43" s="14">
        <v>76</v>
      </c>
      <c r="L43" s="3" t="str">
        <f ca="1">"the Diary of "&amp;VLOOKUP(RANDBETWEEN(1,233),NAME,2)&amp;" - a small book that contains details about a false wall in the basement of his home"</f>
        <v>the Diary of Forbes - a small book that contains details about a false wall in the basement of his home</v>
      </c>
      <c r="N43" s="3">
        <v>4</v>
      </c>
      <c r="O43" s="3" t="s">
        <v>231</v>
      </c>
      <c r="P43" s="3">
        <v>9</v>
      </c>
      <c r="Q43" s="2" t="s">
        <v>1009</v>
      </c>
      <c r="R43" s="7"/>
      <c r="S43" s="47" t="s">
        <v>1181</v>
      </c>
      <c r="T43" s="3">
        <v>14</v>
      </c>
      <c r="U43" s="13" t="s">
        <v>2151</v>
      </c>
    </row>
    <row r="44" spans="1:21" ht="63" x14ac:dyDescent="0.2">
      <c r="B44" s="47" t="s">
        <v>2883</v>
      </c>
      <c r="D44" s="3">
        <v>43</v>
      </c>
      <c r="E44" s="3" t="s">
        <v>655</v>
      </c>
      <c r="F44" s="3">
        <v>43</v>
      </c>
      <c r="G44" s="3" t="s">
        <v>797</v>
      </c>
      <c r="H44" s="3">
        <v>43</v>
      </c>
      <c r="I44" s="3" t="s">
        <v>552</v>
      </c>
      <c r="J44" s="3" t="s">
        <v>3015</v>
      </c>
      <c r="K44" s="14">
        <v>77</v>
      </c>
      <c r="L44" s="3" t="s">
        <v>1944</v>
      </c>
      <c r="N44" s="3">
        <v>5</v>
      </c>
      <c r="O44" s="3" t="s">
        <v>232</v>
      </c>
      <c r="P44" s="3">
        <v>10</v>
      </c>
      <c r="Q44" s="2" t="s">
        <v>1010</v>
      </c>
      <c r="R44" s="7">
        <v>1</v>
      </c>
      <c r="S44" s="3" t="s">
        <v>1182</v>
      </c>
      <c r="T44" s="3">
        <v>15</v>
      </c>
      <c r="U44" s="13" t="s">
        <v>2152</v>
      </c>
    </row>
    <row r="45" spans="1:21" ht="63" x14ac:dyDescent="0.2">
      <c r="B45" s="7" t="s">
        <v>2899</v>
      </c>
      <c r="D45" s="3">
        <v>44</v>
      </c>
      <c r="E45" s="3" t="s">
        <v>656</v>
      </c>
      <c r="F45" s="3">
        <v>44</v>
      </c>
      <c r="G45" s="3" t="s">
        <v>798</v>
      </c>
      <c r="H45" s="3">
        <v>44</v>
      </c>
      <c r="I45" s="3" t="s">
        <v>512</v>
      </c>
      <c r="J45" s="3" t="s">
        <v>3015</v>
      </c>
      <c r="K45" s="14">
        <v>78</v>
      </c>
      <c r="L45" s="3" t="str">
        <f ca="1">"a coded list of locations of members of the "&amp;VLOOKUP(RANDBETWEEN(1,233),NAME,2)&amp;" family and times they are to be alone"</f>
        <v>a coded list of locations of members of the McKnight family and times they are to be alone</v>
      </c>
      <c r="N45" s="3">
        <v>6</v>
      </c>
      <c r="O45" s="3" t="s">
        <v>233</v>
      </c>
      <c r="P45" s="3">
        <v>11</v>
      </c>
      <c r="Q45" s="2" t="s">
        <v>1011</v>
      </c>
      <c r="R45" s="7">
        <v>2</v>
      </c>
      <c r="S45" s="3" t="s">
        <v>1183</v>
      </c>
      <c r="T45" s="3">
        <v>16</v>
      </c>
      <c r="U45" s="13" t="s">
        <v>2153</v>
      </c>
    </row>
    <row r="46" spans="1:21" ht="63" x14ac:dyDescent="0.2">
      <c r="A46" s="3">
        <v>1</v>
      </c>
      <c r="B46" s="3" t="str">
        <f ca="1">VLOOKUP(RANDBETWEEN(1,414),InWilderness,2)</f>
        <v>There is a cliff that would lead down to the river. A good distance away, you see a cliff on the other side. There is only a tiny ribbon of water between these two cliffs.</v>
      </c>
      <c r="D46" s="3">
        <v>45</v>
      </c>
      <c r="E46" s="3" t="s">
        <v>657</v>
      </c>
      <c r="F46" s="3">
        <v>45</v>
      </c>
      <c r="G46" s="3" t="s">
        <v>799</v>
      </c>
      <c r="H46" s="3">
        <v>45</v>
      </c>
      <c r="I46" s="3" t="s">
        <v>567</v>
      </c>
      <c r="J46" s="3" t="s">
        <v>3015</v>
      </c>
      <c r="K46" s="14">
        <v>79</v>
      </c>
      <c r="L46" s="3" t="s">
        <v>2301</v>
      </c>
      <c r="N46" s="3">
        <v>7</v>
      </c>
      <c r="O46" s="3" t="s">
        <v>362</v>
      </c>
      <c r="P46" s="3">
        <v>12</v>
      </c>
      <c r="Q46" s="2" t="s">
        <v>1012</v>
      </c>
      <c r="R46" s="7">
        <v>3</v>
      </c>
      <c r="S46" s="3" t="s">
        <v>1184</v>
      </c>
      <c r="T46" s="3">
        <v>17</v>
      </c>
      <c r="U46" s="13" t="s">
        <v>2154</v>
      </c>
    </row>
    <row r="47" spans="1:21" ht="31.5" x14ac:dyDescent="0.2">
      <c r="A47" s="3">
        <v>2</v>
      </c>
      <c r="B47" s="3" t="str">
        <f ca="1">VLOOKUP(RANDBETWEEN(1,414),InWilderness,2)</f>
        <v>A huge column of rock, with an equally huge arch at the top, supporting an enormous bell, which is operated by machinery inside the column and tolls once per hour, with the sound audible for miles around.</v>
      </c>
      <c r="D47" s="3">
        <v>46</v>
      </c>
      <c r="E47" s="3" t="s">
        <v>658</v>
      </c>
      <c r="F47" s="3">
        <v>46</v>
      </c>
      <c r="G47" s="3" t="s">
        <v>800</v>
      </c>
      <c r="H47" s="3">
        <v>46</v>
      </c>
      <c r="I47" s="3" t="s">
        <v>531</v>
      </c>
      <c r="J47" s="3" t="s">
        <v>3015</v>
      </c>
      <c r="K47" s="14">
        <v>80</v>
      </c>
      <c r="L47" s="3" t="s">
        <v>1945</v>
      </c>
      <c r="N47" s="3">
        <v>8</v>
      </c>
      <c r="O47" s="3" t="s">
        <v>369</v>
      </c>
      <c r="P47" s="3">
        <v>13</v>
      </c>
      <c r="Q47" s="2" t="s">
        <v>1013</v>
      </c>
      <c r="R47" s="7">
        <v>4</v>
      </c>
      <c r="S47" s="3" t="s">
        <v>1185</v>
      </c>
      <c r="T47" s="3">
        <v>18</v>
      </c>
      <c r="U47" s="13" t="s">
        <v>2155</v>
      </c>
    </row>
    <row r="48" spans="1:21" ht="31.5" x14ac:dyDescent="0.2">
      <c r="A48" s="3">
        <v>3</v>
      </c>
      <c r="B48" s="3" t="str">
        <f ca="1">VLOOKUP(RANDBETWEEN(158,336),NPCS,2)</f>
        <v>A sheepherder is a very trusting foreigner.</v>
      </c>
      <c r="D48" s="3">
        <v>47</v>
      </c>
      <c r="E48" s="3" t="s">
        <v>659</v>
      </c>
      <c r="F48" s="3">
        <v>47</v>
      </c>
      <c r="G48" s="3" t="s">
        <v>801</v>
      </c>
      <c r="H48" s="3">
        <v>47</v>
      </c>
      <c r="I48" s="3" t="s">
        <v>491</v>
      </c>
      <c r="J48" s="3" t="s">
        <v>3015</v>
      </c>
      <c r="K48" s="14">
        <v>81</v>
      </c>
      <c r="L48" s="3" t="str">
        <f ca="1">"a scrap of paper with '"&amp;VLOOKUP(RANDBETWEEN(1,108),Place,2)&amp;", "&amp;RANDBETWEEN(1,12)&amp;VLOOKUP(RANDBETWEEN(1,60),Time,2)&amp;", "&amp;VLOOKUP(RANDBETWEEN(1,7),DAY,2)&amp;"' written on it"</f>
        <v>a scrap of paper with 'the Entertainer's Square, 12:09, Wednesday' written on it</v>
      </c>
      <c r="N48" s="3">
        <v>9</v>
      </c>
      <c r="O48" s="3" t="s">
        <v>368</v>
      </c>
      <c r="P48" s="3">
        <v>14</v>
      </c>
      <c r="Q48" s="2" t="s">
        <v>1014</v>
      </c>
      <c r="R48" s="7">
        <v>5</v>
      </c>
      <c r="S48" s="7" t="s">
        <v>1186</v>
      </c>
      <c r="T48" s="3">
        <v>19</v>
      </c>
      <c r="U48" s="13" t="s">
        <v>2156</v>
      </c>
    </row>
    <row r="49" spans="1:21" ht="31.5" x14ac:dyDescent="0.2">
      <c r="A49" s="3">
        <v>4</v>
      </c>
      <c r="B49" s="7" t="str">
        <f ca="1">VLOOKUP(RANDBETWEEN(1,20),TGN,2)</f>
        <v xml:space="preserve">Catamount </v>
      </c>
      <c r="D49" s="3">
        <v>48</v>
      </c>
      <c r="E49" s="3" t="s">
        <v>468</v>
      </c>
      <c r="F49" s="3">
        <v>48</v>
      </c>
      <c r="G49" s="3" t="s">
        <v>802</v>
      </c>
      <c r="H49" s="3">
        <v>48</v>
      </c>
      <c r="I49" s="3" t="s">
        <v>8</v>
      </c>
      <c r="J49" s="3" t="s">
        <v>3015</v>
      </c>
      <c r="K49" s="14">
        <v>82</v>
      </c>
      <c r="L49" s="3" t="s">
        <v>1946</v>
      </c>
      <c r="P49" s="3">
        <v>15</v>
      </c>
      <c r="Q49" s="2" t="s">
        <v>1015</v>
      </c>
      <c r="R49" s="7">
        <v>6</v>
      </c>
      <c r="S49" s="7" t="s">
        <v>1187</v>
      </c>
      <c r="T49" s="3">
        <v>20</v>
      </c>
      <c r="U49" s="13" t="s">
        <v>2157</v>
      </c>
    </row>
    <row r="50" spans="1:21" x14ac:dyDescent="0.2">
      <c r="A50" s="3">
        <v>5</v>
      </c>
      <c r="B50" s="7" t="str">
        <f ca="1">VLOOKUP(RANDBETWEEN(1,20),TGN,2)</f>
        <v xml:space="preserve">Chinook </v>
      </c>
      <c r="D50" s="3">
        <v>49</v>
      </c>
      <c r="E50" s="3" t="s">
        <v>660</v>
      </c>
      <c r="F50" s="3">
        <v>49</v>
      </c>
      <c r="G50" s="3" t="s">
        <v>803</v>
      </c>
      <c r="H50" s="3">
        <v>49</v>
      </c>
      <c r="I50" s="3" t="s">
        <v>840</v>
      </c>
      <c r="J50" s="3" t="s">
        <v>3015</v>
      </c>
      <c r="K50" s="14">
        <v>83</v>
      </c>
      <c r="L50" s="3" t="s">
        <v>2255</v>
      </c>
      <c r="O50" s="22" t="s">
        <v>917</v>
      </c>
      <c r="P50" s="3">
        <v>16</v>
      </c>
      <c r="Q50" s="2" t="s">
        <v>1016</v>
      </c>
      <c r="R50" s="7">
        <v>7</v>
      </c>
      <c r="S50" s="7" t="s">
        <v>1188</v>
      </c>
      <c r="T50" s="3">
        <v>21</v>
      </c>
      <c r="U50" s="13" t="s">
        <v>2158</v>
      </c>
    </row>
    <row r="51" spans="1:21" ht="31.5" x14ac:dyDescent="0.2">
      <c r="B51" s="47" t="s">
        <v>2887</v>
      </c>
      <c r="D51" s="3">
        <v>50</v>
      </c>
      <c r="E51" s="3" t="s">
        <v>661</v>
      </c>
      <c r="F51" s="3">
        <v>50</v>
      </c>
      <c r="G51" s="3" t="s">
        <v>804</v>
      </c>
      <c r="H51" s="3">
        <v>50</v>
      </c>
      <c r="I51" s="1" t="s">
        <v>403</v>
      </c>
      <c r="J51" s="1" t="s">
        <v>3015</v>
      </c>
      <c r="K51" s="14">
        <v>84</v>
      </c>
      <c r="L51" s="3" t="str">
        <f ca="1">"a list: "&amp;VLOOKUP(RANDBETWEEN(1,50),ING,2)&amp;", "&amp;VLOOKUP(RANDBETWEEN(1,50),ING,2)&amp;", "&amp;VLOOKUP(RANDBETWEEN(1,50),ING,2)&amp;", "&amp;VLOOKUP(RANDBETWEEN(1,50),ING,2)&amp;" &amp; "&amp;VLOOKUP(RANDBETWEEN(1,50),ING,2)&amp;". All but the last ingrediant have been marked off"</f>
        <v>a list: dancing fleas, tobacco, leaves, athelas &amp; wormwood. All but the last ingrediant have been marked off</v>
      </c>
      <c r="N51" s="3">
        <v>1</v>
      </c>
      <c r="O51" s="3" t="s">
        <v>234</v>
      </c>
      <c r="P51" s="3">
        <v>17</v>
      </c>
      <c r="Q51" s="2" t="s">
        <v>1017</v>
      </c>
      <c r="R51" s="7">
        <v>8</v>
      </c>
      <c r="S51" s="7" t="s">
        <v>1189</v>
      </c>
      <c r="T51" s="3">
        <v>22</v>
      </c>
      <c r="U51" s="13" t="s">
        <v>2159</v>
      </c>
    </row>
    <row r="52" spans="1:21" ht="31.5" x14ac:dyDescent="0.2">
      <c r="B52" s="7" t="s">
        <v>2900</v>
      </c>
      <c r="D52" s="3">
        <v>51</v>
      </c>
      <c r="E52" s="3" t="s">
        <v>662</v>
      </c>
      <c r="F52" s="3">
        <v>51</v>
      </c>
      <c r="G52" s="3" t="s">
        <v>805</v>
      </c>
      <c r="H52" s="3">
        <v>51</v>
      </c>
      <c r="I52" s="3" t="s">
        <v>513</v>
      </c>
      <c r="J52" s="3" t="s">
        <v>3015</v>
      </c>
      <c r="K52" s="14">
        <v>85</v>
      </c>
      <c r="L52" s="3" t="s">
        <v>1947</v>
      </c>
      <c r="N52" s="3">
        <v>2</v>
      </c>
      <c r="O52" s="3" t="s">
        <v>235</v>
      </c>
      <c r="P52" s="3">
        <v>18</v>
      </c>
      <c r="Q52" s="2" t="s">
        <v>1018</v>
      </c>
      <c r="R52" s="7">
        <v>9</v>
      </c>
      <c r="S52" s="7" t="s">
        <v>1190</v>
      </c>
      <c r="T52" s="3">
        <v>23</v>
      </c>
      <c r="U52" s="13" t="s">
        <v>2160</v>
      </c>
    </row>
    <row r="53" spans="1:21" ht="63" x14ac:dyDescent="0.2">
      <c r="A53" s="3">
        <v>1</v>
      </c>
      <c r="B53" s="3" t="str">
        <f ca="1">VLOOKUP(RANDBETWEEN(1,414),InWilderness,2)</f>
        <v>1Vampire(s):  Cinematic Vampirerise from the shadows and stealthily approaches the Posse…</v>
      </c>
      <c r="D53" s="3">
        <v>52</v>
      </c>
      <c r="E53" s="3" t="s">
        <v>532</v>
      </c>
      <c r="F53" s="3">
        <v>52</v>
      </c>
      <c r="G53" s="3" t="s">
        <v>806</v>
      </c>
      <c r="H53" s="3">
        <v>52</v>
      </c>
      <c r="I53" s="3" t="s">
        <v>508</v>
      </c>
      <c r="J53" s="3" t="s">
        <v>3015</v>
      </c>
      <c r="K53" s="14">
        <v>86</v>
      </c>
      <c r="L53" s="3" t="s">
        <v>1948</v>
      </c>
      <c r="N53" s="3">
        <v>3</v>
      </c>
      <c r="O53" s="3" t="s">
        <v>236</v>
      </c>
      <c r="P53" s="3">
        <v>19</v>
      </c>
      <c r="Q53" s="2" t="s">
        <v>1019</v>
      </c>
      <c r="R53" s="7">
        <v>10</v>
      </c>
      <c r="S53" s="7" t="s">
        <v>2984</v>
      </c>
      <c r="T53" s="3">
        <v>24</v>
      </c>
      <c r="U53" s="13" t="s">
        <v>2161</v>
      </c>
    </row>
    <row r="54" spans="1:21" ht="47.25" x14ac:dyDescent="0.2">
      <c r="A54" s="3">
        <v>2</v>
      </c>
      <c r="B54" s="3" t="str">
        <f ca="1">VLOOKUP(RANDBETWEEN(1,414),InWilderness,2)</f>
        <v>The sweet smell of honeysuckle lingers on the wind.</v>
      </c>
      <c r="D54" s="3">
        <v>53</v>
      </c>
      <c r="E54" s="3" t="s">
        <v>663</v>
      </c>
      <c r="F54" s="3">
        <v>53</v>
      </c>
      <c r="G54" s="3" t="s">
        <v>807</v>
      </c>
      <c r="H54" s="3">
        <v>53</v>
      </c>
      <c r="I54" s="3" t="str">
        <f ca="1">"A railroad executive "&amp;VLOOKUP(RANDBETWEEN(1,40),wilderness,2)</f>
        <v>A railroad executive transporting payroll.</v>
      </c>
      <c r="J54" s="3" t="s">
        <v>3015</v>
      </c>
      <c r="K54" s="14">
        <v>87</v>
      </c>
      <c r="L54" s="3" t="s">
        <v>1950</v>
      </c>
      <c r="N54" s="3">
        <v>4</v>
      </c>
      <c r="O54" s="3" t="s">
        <v>237</v>
      </c>
      <c r="P54" s="3">
        <v>20</v>
      </c>
      <c r="Q54" s="2" t="s">
        <v>1020</v>
      </c>
      <c r="R54" s="7">
        <v>11</v>
      </c>
      <c r="S54" s="7" t="s">
        <v>2985</v>
      </c>
      <c r="T54" s="3">
        <v>25</v>
      </c>
      <c r="U54" s="13" t="s">
        <v>2162</v>
      </c>
    </row>
    <row r="55" spans="1:21" ht="63" x14ac:dyDescent="0.2">
      <c r="A55" s="3">
        <v>3</v>
      </c>
      <c r="B55" s="3" t="str">
        <f ca="1">VLOOKUP(RANDBETWEEN(158,336),NPCS,2)</f>
        <v>3 unemployed cowboys transporting wounded.</v>
      </c>
      <c r="D55" s="3">
        <v>54</v>
      </c>
      <c r="E55" s="3" t="s">
        <v>458</v>
      </c>
      <c r="F55" s="3">
        <v>54</v>
      </c>
      <c r="G55" s="3" t="s">
        <v>808</v>
      </c>
      <c r="H55" s="3">
        <v>54</v>
      </c>
      <c r="I55" s="3" t="str">
        <f ca="1">"A rancher "&amp;VLOOKUP(RANDBETWEEN(1,40),town,2)</f>
        <v>A rancher taking money to the bank.</v>
      </c>
      <c r="J55" s="3" t="s">
        <v>3015</v>
      </c>
      <c r="K55" s="14">
        <v>88</v>
      </c>
      <c r="L55" s="3" t="str">
        <f ca="1">"a pair of ladies' gloves with the initials "&amp;VLOOKUP(RANDBETWEEN(1,13),LETTERS,2)&amp;"."&amp;VLOOKUP(RANDBETWEEN(14,26),LETTERS,2)&amp;". on them"</f>
        <v>a pair of ladies' gloves with the initials X.F. on them</v>
      </c>
      <c r="N55" s="3">
        <v>5</v>
      </c>
      <c r="O55" s="3" t="s">
        <v>238</v>
      </c>
      <c r="P55" s="3">
        <v>21</v>
      </c>
      <c r="Q55" s="2" t="s">
        <v>1021</v>
      </c>
      <c r="R55" s="7">
        <v>12</v>
      </c>
      <c r="S55" s="7" t="s">
        <v>1191</v>
      </c>
      <c r="T55" s="3">
        <v>26</v>
      </c>
      <c r="U55" s="13" t="s">
        <v>2163</v>
      </c>
    </row>
    <row r="56" spans="1:21" ht="31.5" x14ac:dyDescent="0.2">
      <c r="A56" s="3">
        <v>4</v>
      </c>
      <c r="B56" s="7" t="str">
        <f ca="1">VLOOKUP(RANDBETWEEN(1,20),THP,2)</f>
        <v xml:space="preserve">Prairie Ticks </v>
      </c>
      <c r="D56" s="3">
        <v>55</v>
      </c>
      <c r="E56" s="2" t="s">
        <v>418</v>
      </c>
      <c r="F56" s="3">
        <v>55</v>
      </c>
      <c r="G56" s="3" t="s">
        <v>809</v>
      </c>
      <c r="H56" s="3">
        <v>55</v>
      </c>
      <c r="I56" s="3" t="s">
        <v>678</v>
      </c>
      <c r="J56" s="3" t="s">
        <v>3015</v>
      </c>
      <c r="K56" s="14">
        <v>89</v>
      </c>
      <c r="L56" s="3" t="str">
        <f ca="1">"a rock made of some strange flecked material with the word '"&amp;VLOOKUP(RANDBETWEEN(1,233),NAME,2)&amp;"' written on the bottom"</f>
        <v>a rock made of some strange flecked material with the word 'Culver' written on the bottom</v>
      </c>
      <c r="N56" s="3">
        <v>6</v>
      </c>
      <c r="O56" s="3" t="s">
        <v>239</v>
      </c>
      <c r="P56" s="3">
        <v>22</v>
      </c>
      <c r="Q56" s="2" t="s">
        <v>1022</v>
      </c>
      <c r="R56" s="7">
        <v>13</v>
      </c>
      <c r="S56" s="7" t="s">
        <v>1192</v>
      </c>
      <c r="T56" s="3">
        <v>27</v>
      </c>
      <c r="U56" s="13" t="s">
        <v>2164</v>
      </c>
    </row>
    <row r="57" spans="1:21" ht="78.75" x14ac:dyDescent="0.2">
      <c r="A57" s="3">
        <v>5</v>
      </c>
      <c r="B57" s="7" t="str">
        <f ca="1">VLOOKUP(RANDBETWEEN(1,20),THP,2)</f>
        <v xml:space="preserve">Adult Rattler </v>
      </c>
      <c r="D57" s="3">
        <v>56</v>
      </c>
      <c r="E57" s="2" t="s">
        <v>0</v>
      </c>
      <c r="F57" s="3">
        <v>56</v>
      </c>
      <c r="G57" s="3" t="s">
        <v>810</v>
      </c>
      <c r="H57" s="3">
        <v>56</v>
      </c>
      <c r="I57" s="3" t="s">
        <v>681</v>
      </c>
      <c r="J57" s="3" t="s">
        <v>3015</v>
      </c>
      <c r="K57" s="14">
        <v>90</v>
      </c>
      <c r="L57" s="3" t="str">
        <f ca="1">"a standard deck of cards "&amp;VLOOKUP(RANDBETWEEN(1,10),MARKED,2)</f>
        <v>a standard deck of cards (non-marked)</v>
      </c>
      <c r="N57" s="3">
        <v>7</v>
      </c>
      <c r="O57" s="3" t="s">
        <v>1085</v>
      </c>
      <c r="P57" s="3">
        <v>23</v>
      </c>
      <c r="Q57" s="2" t="s">
        <v>1023</v>
      </c>
      <c r="R57" s="7">
        <v>14</v>
      </c>
      <c r="S57" s="7" t="s">
        <v>1193</v>
      </c>
      <c r="T57" s="3">
        <v>28</v>
      </c>
      <c r="U57" s="13" t="s">
        <v>2165</v>
      </c>
    </row>
    <row r="58" spans="1:21" ht="31.5" x14ac:dyDescent="0.2">
      <c r="B58" s="47" t="s">
        <v>2888</v>
      </c>
      <c r="D58" s="3">
        <v>57</v>
      </c>
      <c r="E58" s="3" t="s">
        <v>563</v>
      </c>
      <c r="F58" s="3">
        <v>57</v>
      </c>
      <c r="G58" s="3" t="s">
        <v>811</v>
      </c>
      <c r="H58" s="3">
        <v>57</v>
      </c>
      <c r="I58" s="3" t="s">
        <v>683</v>
      </c>
      <c r="J58" s="3" t="s">
        <v>3015</v>
      </c>
      <c r="K58" s="14">
        <v>91</v>
      </c>
      <c r="L58" s="3" t="str">
        <f ca="1">"the "&amp;VLOOKUP(RANDBETWEEN(1,13),Deck,2)&amp;" of "&amp;VLOOKUP(RANDBETWEEN(1,4),Suite,2)&amp;"."&amp;VLOOKUP(RANDBETWEEN(1,10),MAGIC,2)</f>
        <v>the Five of Spades.(non-magical)</v>
      </c>
      <c r="N58" s="3">
        <v>8</v>
      </c>
      <c r="P58" s="3">
        <v>24</v>
      </c>
      <c r="Q58" s="2" t="s">
        <v>1024</v>
      </c>
      <c r="R58" s="7">
        <v>15</v>
      </c>
      <c r="S58" s="7" t="s">
        <v>1194</v>
      </c>
      <c r="T58" s="3">
        <v>29</v>
      </c>
      <c r="U58" s="13" t="s">
        <v>2166</v>
      </c>
    </row>
    <row r="59" spans="1:21" ht="31.5" x14ac:dyDescent="0.2">
      <c r="B59" s="7" t="s">
        <v>2908</v>
      </c>
      <c r="D59" s="3">
        <v>58</v>
      </c>
      <c r="E59" s="3" t="s">
        <v>641</v>
      </c>
      <c r="F59" s="3">
        <v>58</v>
      </c>
      <c r="G59" s="3" t="s">
        <v>812</v>
      </c>
      <c r="H59" s="3">
        <v>58</v>
      </c>
      <c r="I59" s="3" t="s">
        <v>646</v>
      </c>
      <c r="J59" s="3" t="s">
        <v>3015</v>
      </c>
      <c r="K59" s="14">
        <v>92</v>
      </c>
      <c r="L59" s="3" t="str">
        <f ca="1">"a deck of cards with nothing but "&amp;VLOOKUP(RANDBETWEEN(1,13),Deck,2)&amp;"s."</f>
        <v>a deck of cards with nothing but Tens.</v>
      </c>
      <c r="N59" s="3">
        <v>9</v>
      </c>
      <c r="P59" s="3">
        <v>25</v>
      </c>
      <c r="Q59" s="2" t="s">
        <v>1025</v>
      </c>
      <c r="R59" s="7">
        <v>16</v>
      </c>
      <c r="S59" s="7" t="s">
        <v>1195</v>
      </c>
      <c r="T59" s="3">
        <v>30</v>
      </c>
      <c r="U59" s="13" t="s">
        <v>2167</v>
      </c>
    </row>
    <row r="60" spans="1:21" x14ac:dyDescent="0.2">
      <c r="A60" s="3">
        <v>1</v>
      </c>
      <c r="B60" s="3" t="str">
        <f ca="1">VLOOKUP(RANDBETWEEN(1,414),InWilderness,2)</f>
        <v xml:space="preserve">Howling/barking in the distance </v>
      </c>
      <c r="D60" s="3">
        <v>59</v>
      </c>
      <c r="E60" s="3" t="s">
        <v>2707</v>
      </c>
      <c r="F60" s="3">
        <v>59</v>
      </c>
      <c r="G60" s="3" t="s">
        <v>2708</v>
      </c>
      <c r="H60" s="3">
        <v>59</v>
      </c>
      <c r="I60" s="3" t="s">
        <v>19</v>
      </c>
      <c r="J60" s="3" t="s">
        <v>3015</v>
      </c>
      <c r="K60" s="14">
        <v>93</v>
      </c>
      <c r="L60" s="3" t="str">
        <f ca="1">"a deck of cards with nothing but "&amp;VLOOKUP(RANDBETWEEN(1,13),Deck,2)&amp;"s of "&amp;VLOOKUP(RANDBETWEEN(1,4),Suite,2)&amp;"."&amp;VLOOKUP(RANDBETWEEN(1,10),MAGIC,2)</f>
        <v>a deck of cards with nothing but Sevens of Clubs.(magical)</v>
      </c>
      <c r="N60" s="3">
        <v>10</v>
      </c>
      <c r="P60" s="3">
        <v>26</v>
      </c>
      <c r="Q60" s="2" t="s">
        <v>1026</v>
      </c>
      <c r="R60" s="7">
        <v>17</v>
      </c>
      <c r="S60" s="7" t="s">
        <v>1196</v>
      </c>
      <c r="T60" s="3">
        <v>31</v>
      </c>
      <c r="U60" s="13" t="s">
        <v>2168</v>
      </c>
    </row>
    <row r="61" spans="1:21" ht="47.25" x14ac:dyDescent="0.2">
      <c r="A61" s="3">
        <v>2</v>
      </c>
      <c r="B61" s="3" t="str">
        <f ca="1">VLOOKUP(RANDBETWEEN(1,414),InWilderness,2)</f>
        <v>There is a cliff that would lead down to the river. A good distance away, you see a cliff on the other side. There is only a tiny ribbon of water between these two cliffs.</v>
      </c>
      <c r="D61" s="3">
        <v>60</v>
      </c>
      <c r="E61" s="3" t="s">
        <v>153</v>
      </c>
      <c r="F61" s="3">
        <v>60</v>
      </c>
      <c r="G61" s="3" t="s">
        <v>813</v>
      </c>
      <c r="H61" s="3">
        <v>60</v>
      </c>
      <c r="I61" s="3" t="s">
        <v>685</v>
      </c>
      <c r="J61" s="3" t="s">
        <v>3015</v>
      </c>
      <c r="K61" s="14">
        <v>94</v>
      </c>
      <c r="L61" s="3" t="str">
        <f ca="1">"a pair of dice "&amp;VLOOKUP(RANDBETWEEN(1,10),DICE,2)</f>
        <v>a pair of dice (not loaded)</v>
      </c>
      <c r="N61" s="3">
        <v>11</v>
      </c>
      <c r="P61" s="3">
        <v>27</v>
      </c>
      <c r="Q61" s="2" t="s">
        <v>1027</v>
      </c>
      <c r="R61" s="7">
        <v>18</v>
      </c>
      <c r="S61" s="7" t="s">
        <v>1197</v>
      </c>
      <c r="T61" s="3">
        <v>32</v>
      </c>
      <c r="U61" s="13" t="s">
        <v>2169</v>
      </c>
    </row>
    <row r="62" spans="1:21" ht="47.25" x14ac:dyDescent="0.2">
      <c r="A62" s="3">
        <v>3</v>
      </c>
      <c r="B62" s="3" t="str">
        <f ca="1">VLOOKUP(RANDBETWEEN(158,336),NPCS,2)</f>
        <v>A Union cavalry officer setting an ambush.</v>
      </c>
      <c r="D62" s="3">
        <v>61</v>
      </c>
      <c r="E62" s="3" t="s">
        <v>2733</v>
      </c>
      <c r="F62" s="3">
        <v>61</v>
      </c>
      <c r="G62" s="3" t="s">
        <v>814</v>
      </c>
      <c r="H62" s="3">
        <v>61</v>
      </c>
      <c r="I62" s="3" t="s">
        <v>2989</v>
      </c>
      <c r="J62" s="3" t="s">
        <v>3015</v>
      </c>
      <c r="K62" s="14">
        <v>95</v>
      </c>
      <c r="L62" s="3" t="str">
        <f ca="1">"an old map leading to the "&amp;VLOOKUP(RANDBETWEEN(1,83),NAME,2)&amp;" mine"</f>
        <v>an old map leading to the McConnell mine</v>
      </c>
      <c r="N62" s="3">
        <v>12</v>
      </c>
      <c r="P62" s="3">
        <v>28</v>
      </c>
      <c r="Q62" s="2" t="s">
        <v>1028</v>
      </c>
      <c r="R62" s="7">
        <v>19</v>
      </c>
      <c r="S62" s="7" t="s">
        <v>1198</v>
      </c>
      <c r="T62" s="3">
        <v>33</v>
      </c>
      <c r="U62" s="13" t="s">
        <v>2170</v>
      </c>
    </row>
    <row r="63" spans="1:21" ht="47.25" x14ac:dyDescent="0.2">
      <c r="A63" s="3">
        <v>4</v>
      </c>
      <c r="B63" s="7" t="str">
        <f ca="1">VLOOKUP(RANDBETWEEN(1,20),TRD,2)</f>
        <v>Automaton Patrol (3).</v>
      </c>
      <c r="D63" s="3">
        <v>62</v>
      </c>
      <c r="E63" s="3" t="str">
        <f ca="1">"A hawk dives out of the sky, snagging a "&amp;VLOOKUP(RANDBETWEEN(1,20),critter,2)&amp;" near the Posse."</f>
        <v>A hawk dives out of the sky, snagging a lemming near the Posse.</v>
      </c>
      <c r="F63" s="3">
        <v>62</v>
      </c>
      <c r="G63" s="3" t="s">
        <v>815</v>
      </c>
      <c r="H63" s="3">
        <v>62</v>
      </c>
      <c r="I63" s="3" t="s">
        <v>520</v>
      </c>
      <c r="J63" s="3" t="s">
        <v>3015</v>
      </c>
      <c r="K63" s="14">
        <v>96</v>
      </c>
      <c r="L63" s="3" t="str">
        <f ca="1">"a detailed map leading to the "&amp;VLOOKUP(RANDBETWEEN(1,233),NAME,2)&amp;" mine"</f>
        <v>a detailed map leading to the Cotter mine</v>
      </c>
      <c r="P63" s="3">
        <v>29</v>
      </c>
      <c r="Q63" s="2" t="s">
        <v>1029</v>
      </c>
      <c r="R63" s="7">
        <v>20</v>
      </c>
      <c r="S63" s="7" t="s">
        <v>1199</v>
      </c>
      <c r="T63" s="3">
        <v>34</v>
      </c>
      <c r="U63" s="13" t="s">
        <v>2171</v>
      </c>
    </row>
    <row r="64" spans="1:21" ht="47.25" x14ac:dyDescent="0.2">
      <c r="A64" s="3">
        <v>5</v>
      </c>
      <c r="B64" s="7" t="str">
        <f ca="1">VLOOKUP(RANDBETWEEN(1,20),TRD,2)</f>
        <v xml:space="preserve">Walkin’ Fossil </v>
      </c>
      <c r="D64" s="3">
        <v>63</v>
      </c>
      <c r="E64" s="3" t="s">
        <v>460</v>
      </c>
      <c r="F64" s="3">
        <v>63</v>
      </c>
      <c r="G64" s="3" t="s">
        <v>816</v>
      </c>
      <c r="H64" s="3">
        <v>63</v>
      </c>
      <c r="I64" s="3" t="s">
        <v>687</v>
      </c>
      <c r="J64" s="3" t="s">
        <v>3015</v>
      </c>
      <c r="K64" s="14">
        <v>97</v>
      </c>
      <c r="L64" s="3" t="str">
        <f ca="1">"an old map, with no names or details, labeled 'the "&amp;VLOOKUP(RANDBETWEEN(1,233),NAME,2)&amp;" mine'"</f>
        <v>an old map, with no names or details, labeled 'the McGovern mine'</v>
      </c>
      <c r="O64" s="22" t="s">
        <v>918</v>
      </c>
      <c r="P64" s="3">
        <v>30</v>
      </c>
      <c r="Q64" s="2" t="s">
        <v>1030</v>
      </c>
      <c r="R64" s="7">
        <v>21</v>
      </c>
      <c r="S64" s="7" t="s">
        <v>1200</v>
      </c>
      <c r="T64" s="3">
        <v>35</v>
      </c>
      <c r="U64" s="13" t="s">
        <v>2172</v>
      </c>
    </row>
    <row r="65" spans="1:21" ht="31.5" x14ac:dyDescent="0.2">
      <c r="B65" s="47" t="s">
        <v>2884</v>
      </c>
      <c r="D65" s="3">
        <v>64</v>
      </c>
      <c r="E65" s="3" t="s">
        <v>664</v>
      </c>
      <c r="F65" s="3">
        <v>64</v>
      </c>
      <c r="G65" s="3" t="s">
        <v>817</v>
      </c>
      <c r="H65" s="3">
        <v>64</v>
      </c>
      <c r="I65" s="3" t="s">
        <v>690</v>
      </c>
      <c r="J65" s="3" t="s">
        <v>3015</v>
      </c>
      <c r="K65" s="14">
        <v>98</v>
      </c>
      <c r="L65" s="3" t="str">
        <f ca="1">"a letter addressed to Mr. "&amp;VLOOKUP(RANDBETWEEN(1,233),NAME,2)&amp;""</f>
        <v>a letter addressed to Mr. Lake</v>
      </c>
      <c r="N65" s="3">
        <v>1</v>
      </c>
      <c r="O65" s="3" t="s">
        <v>23</v>
      </c>
      <c r="P65" s="3">
        <v>31</v>
      </c>
      <c r="Q65" s="2" t="s">
        <v>1031</v>
      </c>
      <c r="R65" s="7">
        <v>22</v>
      </c>
      <c r="S65" s="7" t="s">
        <v>1201</v>
      </c>
      <c r="T65" s="3">
        <v>36</v>
      </c>
      <c r="U65" s="13" t="s">
        <v>2173</v>
      </c>
    </row>
    <row r="66" spans="1:21" ht="47.25" x14ac:dyDescent="0.2">
      <c r="B66" s="7" t="s">
        <v>2901</v>
      </c>
      <c r="D66" s="3">
        <v>65</v>
      </c>
      <c r="E66" s="3" t="s">
        <v>620</v>
      </c>
      <c r="F66" s="3">
        <v>65</v>
      </c>
      <c r="G66" s="3" t="s">
        <v>818</v>
      </c>
      <c r="H66" s="3">
        <v>65</v>
      </c>
      <c r="I66" s="3" t="s">
        <v>510</v>
      </c>
      <c r="J66" s="3" t="s">
        <v>3015</v>
      </c>
      <c r="K66" s="14">
        <v>99</v>
      </c>
      <c r="L66" s="3" t="str">
        <f ca="1">"a letter addressed to Ms "&amp;VLOOKUP(RANDBETWEEN(1,233),NAME,2)</f>
        <v>a letter addressed to Ms McClure</v>
      </c>
      <c r="N66" s="3">
        <v>2</v>
      </c>
      <c r="O66" s="3" t="s">
        <v>24</v>
      </c>
      <c r="P66" s="3">
        <v>32</v>
      </c>
      <c r="Q66" s="2" t="s">
        <v>1032</v>
      </c>
      <c r="R66" s="7">
        <v>23</v>
      </c>
      <c r="S66" s="7" t="s">
        <v>1202</v>
      </c>
      <c r="T66" s="3">
        <v>37</v>
      </c>
      <c r="U66" s="13" t="s">
        <v>2174</v>
      </c>
    </row>
    <row r="67" spans="1:21" ht="31.5" x14ac:dyDescent="0.2">
      <c r="A67" s="3">
        <v>1</v>
      </c>
      <c r="B67" s="3" t="str">
        <f ca="1">VLOOKUP(RANDBETWEEN(1,414),InWilderness,2)</f>
        <v>Local Major Creature Feature</v>
      </c>
      <c r="D67" s="3">
        <v>66</v>
      </c>
      <c r="E67" s="3" t="s">
        <v>455</v>
      </c>
      <c r="F67" s="3">
        <v>66</v>
      </c>
      <c r="G67" s="3" t="s">
        <v>819</v>
      </c>
      <c r="H67" s="3">
        <v>66</v>
      </c>
      <c r="I67" s="3" t="s">
        <v>691</v>
      </c>
      <c r="J67" s="3" t="s">
        <v>3015</v>
      </c>
      <c r="K67" s="14">
        <v>100</v>
      </c>
      <c r="L67" s="3" t="str">
        <f ca="1">"a letter addressed to Mrs. "&amp;VLOOKUP(RANDBETWEEN(1,233),NAME,2)</f>
        <v>a letter addressed to Mrs. McAdams</v>
      </c>
      <c r="N67" s="3">
        <v>3</v>
      </c>
      <c r="O67" s="3" t="s">
        <v>28</v>
      </c>
      <c r="P67" s="3">
        <v>33</v>
      </c>
      <c r="Q67" s="2" t="s">
        <v>1033</v>
      </c>
      <c r="R67" s="7">
        <v>24</v>
      </c>
      <c r="S67" s="7" t="s">
        <v>1203</v>
      </c>
      <c r="T67" s="3">
        <v>38</v>
      </c>
      <c r="U67" s="13" t="s">
        <v>2175</v>
      </c>
    </row>
    <row r="68" spans="1:21" ht="47.25" x14ac:dyDescent="0.2">
      <c r="A68" s="3">
        <v>2</v>
      </c>
      <c r="B68" s="3" t="str">
        <f ca="1">VLOOKUP(RANDBETWEEN(1,414),InWilderness,2)</f>
        <v>The bridge crossing a moderate creek/ small river is an elaborate stone affair, with smooth carved stone and has elaborate artistic reliefs carved in the arched sides and supports.</v>
      </c>
      <c r="D68" s="3">
        <v>67</v>
      </c>
      <c r="E68" s="3" t="s">
        <v>473</v>
      </c>
      <c r="F68" s="3">
        <v>67</v>
      </c>
      <c r="G68" s="3" t="s">
        <v>820</v>
      </c>
      <c r="H68" s="3">
        <v>67</v>
      </c>
      <c r="I68" s="1" t="str">
        <f ca="1">"A traveling merchant "&amp;VLOOKUP(RANDBETWEEN(1,40),town,2)</f>
        <v>A traveling merchant hiring a guide.</v>
      </c>
      <c r="J68" s="1" t="s">
        <v>3015</v>
      </c>
      <c r="K68" s="14">
        <v>101</v>
      </c>
      <c r="L68" s="3" t="s">
        <v>2035</v>
      </c>
      <c r="N68" s="3">
        <v>4</v>
      </c>
      <c r="O68" s="3" t="s">
        <v>25</v>
      </c>
      <c r="P68" s="3">
        <v>34</v>
      </c>
      <c r="Q68" s="2" t="s">
        <v>1034</v>
      </c>
      <c r="R68" s="7">
        <v>25</v>
      </c>
      <c r="S68" s="7" t="s">
        <v>1204</v>
      </c>
      <c r="T68" s="3">
        <v>39</v>
      </c>
      <c r="U68" s="13" t="s">
        <v>2176</v>
      </c>
    </row>
    <row r="69" spans="1:21" ht="31.5" x14ac:dyDescent="0.2">
      <c r="A69" s="3">
        <v>3</v>
      </c>
      <c r="B69" s="3" t="str">
        <f ca="1">VLOOKUP(RANDBETWEEN(158,336),NPCS,2)</f>
        <v>The McClintock Boys.</v>
      </c>
      <c r="D69" s="3">
        <v>68</v>
      </c>
      <c r="E69" s="3" t="s">
        <v>2734</v>
      </c>
      <c r="F69" s="3">
        <v>68</v>
      </c>
      <c r="G69" s="3" t="s">
        <v>2986</v>
      </c>
      <c r="H69" s="3">
        <v>68</v>
      </c>
      <c r="I69" s="3" t="s">
        <v>515</v>
      </c>
      <c r="J69" s="3" t="s">
        <v>3015</v>
      </c>
      <c r="K69" s="14">
        <v>102</v>
      </c>
      <c r="L69" s="3" t="s">
        <v>2036</v>
      </c>
      <c r="N69" s="3">
        <v>5</v>
      </c>
      <c r="O69" s="3" t="s">
        <v>26</v>
      </c>
      <c r="P69" s="3">
        <v>35</v>
      </c>
      <c r="Q69" s="2" t="s">
        <v>1035</v>
      </c>
      <c r="T69" s="3">
        <v>40</v>
      </c>
      <c r="U69" s="13" t="s">
        <v>2177</v>
      </c>
    </row>
    <row r="70" spans="1:21" ht="78.75" x14ac:dyDescent="0.2">
      <c r="A70" s="3">
        <v>4</v>
      </c>
      <c r="B70" s="7" t="str">
        <f ca="1">VLOOKUP(RANDBETWEEN(1,20),SN,2)</f>
        <v>12 Indian Braves.</v>
      </c>
      <c r="D70" s="3">
        <v>69</v>
      </c>
      <c r="E70" s="3" t="str">
        <f ca="1">"A lawyer "&amp;VLOOKUP(RANDBETWEEN(1,40),town,2)</f>
        <v>A lawyer begging.</v>
      </c>
      <c r="F70" s="3">
        <v>69</v>
      </c>
      <c r="G70" s="3" t="s">
        <v>821</v>
      </c>
      <c r="H70" s="3">
        <v>69</v>
      </c>
      <c r="I70" s="3" t="s">
        <v>692</v>
      </c>
      <c r="J70" s="3" t="s">
        <v>3015</v>
      </c>
      <c r="K70" s="14">
        <v>103</v>
      </c>
      <c r="L70" s="3" t="str">
        <f ca="1">"a scrap of paper with five names: "&amp;VLOOKUP(RANDBETWEEN(1,233),NAME,2)&amp;", "&amp;VLOOKUP(RANDBETWEEN(1,233),NAME,2)&amp;", "&amp;VLOOKUP(RANDBETWEEN(1,233),NAME,2)&amp;", "&amp;VLOOKUP(RANDBETWEEN(1,233),NAME,2)&amp;" and one of the PC's names. All but the PC's name have been crossed out!"</f>
        <v>a scrap of paper with five names: McIntire, Guy, Cormac, MacDougal and one of the PC's names. All but the PC's name have been crossed out!</v>
      </c>
      <c r="N70" s="3">
        <v>6</v>
      </c>
      <c r="O70" s="3" t="s">
        <v>27</v>
      </c>
      <c r="P70" s="3">
        <v>36</v>
      </c>
      <c r="Q70" s="2" t="s">
        <v>1036</v>
      </c>
      <c r="R70" s="7"/>
      <c r="S70" s="22" t="s">
        <v>1205</v>
      </c>
      <c r="T70" s="3">
        <v>41</v>
      </c>
      <c r="U70" s="13" t="s">
        <v>2178</v>
      </c>
    </row>
    <row r="71" spans="1:21" ht="63" x14ac:dyDescent="0.2">
      <c r="A71" s="3">
        <v>5</v>
      </c>
      <c r="B71" s="7" t="str">
        <f ca="1">VLOOKUP(RANDBETWEEN(1,20),SN,2)</f>
        <v>12 Raiders (Use Outlaws.</v>
      </c>
      <c r="D71" s="3">
        <v>70</v>
      </c>
      <c r="E71" s="3" t="s">
        <v>665</v>
      </c>
      <c r="F71" s="3">
        <v>70</v>
      </c>
      <c r="G71" s="3" t="s">
        <v>822</v>
      </c>
      <c r="H71" s="3">
        <v>70</v>
      </c>
      <c r="I71" s="3" t="s">
        <v>566</v>
      </c>
      <c r="J71" s="3" t="s">
        <v>3015</v>
      </c>
      <c r="K71" s="14">
        <v>104</v>
      </c>
      <c r="L71" s="3" t="str">
        <f ca="1">"a scrap of paper with five names: "&amp;VLOOKUP(RANDBETWEEN(1,233),NAME,2)&amp;", "&amp;VLOOKUP(RANDBETWEEN(1,233),NAME,2)&amp;", "&amp;VLOOKUP(RANDBETWEEN(84,233),NAME,2)&amp;", "&amp;VLOOKUP(RANDBETWEEN(1,233),NAME,2)&amp;" and "&amp;VLOOKUP(RANDBETWEEN(1,83),NAME,2)&amp;". The first two have been crossed out!"</f>
        <v>a scrap of paper with five names: Bain, Skidmore, Obrien, James and McCaffrey. The first two have been crossed out!</v>
      </c>
      <c r="N71" s="3">
        <v>7</v>
      </c>
      <c r="O71" s="3" t="s">
        <v>29</v>
      </c>
      <c r="P71" s="3">
        <v>37</v>
      </c>
      <c r="Q71" s="2" t="s">
        <v>1037</v>
      </c>
      <c r="R71" s="7">
        <v>1</v>
      </c>
      <c r="S71" s="3" t="s">
        <v>1206</v>
      </c>
      <c r="T71" s="3">
        <v>42</v>
      </c>
      <c r="U71" s="13" t="s">
        <v>2179</v>
      </c>
    </row>
    <row r="72" spans="1:21" ht="78.75" x14ac:dyDescent="0.2">
      <c r="B72" s="47" t="s">
        <v>2886</v>
      </c>
      <c r="D72" s="3">
        <v>71</v>
      </c>
      <c r="E72" s="3" t="s">
        <v>666</v>
      </c>
      <c r="F72" s="3">
        <v>71</v>
      </c>
      <c r="G72" s="3" t="s">
        <v>823</v>
      </c>
      <c r="H72" s="3">
        <v>71</v>
      </c>
      <c r="I72" s="3" t="s">
        <v>2992</v>
      </c>
      <c r="J72" s="3" t="s">
        <v>3015</v>
      </c>
      <c r="K72" s="14">
        <v>105</v>
      </c>
      <c r="L72" s="3" t="str">
        <f ca="1">"a pocket watch stopped at "&amp;RANDBETWEEN(1,12)&amp;VLOOKUP(RANDBETWEEN(1,60),Time,2)&amp;" "&amp;VLOOKUP(RANDBETWEEN(1,10),MAGIC,2)</f>
        <v>a pocket watch stopped at 10:07 (non-magical)</v>
      </c>
      <c r="N72" s="3">
        <v>8</v>
      </c>
      <c r="O72" s="3" t="s">
        <v>31</v>
      </c>
      <c r="P72" s="3">
        <v>38</v>
      </c>
      <c r="Q72" s="2" t="s">
        <v>1038</v>
      </c>
      <c r="R72" s="7">
        <v>2</v>
      </c>
      <c r="S72" s="3" t="s">
        <v>1207</v>
      </c>
      <c r="T72" s="3">
        <v>43</v>
      </c>
      <c r="U72" s="13" t="s">
        <v>2180</v>
      </c>
    </row>
    <row r="73" spans="1:21" ht="78.75" x14ac:dyDescent="0.2">
      <c r="B73" s="7" t="s">
        <v>2902</v>
      </c>
      <c r="D73" s="3">
        <v>72</v>
      </c>
      <c r="E73" s="3" t="s">
        <v>667</v>
      </c>
      <c r="F73" s="3">
        <v>72</v>
      </c>
      <c r="G73" s="3" t="s">
        <v>824</v>
      </c>
      <c r="H73" s="3">
        <v>72</v>
      </c>
      <c r="I73" s="8" t="s">
        <v>168</v>
      </c>
      <c r="J73" s="8" t="s">
        <v>3015</v>
      </c>
      <c r="K73" s="14">
        <v>106</v>
      </c>
      <c r="L73" s="3" t="s">
        <v>2037</v>
      </c>
      <c r="N73" s="3">
        <v>9</v>
      </c>
      <c r="O73" s="3" t="s">
        <v>32</v>
      </c>
      <c r="P73" s="3">
        <v>39</v>
      </c>
      <c r="Q73" s="2" t="s">
        <v>1039</v>
      </c>
      <c r="R73" s="7">
        <v>3</v>
      </c>
      <c r="S73" s="3" t="s">
        <v>1208</v>
      </c>
      <c r="T73" s="3">
        <v>44</v>
      </c>
      <c r="U73" s="13" t="s">
        <v>2181</v>
      </c>
    </row>
    <row r="74" spans="1:21" ht="47.25" x14ac:dyDescent="0.2">
      <c r="A74" s="3">
        <v>1</v>
      </c>
      <c r="B74" s="3" t="str">
        <f ca="1">VLOOKUP(RANDBETWEEN(1,414),InWilderness,2)</f>
        <v>Burned area {trees standing, no undergrowth, all black}…</v>
      </c>
      <c r="D74" s="3">
        <v>73</v>
      </c>
      <c r="E74" s="3" t="s">
        <v>668</v>
      </c>
      <c r="F74" s="3">
        <v>73</v>
      </c>
      <c r="G74" s="3" t="s">
        <v>825</v>
      </c>
      <c r="H74" s="3">
        <v>73</v>
      </c>
      <c r="I74" s="3" t="s">
        <v>693</v>
      </c>
      <c r="J74" s="3" t="s">
        <v>3015</v>
      </c>
      <c r="K74" s="14">
        <v>107</v>
      </c>
      <c r="L74" s="3" t="str">
        <f ca="1">"a ring with "&amp;RANDBETWEEN(1,12)&amp;" large iron key(s)"</f>
        <v>a ring with 11 large iron key(s)</v>
      </c>
      <c r="N74" s="3">
        <v>10</v>
      </c>
      <c r="O74" s="3" t="s">
        <v>33</v>
      </c>
      <c r="P74" s="3">
        <v>40</v>
      </c>
      <c r="Q74" s="2" t="s">
        <v>1040</v>
      </c>
      <c r="R74" s="7">
        <v>4</v>
      </c>
      <c r="S74" s="3" t="s">
        <v>1209</v>
      </c>
      <c r="T74" s="3">
        <v>45</v>
      </c>
      <c r="U74" s="13" t="s">
        <v>2182</v>
      </c>
    </row>
    <row r="75" spans="1:21" ht="63" x14ac:dyDescent="0.2">
      <c r="A75" s="3">
        <v>2</v>
      </c>
      <c r="B75" s="3" t="str">
        <f ca="1">VLOOKUP(RANDBETWEEN(1,414),InWilderness,2)</f>
        <v>A great rock of granite in the middle of a road, which bends around it.</v>
      </c>
      <c r="D75" s="3">
        <v>74</v>
      </c>
      <c r="E75" s="3" t="s">
        <v>669</v>
      </c>
      <c r="F75" s="3">
        <v>74</v>
      </c>
      <c r="G75" s="3" t="s">
        <v>966</v>
      </c>
      <c r="H75" s="3">
        <v>74</v>
      </c>
      <c r="I75" s="3" t="s">
        <v>466</v>
      </c>
      <c r="J75" s="3" t="s">
        <v>3015</v>
      </c>
      <c r="K75" s="14">
        <v>108</v>
      </c>
      <c r="L75" s="3" t="str">
        <f ca="1">RANDBETWEEN(1,16)&amp;" glass bead(s)"</f>
        <v>6 glass bead(s)</v>
      </c>
      <c r="N75" s="3">
        <v>11</v>
      </c>
      <c r="O75" s="3" t="s">
        <v>410</v>
      </c>
      <c r="P75" s="3">
        <v>41</v>
      </c>
      <c r="Q75" s="2" t="s">
        <v>1041</v>
      </c>
      <c r="R75" s="7">
        <v>5</v>
      </c>
      <c r="S75" s="3" t="s">
        <v>1210</v>
      </c>
      <c r="T75" s="3">
        <v>46</v>
      </c>
      <c r="U75" s="13" t="s">
        <v>2183</v>
      </c>
    </row>
    <row r="76" spans="1:21" ht="47.25" x14ac:dyDescent="0.2">
      <c r="A76" s="3">
        <v>3</v>
      </c>
      <c r="B76" s="3" t="str">
        <f ca="1">VLOOKUP(RANDBETWEEN(158,336),NPCS,2)</f>
        <v>A drifter hiding out.</v>
      </c>
      <c r="D76" s="3">
        <v>75</v>
      </c>
      <c r="E76" s="3" t="s">
        <v>505</v>
      </c>
      <c r="F76" s="3">
        <v>75</v>
      </c>
      <c r="G76" s="3" t="s">
        <v>826</v>
      </c>
      <c r="H76" s="3">
        <v>75</v>
      </c>
      <c r="I76" s="3" t="s">
        <v>509</v>
      </c>
      <c r="J76" s="3" t="s">
        <v>3015</v>
      </c>
      <c r="K76" s="14">
        <v>109</v>
      </c>
      <c r="L76" s="3" t="str">
        <f ca="1">RANDBETWEEN(2,7)&amp;" freshwater pearls"</f>
        <v>7 freshwater pearls</v>
      </c>
      <c r="N76" s="3">
        <v>12</v>
      </c>
      <c r="O76" s="3" t="s">
        <v>30</v>
      </c>
      <c r="P76" s="3">
        <v>42</v>
      </c>
      <c r="Q76" s="2" t="s">
        <v>1042</v>
      </c>
      <c r="R76" s="7">
        <v>6</v>
      </c>
      <c r="S76" s="3" t="s">
        <v>1211</v>
      </c>
      <c r="T76" s="3">
        <v>47</v>
      </c>
      <c r="U76" s="13" t="s">
        <v>2184</v>
      </c>
    </row>
    <row r="77" spans="1:21" ht="31.5" x14ac:dyDescent="0.2">
      <c r="A77" s="3">
        <v>4</v>
      </c>
      <c r="B77" s="7" t="str">
        <f ca="1">VLOOKUP(RANDBETWEEN(1,20),CC,2)</f>
        <v>4 Veteran Indian Braves.</v>
      </c>
      <c r="D77" s="3">
        <v>76</v>
      </c>
      <c r="E77" s="3" t="s">
        <v>526</v>
      </c>
      <c r="F77" s="3">
        <v>76</v>
      </c>
      <c r="G77" s="3" t="s">
        <v>827</v>
      </c>
      <c r="H77" s="3">
        <v>76</v>
      </c>
      <c r="I77" s="3" t="s">
        <v>694</v>
      </c>
      <c r="J77" s="3" t="s">
        <v>3015</v>
      </c>
      <c r="K77" s="14">
        <v>110</v>
      </c>
      <c r="L77" s="3" t="s">
        <v>2038</v>
      </c>
      <c r="N77" s="3">
        <v>13</v>
      </c>
      <c r="O77" s="3" t="s">
        <v>53</v>
      </c>
      <c r="P77" s="3">
        <v>43</v>
      </c>
      <c r="Q77" s="2" t="s">
        <v>1043</v>
      </c>
      <c r="R77" s="7">
        <v>7</v>
      </c>
      <c r="S77" s="3" t="s">
        <v>1212</v>
      </c>
      <c r="T77" s="3">
        <v>48</v>
      </c>
      <c r="U77" s="13" t="s">
        <v>2185</v>
      </c>
    </row>
    <row r="78" spans="1:21" ht="31.5" x14ac:dyDescent="0.2">
      <c r="A78" s="3">
        <v>5</v>
      </c>
      <c r="B78" s="7" t="str">
        <f ca="1">VLOOKUP(RANDBETWEEN(1,20),CC,2)</f>
        <v>16 Indian Braves.</v>
      </c>
      <c r="D78" s="3">
        <v>77</v>
      </c>
      <c r="E78" s="3" t="s">
        <v>670</v>
      </c>
      <c r="F78" s="3">
        <v>77</v>
      </c>
      <c r="G78" s="3" t="s">
        <v>2987</v>
      </c>
      <c r="H78" s="3">
        <v>77</v>
      </c>
      <c r="I78" s="3" t="s">
        <v>695</v>
      </c>
      <c r="J78" s="3" t="s">
        <v>3015</v>
      </c>
      <c r="K78" s="14">
        <v>111</v>
      </c>
      <c r="L78" s="3" t="s">
        <v>2051</v>
      </c>
      <c r="N78" s="3">
        <v>14</v>
      </c>
      <c r="O78" s="3" t="s">
        <v>34</v>
      </c>
      <c r="P78" s="3">
        <v>44</v>
      </c>
      <c r="Q78" s="2" t="s">
        <v>1044</v>
      </c>
      <c r="R78" s="7">
        <v>8</v>
      </c>
      <c r="S78" s="3" t="s">
        <v>1213</v>
      </c>
      <c r="T78" s="3">
        <v>49</v>
      </c>
      <c r="U78" s="13" t="s">
        <v>2186</v>
      </c>
    </row>
    <row r="79" spans="1:21" ht="31.5" x14ac:dyDescent="0.2">
      <c r="B79" s="47" t="s">
        <v>2885</v>
      </c>
      <c r="D79" s="3">
        <v>78</v>
      </c>
      <c r="E79" s="3" t="s">
        <v>517</v>
      </c>
      <c r="F79" s="3">
        <v>78</v>
      </c>
      <c r="G79" s="3" t="s">
        <v>828</v>
      </c>
      <c r="H79" s="3">
        <v>78</v>
      </c>
      <c r="I79" s="3" t="s">
        <v>208</v>
      </c>
      <c r="J79" s="3" t="s">
        <v>3015</v>
      </c>
      <c r="K79" s="14">
        <v>112</v>
      </c>
      <c r="L79" s="3" t="s">
        <v>2039</v>
      </c>
      <c r="N79" s="3">
        <v>15</v>
      </c>
      <c r="O79" s="3" t="s">
        <v>54</v>
      </c>
      <c r="P79" s="3">
        <v>45</v>
      </c>
      <c r="Q79" s="2" t="s">
        <v>1045</v>
      </c>
      <c r="R79" s="7">
        <v>9</v>
      </c>
      <c r="S79" s="3" t="s">
        <v>1214</v>
      </c>
      <c r="T79" s="3">
        <v>50</v>
      </c>
      <c r="U79" s="13" t="s">
        <v>2187</v>
      </c>
    </row>
    <row r="80" spans="1:21" ht="47.25" x14ac:dyDescent="0.2">
      <c r="B80" s="7" t="s">
        <v>2903</v>
      </c>
      <c r="D80" s="3">
        <v>79</v>
      </c>
      <c r="E80" s="3" t="s">
        <v>548</v>
      </c>
      <c r="F80" s="3">
        <v>79</v>
      </c>
      <c r="G80" s="3" t="s">
        <v>829</v>
      </c>
      <c r="H80" s="3">
        <v>79</v>
      </c>
      <c r="I80" s="3" t="s">
        <v>446</v>
      </c>
      <c r="J80" s="3" t="s">
        <v>3015</v>
      </c>
      <c r="K80" s="14">
        <v>113</v>
      </c>
      <c r="L80" s="3" t="s">
        <v>2040</v>
      </c>
      <c r="N80" s="3">
        <v>16</v>
      </c>
      <c r="O80" s="3" t="s">
        <v>55</v>
      </c>
      <c r="P80" s="3">
        <v>46</v>
      </c>
      <c r="Q80" s="2" t="s">
        <v>1046</v>
      </c>
      <c r="R80" s="7">
        <v>10</v>
      </c>
      <c r="S80" s="3" t="s">
        <v>1215</v>
      </c>
      <c r="T80" s="3">
        <v>51</v>
      </c>
      <c r="U80" s="13" t="s">
        <v>2188</v>
      </c>
    </row>
    <row r="81" spans="1:21" ht="63" x14ac:dyDescent="0.2">
      <c r="A81" s="3">
        <v>1</v>
      </c>
      <c r="B81" s="3" t="str">
        <f ca="1">VLOOKUP(RANDBETWEEN(1,414),InWilderness,2)</f>
        <v>To the north west stands a grove of birch trees.</v>
      </c>
      <c r="D81" s="3">
        <v>80</v>
      </c>
      <c r="E81" s="3" t="s">
        <v>538</v>
      </c>
      <c r="F81" s="3">
        <v>80</v>
      </c>
      <c r="G81" s="3" t="s">
        <v>2988</v>
      </c>
      <c r="H81" s="3">
        <v>80</v>
      </c>
      <c r="I81" s="3" t="s">
        <v>516</v>
      </c>
      <c r="J81" s="3" t="s">
        <v>3015</v>
      </c>
      <c r="K81" s="14">
        <v>114</v>
      </c>
      <c r="L81" s="3" t="s">
        <v>2041</v>
      </c>
      <c r="N81" s="3">
        <v>17</v>
      </c>
      <c r="O81" s="3" t="s">
        <v>35</v>
      </c>
      <c r="P81" s="3">
        <v>47</v>
      </c>
      <c r="Q81" s="2" t="s">
        <v>1047</v>
      </c>
      <c r="R81" s="7">
        <v>11</v>
      </c>
      <c r="S81" s="3" t="s">
        <v>1216</v>
      </c>
      <c r="T81" s="3">
        <v>52</v>
      </c>
      <c r="U81" s="13" t="s">
        <v>2189</v>
      </c>
    </row>
    <row r="82" spans="1:21" ht="47.25" x14ac:dyDescent="0.2">
      <c r="A82" s="3">
        <v>2</v>
      </c>
      <c r="B82" s="3" t="str">
        <f ca="1">VLOOKUP(RANDBETWEEN(1,414),InWilderness,2)</f>
        <v>The Posse comes across a campsite, fire smoldering, supplies all spread out, but nobody's there. There seems to be a lack of any real tracks signifying any direction they left.</v>
      </c>
      <c r="D82" s="3">
        <v>81</v>
      </c>
      <c r="E82" s="3" t="s">
        <v>544</v>
      </c>
      <c r="F82" s="3">
        <v>81</v>
      </c>
      <c r="G82" s="3" t="s">
        <v>830</v>
      </c>
      <c r="H82" s="3">
        <v>81</v>
      </c>
      <c r="I82" s="3" t="s">
        <v>525</v>
      </c>
      <c r="J82" s="3" t="s">
        <v>3015</v>
      </c>
      <c r="K82" s="14">
        <v>115</v>
      </c>
      <c r="L82" s="3" t="str">
        <f ca="1">"a letter anouncing "&amp;VLOOKUP(RANDBETWEEN(179,233),NAME,2)&amp;" "&amp;VLOOKUP(RANDBETWEEN(1,117),NAME,2)&amp;"'s arival"</f>
        <v>a letter anouncing Headley Bell's arival</v>
      </c>
      <c r="N82" s="3">
        <v>18</v>
      </c>
      <c r="O82" s="3" t="s">
        <v>36</v>
      </c>
      <c r="P82" s="3">
        <v>48</v>
      </c>
      <c r="Q82" s="2" t="s">
        <v>1048</v>
      </c>
      <c r="R82" s="7">
        <v>12</v>
      </c>
      <c r="S82" s="3" t="s">
        <v>1217</v>
      </c>
      <c r="T82" s="3">
        <v>53</v>
      </c>
      <c r="U82" s="13" t="s">
        <v>2190</v>
      </c>
    </row>
    <row r="83" spans="1:21" ht="63" x14ac:dyDescent="0.2">
      <c r="A83" s="3">
        <v>3</v>
      </c>
      <c r="B83" s="3" t="str">
        <f ca="1">VLOOKUP(RANDBETWEEN(158,336),NPCS,2)</f>
        <v>6 adventurers with one Harrowed among them.</v>
      </c>
      <c r="D83" s="3">
        <v>82</v>
      </c>
      <c r="E83" s="3" t="s">
        <v>551</v>
      </c>
      <c r="F83" s="3">
        <v>82</v>
      </c>
      <c r="G83" s="3" t="s">
        <v>831</v>
      </c>
      <c r="H83" s="3">
        <v>82</v>
      </c>
      <c r="I83" s="2" t="s">
        <v>251</v>
      </c>
      <c r="J83" s="2" t="s">
        <v>3015</v>
      </c>
      <c r="K83" s="14">
        <v>116</v>
      </c>
      <c r="L83" s="3" t="s">
        <v>2042</v>
      </c>
      <c r="N83" s="3">
        <v>19</v>
      </c>
      <c r="O83" s="3" t="s">
        <v>37</v>
      </c>
      <c r="P83" s="3">
        <v>49</v>
      </c>
      <c r="Q83" s="2" t="s">
        <v>1049</v>
      </c>
      <c r="R83" s="7">
        <v>13</v>
      </c>
      <c r="S83" s="3" t="s">
        <v>1218</v>
      </c>
      <c r="T83" s="3">
        <v>54</v>
      </c>
      <c r="U83" s="13" t="s">
        <v>2191</v>
      </c>
    </row>
    <row r="84" spans="1:21" ht="47.25" x14ac:dyDescent="0.2">
      <c r="A84" s="3">
        <v>4</v>
      </c>
      <c r="B84" s="7" t="str">
        <f ca="1">VLOOKUP(RANDBETWEEN(1,20),TWS,2)</f>
        <v xml:space="preserve">Carcajou </v>
      </c>
      <c r="D84" s="3">
        <v>83</v>
      </c>
      <c r="E84" s="3" t="s">
        <v>492</v>
      </c>
      <c r="F84" s="3">
        <v>83</v>
      </c>
      <c r="G84" s="3" t="s">
        <v>832</v>
      </c>
      <c r="H84" s="3">
        <v>83</v>
      </c>
      <c r="I84" s="3" t="s">
        <v>495</v>
      </c>
      <c r="J84" s="3" t="s">
        <v>3015</v>
      </c>
      <c r="K84" s="14">
        <v>117</v>
      </c>
      <c r="L84" s="3" t="s">
        <v>2043</v>
      </c>
      <c r="N84" s="3">
        <v>20</v>
      </c>
      <c r="O84" s="3" t="s">
        <v>38</v>
      </c>
      <c r="P84" s="3">
        <v>50</v>
      </c>
      <c r="Q84" s="2" t="s">
        <v>1050</v>
      </c>
      <c r="R84" s="7">
        <v>14</v>
      </c>
      <c r="S84" s="3" t="s">
        <v>1219</v>
      </c>
      <c r="T84" s="3">
        <v>55</v>
      </c>
      <c r="U84" s="13" t="s">
        <v>2192</v>
      </c>
    </row>
    <row r="85" spans="1:21" ht="47.25" x14ac:dyDescent="0.2">
      <c r="A85" s="3">
        <v>5</v>
      </c>
      <c r="B85" s="7" t="str">
        <f ca="1">VLOOKUP(RANDBETWEEN(1,20),TWS,2)</f>
        <v>3 Indian Braves.</v>
      </c>
      <c r="D85" s="3">
        <v>84</v>
      </c>
      <c r="E85" s="1" t="s">
        <v>80</v>
      </c>
      <c r="F85" s="3">
        <v>84</v>
      </c>
      <c r="G85" s="3" t="s">
        <v>833</v>
      </c>
      <c r="H85" s="3">
        <v>84</v>
      </c>
      <c r="I85" s="3" t="s">
        <v>530</v>
      </c>
      <c r="J85" s="3" t="s">
        <v>3015</v>
      </c>
      <c r="K85" s="14">
        <v>118</v>
      </c>
      <c r="L85" s="3" t="s">
        <v>1351</v>
      </c>
      <c r="P85" s="3">
        <v>51</v>
      </c>
      <c r="Q85" s="2" t="s">
        <v>1051</v>
      </c>
      <c r="R85" s="7">
        <v>15</v>
      </c>
      <c r="S85" s="3" t="s">
        <v>1220</v>
      </c>
      <c r="T85" s="3">
        <v>56</v>
      </c>
      <c r="U85" s="13" t="s">
        <v>2193</v>
      </c>
    </row>
    <row r="86" spans="1:21" ht="47.25" x14ac:dyDescent="0.2">
      <c r="B86" s="17" t="s">
        <v>2864</v>
      </c>
      <c r="D86" s="3">
        <v>85</v>
      </c>
      <c r="E86" s="3" t="s">
        <v>445</v>
      </c>
      <c r="F86" s="3">
        <v>85</v>
      </c>
      <c r="G86" s="3" t="s">
        <v>649</v>
      </c>
      <c r="H86" s="3">
        <v>85</v>
      </c>
      <c r="I86" s="3" t="s">
        <v>701</v>
      </c>
      <c r="J86" s="3" t="s">
        <v>3015</v>
      </c>
      <c r="K86" s="14">
        <v>119</v>
      </c>
      <c r="L86" s="3" t="str">
        <f ca="1">"a letter demanding payment of a debt owed to "&amp;VLOOKUP(RANDBETWEEN(1,233),NAME,2)</f>
        <v>a letter demanding payment of a debt owed to Myrick</v>
      </c>
      <c r="O86" s="22" t="s">
        <v>919</v>
      </c>
      <c r="P86" s="3">
        <v>52</v>
      </c>
      <c r="Q86" s="2" t="s">
        <v>1052</v>
      </c>
      <c r="R86" s="7">
        <v>16</v>
      </c>
      <c r="S86" s="3" t="s">
        <v>1221</v>
      </c>
      <c r="T86" s="3">
        <v>57</v>
      </c>
      <c r="U86" s="13" t="s">
        <v>2194</v>
      </c>
    </row>
    <row r="87" spans="1:21" ht="47.25" x14ac:dyDescent="0.2">
      <c r="B87" s="3" t="s">
        <v>2904</v>
      </c>
      <c r="D87" s="3">
        <v>86</v>
      </c>
      <c r="E87" s="3" t="s">
        <v>671</v>
      </c>
      <c r="F87" s="3">
        <v>86</v>
      </c>
      <c r="G87" s="3" t="str">
        <f ca="1">RANDBETWEEN(2,20)&amp;" dusty, tangled, tumbleweeds move "&amp;VLOOKUP(RANDBETWEEN(1,8),Compas,2)&amp;" in the wind."</f>
        <v>15 dusty, tangled, tumbleweeds move north in the wind.</v>
      </c>
      <c r="H87" s="3">
        <v>86</v>
      </c>
      <c r="I87" s="3" t="s">
        <v>644</v>
      </c>
      <c r="J87" s="3" t="s">
        <v>3015</v>
      </c>
      <c r="K87" s="14">
        <v>120</v>
      </c>
      <c r="L87" s="3" t="s">
        <v>2044</v>
      </c>
      <c r="N87" s="3">
        <v>1</v>
      </c>
      <c r="O87" s="3" t="s">
        <v>188</v>
      </c>
      <c r="P87" s="3">
        <v>53</v>
      </c>
      <c r="Q87" s="2" t="s">
        <v>1053</v>
      </c>
      <c r="R87" s="7">
        <v>17</v>
      </c>
      <c r="S87" s="3" t="s">
        <v>1222</v>
      </c>
      <c r="T87" s="3">
        <v>58</v>
      </c>
      <c r="U87" s="13" t="s">
        <v>2195</v>
      </c>
    </row>
    <row r="88" spans="1:21" ht="31.5" x14ac:dyDescent="0.2">
      <c r="A88" s="3">
        <v>1</v>
      </c>
      <c r="B88" s="3" t="str">
        <f ca="1">VLOOKUP(RANDBETWEEN(1,336),NPCS,2)</f>
        <v>20 settlers transporting ore.</v>
      </c>
      <c r="D88" s="3">
        <v>87</v>
      </c>
      <c r="E88" s="3" t="str">
        <f ca="1">"A miner "&amp;VLOOKUP(RANDBETWEEN(1,40),town,2)</f>
        <v>A miner begging.</v>
      </c>
      <c r="F88" s="3">
        <v>87</v>
      </c>
      <c r="G88" s="1" t="str">
        <f ca="1">RANDBETWEEN(10,20)&amp;" settlers "&amp;VLOOKUP(RANDBETWEEN(1,40),wilderness,2)</f>
        <v>13 settlers transporting ore.</v>
      </c>
      <c r="H88" s="3">
        <v>87</v>
      </c>
      <c r="I88" s="3" t="s">
        <v>708</v>
      </c>
      <c r="J88" s="3" t="s">
        <v>3015</v>
      </c>
      <c r="K88" s="14">
        <v>121</v>
      </c>
      <c r="L88" s="7" t="s">
        <v>2045</v>
      </c>
      <c r="N88" s="3">
        <v>2</v>
      </c>
      <c r="O88" s="3" t="s">
        <v>189</v>
      </c>
      <c r="P88" s="3">
        <v>54</v>
      </c>
      <c r="Q88" s="2" t="s">
        <v>1054</v>
      </c>
      <c r="R88" s="7">
        <v>18</v>
      </c>
      <c r="S88" s="3" t="s">
        <v>1223</v>
      </c>
      <c r="T88" s="3">
        <v>59</v>
      </c>
      <c r="U88" s="13" t="s">
        <v>2196</v>
      </c>
    </row>
    <row r="89" spans="1:21" ht="63" x14ac:dyDescent="0.2">
      <c r="A89" s="3">
        <v>2</v>
      </c>
      <c r="B89" s="3" t="str">
        <f ca="1">VLOOKUP(RANDBETWEEN(1,336),NPCS,2)</f>
        <v>A writer fleeing Indians.</v>
      </c>
      <c r="D89" s="3">
        <v>88</v>
      </c>
      <c r="E89" s="3" t="s">
        <v>2735</v>
      </c>
      <c r="F89" s="3">
        <v>88</v>
      </c>
      <c r="G89" s="3" t="str">
        <f ca="1">RANDBETWEEN(1,4)&amp;" Bandit(s) armed with "&amp;VLOOKUP(RANDBETWEEN(1,3),Guns,2)&amp;"in the middle of robbing "&amp;RANDBETWEEN(1,4)&amp;" average folk."</f>
        <v>3 Bandit(s) armed with riflesin the middle of robbing 2 average folk.</v>
      </c>
      <c r="H89" s="3">
        <v>88</v>
      </c>
      <c r="I89" s="3" t="s">
        <v>456</v>
      </c>
      <c r="J89" s="3" t="s">
        <v>3015</v>
      </c>
      <c r="K89" s="14">
        <v>122</v>
      </c>
      <c r="L89" s="7" t="str">
        <f ca="1">"a deed to the "&amp;VLOOKUP(RANDBETWEEN(1,233),NAME,2)&amp;" property"</f>
        <v>a deed to the McGrath property</v>
      </c>
      <c r="N89" s="3">
        <v>3</v>
      </c>
      <c r="O89" s="3" t="s">
        <v>190</v>
      </c>
      <c r="P89" s="3">
        <v>55</v>
      </c>
      <c r="Q89" s="2" t="s">
        <v>1055</v>
      </c>
      <c r="R89" s="7">
        <v>19</v>
      </c>
      <c r="S89" s="7" t="s">
        <v>1224</v>
      </c>
      <c r="T89" s="3">
        <v>60</v>
      </c>
      <c r="U89" s="13" t="s">
        <v>2197</v>
      </c>
    </row>
    <row r="90" spans="1:21" ht="47.25" x14ac:dyDescent="0.2">
      <c r="A90" s="3">
        <v>3</v>
      </c>
      <c r="B90" s="3" t="str">
        <f ca="1">VLOOKUP(RANDBETWEEN(1,336),NPCS,2)</f>
        <v>Some people are setting up an odd looking machines with lights and tubes over some kind of access point {sewer cover, etc.}. They really don't look like maintenance people.</v>
      </c>
      <c r="D90" s="3">
        <v>89</v>
      </c>
      <c r="E90" s="3" t="s">
        <v>486</v>
      </c>
      <c r="F90" s="3">
        <v>89</v>
      </c>
      <c r="G90" s="3" t="str">
        <f ca="1">RANDBETWEEN(1,4)&amp;" Bandit(s) armed with "&amp;VLOOKUP(RANDBETWEEN(1,3),Guns,2)&amp;" attempt to ambush the Posse."</f>
        <v>4 Bandit(s) armed with rifles attempt to ambush the Posse.</v>
      </c>
      <c r="H90" s="3">
        <v>89</v>
      </c>
      <c r="I90" s="3" t="s">
        <v>819</v>
      </c>
      <c r="J90" s="3" t="s">
        <v>3015</v>
      </c>
      <c r="K90" s="14">
        <v>123</v>
      </c>
      <c r="L90" s="3" t="s">
        <v>2046</v>
      </c>
      <c r="N90" s="3">
        <v>4</v>
      </c>
      <c r="O90" s="3" t="s">
        <v>191</v>
      </c>
      <c r="P90" s="3">
        <v>56</v>
      </c>
      <c r="Q90" s="2" t="s">
        <v>1056</v>
      </c>
      <c r="R90" s="7">
        <v>20</v>
      </c>
      <c r="S90" s="3" t="s">
        <v>1225</v>
      </c>
      <c r="T90" s="3">
        <v>61</v>
      </c>
      <c r="U90" s="13" t="s">
        <v>2198</v>
      </c>
    </row>
    <row r="91" spans="1:21" ht="47.25" x14ac:dyDescent="0.2">
      <c r="A91" s="3">
        <v>4</v>
      </c>
      <c r="B91" s="3" t="str">
        <f ca="1">VLOOKUP(RANDBETWEEN(1,336),NPCS,2)</f>
        <v>A plucky sidekick looking for a new "friend".</v>
      </c>
      <c r="D91" s="3">
        <v>90</v>
      </c>
      <c r="E91" s="3" t="s">
        <v>528</v>
      </c>
      <c r="F91" s="3">
        <v>90</v>
      </c>
      <c r="G91" s="3" t="str">
        <f ca="1">RANDBETWEEN(1,5)&amp;" mile(s) to the "&amp;VLOOKUP(RANDBETWEEN(1,4),Compas,2)&amp;" an abandoned shack sits, derelict in the sun."</f>
        <v>1 mile(s) to the east an abandoned shack sits, derelict in the sun.</v>
      </c>
      <c r="H91" s="3">
        <v>90</v>
      </c>
      <c r="I91" s="3" t="s">
        <v>559</v>
      </c>
      <c r="J91" s="3" t="s">
        <v>3015</v>
      </c>
      <c r="K91" s="14">
        <v>124</v>
      </c>
      <c r="L91" s="3" t="s">
        <v>1353</v>
      </c>
      <c r="N91" s="3">
        <v>5</v>
      </c>
      <c r="O91" s="3" t="s">
        <v>192</v>
      </c>
      <c r="P91" s="3">
        <v>57</v>
      </c>
      <c r="Q91" s="2" t="s">
        <v>1057</v>
      </c>
      <c r="R91" s="7">
        <v>21</v>
      </c>
      <c r="S91" s="7" t="s">
        <v>1226</v>
      </c>
      <c r="T91" s="3">
        <v>62</v>
      </c>
      <c r="U91" s="13" t="s">
        <v>2210</v>
      </c>
    </row>
    <row r="92" spans="1:21" ht="47.25" x14ac:dyDescent="0.2">
      <c r="A92" s="3">
        <v>5</v>
      </c>
      <c r="B92" s="3" t="str">
        <f ca="1">VLOOKUP(RANDBETWEEN(1,336),NPCS,2)</f>
        <v>A buffalo hunter seeks his/her father/mother/child who ran away from home.</v>
      </c>
      <c r="D92" s="3">
        <v>91</v>
      </c>
      <c r="E92" s="3" t="s">
        <v>471</v>
      </c>
      <c r="F92" s="3">
        <v>91</v>
      </c>
      <c r="G92" s="3" t="str">
        <f ca="1">RANDBETWEEN(1,4)&amp;" Saddleburr(s) attach themselves to a Posse member or his/her horse."</f>
        <v>1 Saddleburr(s) attach themselves to a Posse member or his/her horse.</v>
      </c>
      <c r="H92" s="3">
        <v>91</v>
      </c>
      <c r="I92" s="3" t="s">
        <v>527</v>
      </c>
      <c r="J92" s="3" t="s">
        <v>3015</v>
      </c>
      <c r="K92" s="14">
        <v>125</v>
      </c>
      <c r="L92" s="3" t="s">
        <v>1355</v>
      </c>
      <c r="N92" s="3">
        <v>6</v>
      </c>
      <c r="O92" s="3" t="s">
        <v>193</v>
      </c>
      <c r="P92" s="3">
        <v>58</v>
      </c>
      <c r="Q92" s="2" t="s">
        <v>1058</v>
      </c>
      <c r="R92" s="7">
        <v>22</v>
      </c>
      <c r="S92" s="3" t="s">
        <v>1227</v>
      </c>
      <c r="T92" s="3">
        <v>63</v>
      </c>
      <c r="U92" s="13" t="s">
        <v>2211</v>
      </c>
    </row>
    <row r="93" spans="1:21" ht="31.5" x14ac:dyDescent="0.2">
      <c r="B93" s="17" t="s">
        <v>2683</v>
      </c>
      <c r="D93" s="3">
        <v>92</v>
      </c>
      <c r="E93" s="3" t="s">
        <v>672</v>
      </c>
      <c r="F93" s="3">
        <v>92</v>
      </c>
      <c r="G93" s="3" t="str">
        <f ca="1">RANDBETWEEN(1,4)&amp;" "&amp;VLOOKUP(RANDBETWEEN(1,2),Civil,2)&amp;" Cavalry Scout(s) looking for the nearest town, and information on it..."</f>
        <v>1 Confederate Cavalry Scout(s) looking for the nearest town, and information on it...</v>
      </c>
      <c r="H93" s="3">
        <v>92</v>
      </c>
      <c r="I93" s="3" t="s">
        <v>542</v>
      </c>
      <c r="J93" s="3" t="s">
        <v>3015</v>
      </c>
      <c r="K93" s="14">
        <v>126</v>
      </c>
      <c r="L93" s="3" t="s">
        <v>2047</v>
      </c>
      <c r="N93" s="3">
        <v>7</v>
      </c>
      <c r="O93" s="3" t="s">
        <v>194</v>
      </c>
      <c r="P93" s="3">
        <v>59</v>
      </c>
      <c r="Q93" s="2" t="s">
        <v>1059</v>
      </c>
      <c r="R93" s="7">
        <v>23</v>
      </c>
      <c r="S93" s="3" t="s">
        <v>1228</v>
      </c>
      <c r="T93" s="3">
        <v>64</v>
      </c>
      <c r="U93" s="13" t="s">
        <v>2212</v>
      </c>
    </row>
    <row r="94" spans="1:21" ht="63" x14ac:dyDescent="0.2">
      <c r="B94" s="3" t="s">
        <v>2907</v>
      </c>
      <c r="D94" s="3">
        <v>93</v>
      </c>
      <c r="E94" s="3" t="s">
        <v>552</v>
      </c>
      <c r="F94" s="3">
        <v>93</v>
      </c>
      <c r="G94" s="3" t="str">
        <f ca="1">RANDBETWEEN(1,4)&amp;"Vampire(s):  "&amp;VLOOKUP(RANDBETWEEN(1,6),Vampire,2)&amp;"rise from the shadows and stealthily approaches the Posse…"</f>
        <v>1Vampire(s):  Cinematic Vampirerise from the shadows and stealthily approaches the Posse…</v>
      </c>
      <c r="H94" s="3">
        <v>93</v>
      </c>
      <c r="I94" s="3" t="s">
        <v>541</v>
      </c>
      <c r="J94" s="3" t="s">
        <v>3015</v>
      </c>
      <c r="K94" s="14">
        <v>127</v>
      </c>
      <c r="L94" s="3" t="s">
        <v>1357</v>
      </c>
      <c r="N94" s="3">
        <v>8</v>
      </c>
      <c r="O94" s="3" t="s">
        <v>195</v>
      </c>
      <c r="P94" s="3">
        <v>60</v>
      </c>
      <c r="Q94" s="2" t="s">
        <v>1060</v>
      </c>
      <c r="R94" s="7">
        <v>24</v>
      </c>
      <c r="S94" s="3" t="s">
        <v>1229</v>
      </c>
      <c r="T94" s="3">
        <v>65</v>
      </c>
      <c r="U94" s="13" t="s">
        <v>2213</v>
      </c>
    </row>
    <row r="95" spans="1:21" ht="47.25" x14ac:dyDescent="0.2">
      <c r="A95" s="3">
        <v>1</v>
      </c>
      <c r="B95" s="3" t="str">
        <f ca="1">VLOOKUP(RANDBETWEEN(1,82),Hunt,2)</f>
        <v>1 hedgehog(s)</v>
      </c>
      <c r="D95" s="3">
        <v>94</v>
      </c>
      <c r="E95" s="3" t="s">
        <v>673</v>
      </c>
      <c r="F95" s="3">
        <v>94</v>
      </c>
      <c r="G95" s="1" t="str">
        <f ca="1">RANDBETWEEN(10,30)&amp;" vigilantes "&amp;VLOOKUP(RANDBETWEEN(1,40),wilderness,2)</f>
        <v>17 vigilantes raiding a ranch.</v>
      </c>
      <c r="H95" s="3">
        <v>94</v>
      </c>
      <c r="I95" s="3" t="s">
        <v>457</v>
      </c>
      <c r="J95" s="3" t="s">
        <v>3015</v>
      </c>
      <c r="K95" s="14">
        <v>128</v>
      </c>
      <c r="L95" s="3" t="str">
        <f ca="1">"a legal document entitling the bearer to $"&amp;RANDBETWEEN(50,2000)&amp;".00 to be collected from The "&amp;VLOOKUP(RANDBETWEEN(1,83),NAME,2)&amp;", "&amp;VLOOKUP(RANDBETWEEN(84,233),NAME,2)&amp;", "&amp;VLOOKUP(RANDBETWEEN(1,233),NAME,2)&amp;" &amp; "&amp;VLOOKUP(RANDBETWEEN(1,233),NAME,2)&amp;" Fidelity Fiduciary Bank."</f>
        <v>a legal document entitling the bearer to $446.00 to be collected from The McManus, Logsdon, McHugh &amp; Ladner Fidelity Fiduciary Bank.</v>
      </c>
      <c r="N95" s="3">
        <v>9</v>
      </c>
      <c r="O95" s="3" t="s">
        <v>196</v>
      </c>
      <c r="P95" s="3">
        <v>61</v>
      </c>
      <c r="Q95" s="2" t="s">
        <v>1061</v>
      </c>
      <c r="R95" s="7">
        <v>25</v>
      </c>
      <c r="S95" s="3" t="s">
        <v>1230</v>
      </c>
      <c r="T95" s="3">
        <v>66</v>
      </c>
      <c r="U95" s="13" t="s">
        <v>2214</v>
      </c>
    </row>
    <row r="96" spans="1:21" ht="63" x14ac:dyDescent="0.2">
      <c r="A96" s="3">
        <v>2</v>
      </c>
      <c r="B96" s="3" t="str">
        <f ca="1">VLOOKUP(RANDBETWEEN(1,82),Hunt,2)</f>
        <v>1 porcupine</v>
      </c>
      <c r="D96" s="3">
        <v>95</v>
      </c>
      <c r="E96" s="3" t="s">
        <v>567</v>
      </c>
      <c r="F96" s="3">
        <v>95</v>
      </c>
      <c r="G96" s="3" t="str">
        <f ca="1">RANDBETWEEN(5,50)&amp;" scattered and broken arrows or bolts."</f>
        <v>40 scattered and broken arrows or bolts.</v>
      </c>
      <c r="H96" s="3">
        <v>95</v>
      </c>
      <c r="I96" s="3" t="str">
        <f ca="1">"Rich Tinhorn Traveler {worth $"&amp;RANDBETWEEN(2000,10000)&amp;".00} who is looking for fellows to travel with."</f>
        <v>Rich Tinhorn Traveler {worth $8983.00} who is looking for fellows to travel with.</v>
      </c>
      <c r="J96" s="3" t="s">
        <v>3015</v>
      </c>
      <c r="K96" s="14">
        <v>129</v>
      </c>
      <c r="L96" s="3" t="str">
        <f ca="1">"a(n) "&amp;VLOOKUP(RANDBETWEEN(1,10),FOBBS,2)&amp;" with the symbol of (the) "&amp;VLOOKUP(RANDBETWEEN(1,112),SECRET,2)&amp;"."</f>
        <v>a(n) slip of paper with the symbol of (the) Inner Circle.</v>
      </c>
      <c r="N96" s="3">
        <v>10</v>
      </c>
      <c r="O96" s="3" t="str">
        <f ca="1">"flesh eating anphibians that live for "&amp;RANDBETWEEN(1,5)&amp;" minute(s) as they try to devour any living thing they come in contact with"</f>
        <v>flesh eating anphibians that live for 5 minute(s) as they try to devour any living thing they come in contact with</v>
      </c>
      <c r="P96" s="3">
        <v>62</v>
      </c>
      <c r="Q96" s="2" t="s">
        <v>1062</v>
      </c>
      <c r="R96" s="7">
        <v>26</v>
      </c>
      <c r="S96" s="3" t="s">
        <v>1932</v>
      </c>
      <c r="T96" s="3">
        <v>67</v>
      </c>
      <c r="U96" s="13" t="s">
        <v>2215</v>
      </c>
    </row>
    <row r="97" spans="1:21" ht="31.5" x14ac:dyDescent="0.2">
      <c r="A97" s="3">
        <v>3</v>
      </c>
      <c r="B97" s="3" t="str">
        <f ca="1">VLOOKUP(RANDBETWEEN(1,82),Hunt,2)</f>
        <v>2 black bears</v>
      </c>
      <c r="D97" s="3">
        <v>96</v>
      </c>
      <c r="E97" s="3" t="s">
        <v>674</v>
      </c>
      <c r="F97" s="3">
        <v>96</v>
      </c>
      <c r="G97" s="3" t="str">
        <f ca="1">RANDBETWEEN(2,5)&amp;" Buffalo Hunters hunting local animals."</f>
        <v>3 Buffalo Hunters hunting local animals.</v>
      </c>
      <c r="H97" s="3">
        <v>96</v>
      </c>
      <c r="I97" s="3" t="s">
        <v>640</v>
      </c>
      <c r="J97" s="3" t="s">
        <v>3015</v>
      </c>
      <c r="K97" s="14">
        <v>130</v>
      </c>
      <c r="L97" s="7" t="s">
        <v>2048</v>
      </c>
      <c r="P97" s="3">
        <v>63</v>
      </c>
      <c r="Q97" s="2" t="s">
        <v>1063</v>
      </c>
      <c r="R97" s="7">
        <v>27</v>
      </c>
      <c r="T97" s="3">
        <v>68</v>
      </c>
      <c r="U97" s="13" t="s">
        <v>2216</v>
      </c>
    </row>
    <row r="98" spans="1:21" ht="78.75" x14ac:dyDescent="0.2">
      <c r="A98" s="3">
        <v>4</v>
      </c>
      <c r="B98" s="3" t="str">
        <f ca="1">VLOOKUP(RANDBETWEEN(1,82),Hunt,2)</f>
        <v>8 squirrel(s)</v>
      </c>
      <c r="D98" s="3">
        <v>97</v>
      </c>
      <c r="E98" s="3" t="s">
        <v>638</v>
      </c>
      <c r="F98" s="3">
        <v>97</v>
      </c>
      <c r="G98" s="3" t="str">
        <f ca="1">RANDBETWEEN(1,6)&amp;" Highwaymen with "&amp;VLOOKUP(RANDBETWEEN(2,3),Guns,2)&amp;"and a pistol backup robbing "&amp;RANDBETWEEN(1,4)&amp;"average folk."</f>
        <v>1 Highwaymen with shotgunsand a pistol backup robbing 2average folk.</v>
      </c>
      <c r="H98" s="3">
        <v>97</v>
      </c>
      <c r="I98" s="3" t="s">
        <v>435</v>
      </c>
      <c r="J98" s="3" t="s">
        <v>3015</v>
      </c>
      <c r="K98" s="14">
        <v>131</v>
      </c>
      <c r="L98" s="3" t="s">
        <v>2049</v>
      </c>
      <c r="O98" s="22" t="s">
        <v>920</v>
      </c>
      <c r="P98" s="3">
        <v>64</v>
      </c>
      <c r="Q98" s="2" t="s">
        <v>1064</v>
      </c>
      <c r="R98" s="7">
        <v>28</v>
      </c>
      <c r="T98" s="3">
        <v>69</v>
      </c>
      <c r="U98" s="13" t="s">
        <v>2217</v>
      </c>
    </row>
    <row r="99" spans="1:21" ht="31.5" x14ac:dyDescent="0.2">
      <c r="A99" s="3">
        <v>5</v>
      </c>
      <c r="B99" s="3" t="str">
        <f ca="1">VLOOKUP(RANDBETWEEN(1,1384),creature,2)</f>
        <v>4 weasel(s)</v>
      </c>
      <c r="D99" s="3">
        <v>98</v>
      </c>
      <c r="E99" s="3" t="s">
        <v>531</v>
      </c>
      <c r="F99" s="3">
        <v>98</v>
      </c>
      <c r="G99" s="3" t="str">
        <f ca="1">RANDBETWEEN(1,6)&amp;" Highwaymen with "&amp;VLOOKUP(RANDBETWEEN(1,2),Guns,2)&amp;" in an ambush."</f>
        <v>2 Highwaymen with pistols in an ambush.</v>
      </c>
      <c r="H99" s="3">
        <v>98</v>
      </c>
      <c r="I99" s="3" t="s">
        <v>841</v>
      </c>
      <c r="J99" s="3" t="s">
        <v>3015</v>
      </c>
      <c r="K99" s="14">
        <v>132</v>
      </c>
      <c r="L99" s="3" t="s">
        <v>2050</v>
      </c>
      <c r="N99" s="3">
        <v>1</v>
      </c>
      <c r="O99" s="3" t="s">
        <v>277</v>
      </c>
      <c r="P99" s="3">
        <v>65</v>
      </c>
      <c r="Q99" s="2" t="s">
        <v>1065</v>
      </c>
      <c r="R99" s="7">
        <v>29</v>
      </c>
      <c r="T99" s="3">
        <v>70</v>
      </c>
      <c r="U99" s="13" t="s">
        <v>2218</v>
      </c>
    </row>
    <row r="100" spans="1:21" ht="47.25" x14ac:dyDescent="0.2">
      <c r="B100" s="17" t="s">
        <v>1868</v>
      </c>
      <c r="D100" s="3">
        <v>99</v>
      </c>
      <c r="E100" s="3" t="s">
        <v>675</v>
      </c>
      <c r="F100" s="3">
        <v>99</v>
      </c>
      <c r="G100" s="3" t="str">
        <f ca="1">RANDBETWEEN(2,8)&amp;" Local, and subtly hostile, Indians traveling on horse..."</f>
        <v>2 Local, and subtly hostile, Indians traveling on horse...</v>
      </c>
      <c r="H100" s="3">
        <v>99</v>
      </c>
      <c r="I100" s="3" t="s">
        <v>2997</v>
      </c>
      <c r="J100" s="3" t="s">
        <v>3015</v>
      </c>
      <c r="K100" s="14">
        <v>133</v>
      </c>
      <c r="L100" s="3" t="str">
        <f ca="1">"a crumpled poster reading: 'WANTED! Dead or Alive: "&amp;VLOOKUP(RANDBETWEEN(179,233),NAME,2)&amp;" "&amp;VLOOKUP(RANDBETWEEN(1,178),NAME,2)&amp;" $"&amp;(RANDBETWEEN(1,20)*100)&amp;".00 REWARD!'"</f>
        <v>a crumpled poster reading: 'WANTED! Dead or Alive: Gunther McAdams $1500.00 REWARD!'</v>
      </c>
      <c r="N100" s="3">
        <v>2</v>
      </c>
      <c r="O100" s="3" t="s">
        <v>278</v>
      </c>
      <c r="P100" s="3">
        <v>66</v>
      </c>
      <c r="Q100" s="2" t="s">
        <v>1066</v>
      </c>
      <c r="R100" s="7">
        <v>30</v>
      </c>
      <c r="T100" s="3">
        <v>71</v>
      </c>
      <c r="U100" s="13" t="s">
        <v>2219</v>
      </c>
    </row>
    <row r="101" spans="1:21" ht="94.5" x14ac:dyDescent="0.2">
      <c r="B101" s="3" t="s">
        <v>2905</v>
      </c>
      <c r="D101" s="3">
        <v>100</v>
      </c>
      <c r="E101" s="3" t="s">
        <v>496</v>
      </c>
      <c r="F101" s="3">
        <v>100</v>
      </c>
      <c r="G101" s="3" t="str">
        <f ca="1">RANDBETWEEN(2,4)&amp;" men {bank robbers who have just robbed bank from closest town} carring $"&amp;RANDBETWEEN(200,1000)&amp;".00 in assorted bills and coins."</f>
        <v>4 men {bank robbers who have just robbed bank from closest town} carring $255.00 in assorted bills and coins.</v>
      </c>
      <c r="H101" s="3">
        <v>100</v>
      </c>
      <c r="I101" s="3" t="s">
        <v>842</v>
      </c>
      <c r="J101" s="3" t="s">
        <v>3015</v>
      </c>
      <c r="K101" s="14">
        <v>134</v>
      </c>
      <c r="L101" s="3" t="str">
        <f ca="1">"a crumpled poster reading: 'WANTED! Alive: "&amp;VLOOKUP(RANDBETWEEN(179,233),NAME,2)&amp;" "&amp;VLOOKUP(RANDBETWEEN(1,178),NAME,2)&amp;" $"&amp;(RANDBETWEEN(5,10)*10)&amp;".00 REWARD!'"</f>
        <v>a crumpled poster reading: 'WANTED! Alive: Mark McQueen $80.00 REWARD!'</v>
      </c>
      <c r="N101" s="3">
        <v>3</v>
      </c>
      <c r="O101" s="3" t="s">
        <v>279</v>
      </c>
      <c r="P101" s="3">
        <v>67</v>
      </c>
      <c r="Q101" s="2" t="s">
        <v>1067</v>
      </c>
      <c r="R101" s="7">
        <v>31</v>
      </c>
      <c r="T101" s="3">
        <v>72</v>
      </c>
      <c r="U101" s="13" t="s">
        <v>2220</v>
      </c>
    </row>
    <row r="102" spans="1:21" ht="31.5" x14ac:dyDescent="0.2">
      <c r="A102" s="3">
        <v>1</v>
      </c>
      <c r="B102" s="3" t="str">
        <f ca="1">VLOOKUP(RANDBETWEEN(1,50),POCKET,2)</f>
        <v>$2.60</v>
      </c>
      <c r="D102" s="3">
        <v>101</v>
      </c>
      <c r="E102" s="3" t="s">
        <v>491</v>
      </c>
      <c r="F102" s="3">
        <v>101</v>
      </c>
      <c r="G102" s="3" t="str">
        <f ca="1">RANDBETWEEN(2,8)&amp;" of Helstromme’s X-Squadders escorting a automaton to locals outwest."</f>
        <v>2 of Helstromme’s X-Squadders escorting a automaton to locals outwest.</v>
      </c>
      <c r="H102" s="3">
        <v>101</v>
      </c>
      <c r="I102" s="3" t="s">
        <v>728</v>
      </c>
      <c r="J102" s="3" t="s">
        <v>3015</v>
      </c>
      <c r="K102" s="14">
        <v>135</v>
      </c>
      <c r="L102" s="3" t="str">
        <f ca="1">"a crumpled poster reading: 'WANTED! "&amp;VLOOKUP(RANDBETWEEN(179,233),NAME,2)&amp;" "&amp;VLOOKUP(RANDBETWEEN(1,178),NAME,2)&amp;", REWARD: $"&amp;(RANDBETWEEN(5,10)*10)&amp;".00 Dead or "&amp;(RANDBETWEEN(2,5)*100)&amp;".00 Alive!'"</f>
        <v>a crumpled poster reading: 'WANTED! Titus Yoder, REWARD: $60.00 Dead or 500.00 Alive!'</v>
      </c>
      <c r="P102" s="3">
        <v>68</v>
      </c>
      <c r="Q102" s="2" t="s">
        <v>1068</v>
      </c>
      <c r="R102" s="7">
        <v>32</v>
      </c>
      <c r="T102" s="3">
        <v>73</v>
      </c>
      <c r="U102" s="13" t="s">
        <v>2221</v>
      </c>
    </row>
    <row r="103" spans="1:21" ht="31.5" x14ac:dyDescent="0.2">
      <c r="A103" s="3">
        <v>2</v>
      </c>
      <c r="B103" s="3" t="str">
        <f ca="1">VLOOKUP(RANDBETWEEN(51,228),POCKET,2)</f>
        <v>a wooden spoon</v>
      </c>
      <c r="D103" s="3">
        <v>102</v>
      </c>
      <c r="E103" s="3" t="s">
        <v>511</v>
      </c>
      <c r="F103" s="3">
        <v>102</v>
      </c>
      <c r="G103" s="3" t="str">
        <f ca="1">RANDBETWEEN(1,4)&amp;" sun bleached skeletons half buried just off the path."</f>
        <v>2 sun bleached skeletons half buried just off the path.</v>
      </c>
      <c r="H103" s="3">
        <v>102</v>
      </c>
      <c r="I103" s="3" t="s">
        <v>730</v>
      </c>
      <c r="J103" s="3" t="s">
        <v>3015</v>
      </c>
      <c r="K103" s="14">
        <v>136</v>
      </c>
      <c r="L103" s="3" t="str">
        <f ca="1">"a(n) "&amp;VLOOKUP(RANDBETWEEN(1,10),FOBBS,2)&amp;" with a strange rune on it"</f>
        <v>a(n) gizmo with a strange rune on it</v>
      </c>
      <c r="O103" s="22" t="s">
        <v>921</v>
      </c>
      <c r="P103" s="3">
        <v>69</v>
      </c>
      <c r="Q103" s="2" t="s">
        <v>1069</v>
      </c>
      <c r="R103" s="7">
        <v>33</v>
      </c>
      <c r="T103" s="3">
        <v>74</v>
      </c>
      <c r="U103" s="13" t="s">
        <v>2222</v>
      </c>
    </row>
    <row r="104" spans="1:21" ht="70.5" customHeight="1" x14ac:dyDescent="0.2">
      <c r="A104" s="3">
        <v>3</v>
      </c>
      <c r="B104" s="3" t="str">
        <f ca="1">VLOOKUP(RANDBETWEEN(51,228),POCKET,2)</f>
        <v>NPC development</v>
      </c>
      <c r="D104" s="3">
        <v>103</v>
      </c>
      <c r="E104" s="3" t="s">
        <v>2736</v>
      </c>
      <c r="F104" s="3">
        <v>103</v>
      </c>
      <c r="G104" s="3" t="str">
        <f ca="1">RANDBETWEEN(1,4)&amp;" Walkin’ Dead just aimlessly meandering off the path..."</f>
        <v>3 Walkin’ Dead just aimlessly meandering off the path...</v>
      </c>
      <c r="H104" s="3">
        <v>103</v>
      </c>
      <c r="I104" s="3" t="s">
        <v>931</v>
      </c>
      <c r="J104" s="3" t="s">
        <v>3015</v>
      </c>
      <c r="K104" s="14">
        <v>137</v>
      </c>
      <c r="L104" s="3" t="str">
        <f ca="1">"a crumpled list: "&amp;VLOOKUP(RANDBETWEEN(1,82),Hunt,2)&amp;", "&amp;VLOOKUP(RANDBETWEEN(1,20),critter,2)&amp;", ham &amp; cheese sandwich, "&amp;VLOOKUP(RANDBETWEEN(1,9),fish,2)&amp;", "&amp;VLOOKUP(RANDBETWEEN(1,20),varmints,2)&amp;", "&amp;VLOOKUP(RANDBETWEEN(1,20),critter,2)&amp;", "&amp;VLOOKUP(RANDBETWEEN(1,9),fish,2)&amp;", "&amp;VLOOKUP(RANDBETWEEN(1,82),Hunt,2)&amp;", "&amp;VLOOKUP(RANDBETWEEN(1,20),varmints,2)&amp;", "&amp;VLOOKUP(RANDBETWEEN(1,20),varmints,2)&amp;", "&amp;VLOOKUP(RANDBETWEEN(1,20),critter,2)&amp;", "&amp;VLOOKUP(RANDBETWEEN(1,9),fish,2)&amp;", "&amp;VLOOKUP(RANDBETWEEN(1,82),Hunt,2)&amp;", "&amp;VLOOKUP(RANDBETWEEN(1,20),critter,2)&amp;", "&amp;VLOOKUP(RANDBETWEEN(1,20),critter,2)&amp;", "&amp;VLOOKUP(RANDBETWEEN(1,9),fish,2)&amp;", "&amp;VLOOKUP(RANDBETWEEN(1,82),Hunt,2)&amp;", "&amp;VLOOKUP(RANDBETWEEN(1,20),varmints,2)&amp;", "&amp;VLOOKUP(RANDBETWEEN(1,20),varmints,2)&amp;", "&amp;VLOOKUP(RANDBETWEEN(1,20),critter,2)&amp;", "&amp;VLOOKUP(RANDBETWEEN(1,9),fish,2)&amp;", "&amp;VLOOKUP(RANDBETWEEN(1,82),Hunt,2)&amp;", "&amp;VLOOKUP(RANDBETWEEN(1,20),critter,2)&amp;", "&amp;VLOOKUP(RANDBETWEEN(1,9),fish,2)&amp;", "&amp;VLOOKUP(RANDBETWEEN(1,20),varmints,2)&amp;"."</f>
        <v>a crumpled list: a cougar, mouse, ham &amp; cheese sandwich, fish, cougar, mouse, fish, a lynx, fox, goat, prairie dog, jellyfish, a snipe, muskrat, muskrat, sea anemones, 10 quail, human, bear, muskrat, squid, 13 gulls, polecat, salamanders, human.</v>
      </c>
      <c r="N104" s="3">
        <v>1</v>
      </c>
      <c r="O104" s="3" t="s">
        <v>88</v>
      </c>
      <c r="P104" s="3">
        <v>70</v>
      </c>
      <c r="Q104" s="2" t="s">
        <v>1070</v>
      </c>
      <c r="R104" s="7">
        <v>34</v>
      </c>
      <c r="T104" s="3">
        <v>75</v>
      </c>
      <c r="U104" s="13" t="s">
        <v>2223</v>
      </c>
    </row>
    <row r="105" spans="1:21" ht="31.5" x14ac:dyDescent="0.2">
      <c r="A105" s="3">
        <v>4</v>
      </c>
      <c r="B105" s="3" t="str">
        <f ca="1">VLOOKUP(RANDBETWEEN(51,228),POCKET,2)</f>
        <v>a scrap of paper with 'QRF' written in faded ink</v>
      </c>
      <c r="D105" s="3">
        <v>104</v>
      </c>
      <c r="E105" s="3" t="s">
        <v>439</v>
      </c>
      <c r="F105" s="3">
        <v>104</v>
      </c>
      <c r="G105" s="3" t="str">
        <f ca="1">RANDBETWEEN(1,4)&amp;" "&amp;VLOOKUP(RANDBETWEEN(1,2),Civil,2)&amp;" deserter(s) hidin' in the brush..."</f>
        <v>1 Confederate deserter(s) hidin' in the brush...</v>
      </c>
      <c r="H105" s="3">
        <v>104</v>
      </c>
      <c r="I105" s="1" t="s">
        <v>263</v>
      </c>
      <c r="J105" s="1" t="s">
        <v>3015</v>
      </c>
      <c r="K105" s="14">
        <v>138</v>
      </c>
      <c r="L105" s="3" t="s">
        <v>2027</v>
      </c>
      <c r="N105" s="3">
        <v>2</v>
      </c>
      <c r="O105" s="3" t="s">
        <v>89</v>
      </c>
      <c r="P105" s="3">
        <v>71</v>
      </c>
      <c r="Q105" s="2" t="s">
        <v>1071</v>
      </c>
      <c r="R105" s="7">
        <v>35</v>
      </c>
      <c r="T105" s="3">
        <v>76</v>
      </c>
      <c r="U105" s="13" t="s">
        <v>2224</v>
      </c>
    </row>
    <row r="106" spans="1:21" ht="47.25" x14ac:dyDescent="0.2">
      <c r="A106" s="3">
        <v>5</v>
      </c>
      <c r="B106" s="3" t="str">
        <f ca="1">"You find: "&amp;VLOOKUP(RANDBETWEEN(1,50),POCKET,2)&amp;"; "&amp;VLOOKUP(RANDBETWEEN(51,228),POCKET,2)&amp;"; "&amp;VLOOKUP(RANDBETWEEN(51,228),POCKET,2)&amp;"; "&amp;VLOOKUP(RANDBETWEEN(51,228),POCKET,2)&amp;" and "&amp;VLOOKUP(RANDBETWEEN(51,228),POCKET,2)&amp;"."</f>
        <v>You find: $1.36; a gold pocket watch; a lucky rabbit's foot; a sewing needle and thread and a spoon.</v>
      </c>
      <c r="D106" s="3">
        <v>105</v>
      </c>
      <c r="E106" s="3" t="s">
        <v>513</v>
      </c>
      <c r="F106" s="3">
        <v>105</v>
      </c>
      <c r="G106" s="3" t="str">
        <f ca="1">RANDBETWEEN(1,6)&amp;" Dusty Cowpoke(s) riding off into the sunset."</f>
        <v>5 Dusty Cowpoke(s) riding off into the sunset.</v>
      </c>
      <c r="H106" s="3">
        <v>105</v>
      </c>
      <c r="I106" s="3" t="s">
        <v>643</v>
      </c>
      <c r="J106" s="3" t="s">
        <v>3015</v>
      </c>
      <c r="K106" s="14">
        <v>139</v>
      </c>
      <c r="L106" s="3" t="s">
        <v>2028</v>
      </c>
      <c r="N106" s="3">
        <v>3</v>
      </c>
      <c r="O106" s="3" t="s">
        <v>58</v>
      </c>
      <c r="P106" s="3">
        <v>72</v>
      </c>
      <c r="Q106" s="2" t="s">
        <v>1072</v>
      </c>
      <c r="R106" s="7">
        <v>36</v>
      </c>
      <c r="T106" s="3">
        <v>77</v>
      </c>
      <c r="U106" s="13" t="s">
        <v>2225</v>
      </c>
    </row>
    <row r="107" spans="1:21" ht="63" x14ac:dyDescent="0.2">
      <c r="B107" s="17" t="s">
        <v>2147</v>
      </c>
      <c r="D107" s="3">
        <v>106</v>
      </c>
      <c r="E107" s="3" t="s">
        <v>676</v>
      </c>
      <c r="F107" s="3">
        <v>106</v>
      </c>
      <c r="G107" s="3" t="str">
        <f ca="1">RANDBETWEEN(3,6)&amp;" dusty, tangled, tumbleweeds move "&amp;VLOOKUP(RANDBETWEEN(1,8),Compas,2)&amp;" in the wind, or are they moving against the wind??? {Tumblebleeds}"</f>
        <v>6 dusty, tangled, tumbleweeds move north east in the wind, or are they moving against the wind??? {Tumblebleeds}</v>
      </c>
      <c r="H107" s="3">
        <v>106</v>
      </c>
      <c r="I107" s="3" t="s">
        <v>3017</v>
      </c>
      <c r="J107" s="3" t="s">
        <v>3015</v>
      </c>
      <c r="K107" s="14">
        <v>140</v>
      </c>
      <c r="L107" s="3" t="s">
        <v>2029</v>
      </c>
      <c r="N107" s="3">
        <v>4</v>
      </c>
      <c r="O107" s="3" t="s">
        <v>98</v>
      </c>
      <c r="P107" s="3">
        <v>73</v>
      </c>
      <c r="Q107" s="2" t="s">
        <v>1073</v>
      </c>
      <c r="R107" s="7">
        <v>37</v>
      </c>
      <c r="T107" s="3">
        <v>78</v>
      </c>
      <c r="U107" s="13" t="s">
        <v>2226</v>
      </c>
    </row>
    <row r="108" spans="1:21" ht="31.5" x14ac:dyDescent="0.2">
      <c r="B108" s="3" t="s">
        <v>2906</v>
      </c>
      <c r="D108" s="3">
        <v>107</v>
      </c>
      <c r="E108" s="3" t="s">
        <v>397</v>
      </c>
      <c r="F108" s="3">
        <v>107</v>
      </c>
      <c r="G108" s="3" t="str">
        <f ca="1">RANDBETWEEN(2,8)&amp;" Gang Members with "&amp;VLOOKUP(RANDBETWEEN(2,3),Guns,2)&amp;"and a pistol backup with 1 Gang Leader."</f>
        <v>7 Gang Members with shotgunsand a pistol backup with 1 Gang Leader.</v>
      </c>
      <c r="H108" s="3">
        <v>107</v>
      </c>
      <c r="I108" s="3" t="s">
        <v>483</v>
      </c>
      <c r="J108" s="3" t="s">
        <v>3015</v>
      </c>
      <c r="K108" s="14">
        <v>141</v>
      </c>
      <c r="L108" s="3" t="s">
        <v>2030</v>
      </c>
      <c r="N108" s="3">
        <v>5</v>
      </c>
      <c r="O108" s="3" t="s">
        <v>100</v>
      </c>
      <c r="P108" s="3">
        <v>74</v>
      </c>
      <c r="Q108" s="2" t="s">
        <v>1074</v>
      </c>
      <c r="R108" s="7">
        <v>38</v>
      </c>
      <c r="T108" s="3">
        <v>79</v>
      </c>
      <c r="U108" s="13" t="s">
        <v>2227</v>
      </c>
    </row>
    <row r="109" spans="1:21" ht="31.5" x14ac:dyDescent="0.2">
      <c r="A109" s="3">
        <v>1</v>
      </c>
      <c r="B109" s="3" t="str">
        <f ca="1">VLOOKUP(RANDBETWEEN(1,50),POCKET,2)</f>
        <v>$3.80</v>
      </c>
      <c r="D109" s="3">
        <v>108</v>
      </c>
      <c r="E109" s="1" t="str">
        <f ca="1">"A poster proclaiming 'Poker Tournament: $"&amp;RANDBETWEEN(10,50)&amp;".00 buy in.  Every Wednesday Night at the T-Bar Saloon!' "</f>
        <v xml:space="preserve">A poster proclaiming 'Poker Tournament: $45.00 buy in.  Every Wednesday Night at the T-Bar Saloon!' </v>
      </c>
      <c r="F109" s="3">
        <v>108</v>
      </c>
      <c r="G109" s="3" t="str">
        <f ca="1">RANDBETWEEN(1,4)&amp;" Men {Horse Thieve(s)} leading "&amp;RANDBETWEEN(2,5)&amp;" horses with assorted brands on their flanks."</f>
        <v>1 Men {Horse Thieve(s)} leading 2 horses with assorted brands on their flanks.</v>
      </c>
      <c r="H109" s="3">
        <v>108</v>
      </c>
      <c r="I109" s="3" t="s">
        <v>485</v>
      </c>
      <c r="J109" s="3" t="s">
        <v>3015</v>
      </c>
      <c r="K109" s="14">
        <v>142</v>
      </c>
      <c r="L109" s="3" t="s">
        <v>2031</v>
      </c>
      <c r="N109" s="3">
        <v>6</v>
      </c>
      <c r="O109" s="3" t="str">
        <f ca="1">RANDBETWEEN(2,10)&amp;" bandits"</f>
        <v>4 bandits</v>
      </c>
      <c r="P109" s="3">
        <v>75</v>
      </c>
      <c r="Q109" s="2" t="s">
        <v>1075</v>
      </c>
      <c r="R109" s="7">
        <v>39</v>
      </c>
      <c r="T109" s="3">
        <v>80</v>
      </c>
      <c r="U109" s="13" t="s">
        <v>2228</v>
      </c>
    </row>
    <row r="110" spans="1:21" ht="32.25" customHeight="1" x14ac:dyDescent="0.2">
      <c r="A110" s="3">
        <v>2</v>
      </c>
      <c r="B110" s="3" t="str">
        <f ca="1">VLOOKUP(RANDBETWEEN(51,338),POCKET,2)</f>
        <v>a list of phrases translated from Nonsense to English</v>
      </c>
      <c r="D110" s="3">
        <v>109</v>
      </c>
      <c r="E110" s="3" t="str">
        <f ca="1">"A preacher "&amp;VLOOKUP(RANDBETWEEN(1,40),town,2)</f>
        <v>A preacher chasing someone.</v>
      </c>
      <c r="F110" s="3">
        <v>109</v>
      </c>
      <c r="G110" s="2" t="str">
        <f ca="1">RANDBETWEEN(1,4)&amp;" mile(s) to the "&amp;VLOOKUP(RANDBETWEEN(1,4),Compas,2)&amp;"the Posse spots a wagon train formed into a circle and being defended against Indians surrounding it."</f>
        <v>2 mile(s) to the souththe Posse spots a wagon train formed into a circle and being defended against Indians surrounding it.</v>
      </c>
      <c r="H110" s="3">
        <v>109</v>
      </c>
      <c r="I110" s="3" t="s">
        <v>506</v>
      </c>
      <c r="J110" s="3" t="s">
        <v>3015</v>
      </c>
      <c r="K110" s="14">
        <v>143</v>
      </c>
      <c r="L110" s="3" t="s">
        <v>2032</v>
      </c>
      <c r="N110" s="3">
        <v>7</v>
      </c>
      <c r="O110" s="3" t="s">
        <v>99</v>
      </c>
      <c r="P110" s="3">
        <v>76</v>
      </c>
      <c r="Q110" s="2" t="s">
        <v>1076</v>
      </c>
      <c r="R110" s="7">
        <v>40</v>
      </c>
      <c r="T110" s="3">
        <v>81</v>
      </c>
      <c r="U110" s="13" t="s">
        <v>2229</v>
      </c>
    </row>
    <row r="111" spans="1:21" ht="31.5" x14ac:dyDescent="0.2">
      <c r="A111" s="3">
        <v>3</v>
      </c>
      <c r="B111" s="3" t="str">
        <f ca="1">VLOOKUP(RANDBETWEEN(51,338),POCKET,2)</f>
        <v>a Bandoleer with 8 rounds of 0.57 ammo</v>
      </c>
      <c r="D111" s="3">
        <v>110</v>
      </c>
      <c r="E111" s="3" t="s">
        <v>508</v>
      </c>
      <c r="F111" s="3">
        <v>110</v>
      </c>
      <c r="G111" s="3" t="str">
        <f ca="1">RANDBETWEEN(1,4)&amp;" Miner(s) leading "&amp;RANDBETWEEN(1,3)&amp;" donkey(s) laden with a myriad of tools and packs passes, laughing joyfully, heading "&amp;VLOOKUP(RANDBETWEEN(1,4),Compas,2)&amp;"."</f>
        <v>3 Miner(s) leading 2 donkey(s) laden with a myriad of tools and packs passes, laughing joyfully, heading south.</v>
      </c>
      <c r="H111" s="3">
        <v>110</v>
      </c>
      <c r="I111" s="3" t="s">
        <v>2688</v>
      </c>
      <c r="J111" s="3" t="s">
        <v>3015</v>
      </c>
      <c r="K111" s="14">
        <v>144</v>
      </c>
      <c r="L111" s="3" t="s">
        <v>1951</v>
      </c>
      <c r="N111" s="3">
        <v>8</v>
      </c>
      <c r="O111" s="3" t="str">
        <f ca="1">VLOOKUP(RANDBETWEEN(1,2),Civil,2)&amp;" sodiers"</f>
        <v>Union sodiers</v>
      </c>
      <c r="P111" s="3">
        <v>77</v>
      </c>
      <c r="Q111" s="2" t="s">
        <v>1077</v>
      </c>
      <c r="R111" s="7">
        <v>41</v>
      </c>
      <c r="T111" s="3">
        <v>82</v>
      </c>
      <c r="U111" s="13" t="s">
        <v>2230</v>
      </c>
    </row>
    <row r="112" spans="1:21" ht="47.25" x14ac:dyDescent="0.2">
      <c r="A112" s="3">
        <v>4</v>
      </c>
      <c r="B112" s="3" t="str">
        <f ca="1">VLOOKUP(RANDBETWEEN(51,338),POCKET,2)</f>
        <v>a carpetbag containing: a lone holey sock, 4 pair(s) of holey socks, 4 pair(s) of holey socks, a lone holey sock and 5 fancy dress(es)</v>
      </c>
      <c r="D112" s="3">
        <v>111</v>
      </c>
      <c r="E112" s="3" t="s">
        <v>152</v>
      </c>
      <c r="F112" s="3">
        <v>111</v>
      </c>
      <c r="G112" s="3" t="str">
        <f ca="1">RANDBETWEEN(1,4)&amp;" robbery victim(s) tied up and lying on the side of the road."</f>
        <v>2 robbery victim(s) tied up and lying on the side of the road.</v>
      </c>
      <c r="H112" s="3">
        <v>111</v>
      </c>
      <c r="I112" s="3" t="s">
        <v>514</v>
      </c>
      <c r="J112" s="3" t="s">
        <v>3015</v>
      </c>
      <c r="K112" s="14">
        <v>145</v>
      </c>
      <c r="L112" s="3" t="s">
        <v>1952</v>
      </c>
      <c r="N112" s="3">
        <v>9</v>
      </c>
      <c r="O112" s="3" t="str">
        <f ca="1">RANDBETWEEN(2,10)&amp;" vigilantes"</f>
        <v>6 vigilantes</v>
      </c>
      <c r="P112" s="3">
        <v>78</v>
      </c>
      <c r="Q112" s="2" t="s">
        <v>1078</v>
      </c>
      <c r="R112" s="7">
        <v>42</v>
      </c>
      <c r="T112" s="3">
        <v>83</v>
      </c>
      <c r="U112" s="13" t="s">
        <v>2231</v>
      </c>
    </row>
    <row r="113" spans="1:21" ht="48" customHeight="1" x14ac:dyDescent="0.2">
      <c r="A113" s="3">
        <v>5</v>
      </c>
      <c r="B113" s="3" t="str">
        <f ca="1">"You find: "&amp;VLOOKUP(RANDBETWEEN(11,50),POCKET,2)&amp;"; "&amp;VLOOKUP(RANDBETWEEN(51,338),POCKET,2)&amp;"; "&amp;VLOOKUP(RANDBETWEEN(51,338),POCKET,2)&amp;"; "&amp;VLOOKUP(RANDBETWEEN(51,338),POCKET,2)&amp;"; "&amp;VLOOKUP(RANDBETWEEN(51,338),POCKET,2)&amp;"; "&amp;VLOOKUP(RANDBETWEEN(51,338),POCKET,2)&amp;"; "&amp;VLOOKUP(RANDBETWEEN(51,338),POCKET,2)&amp;"; "&amp;VLOOKUP(RANDBETWEEN(51,338),POCKET,2)&amp;"; "&amp;VLOOKUP(RANDBETWEEN(51,338),POCKET,2)&amp;" and "&amp;VLOOKUP(RANDBETWEEN(51,338),POCKET,2)&amp;"."</f>
        <v>You find: $1.75; a prayer wheel; a fancy suit that doesn't fit; character development; a rock made of some strange flecked material with the word 'Culver' written on the bottom; a hair piece; a full tool box with hammer, drill, file, saw, axe, riddle &amp; wrench; a flash bang; a bloody duster that fits and a worn duster that doesn't fit.</v>
      </c>
      <c r="D113" s="3">
        <v>112</v>
      </c>
      <c r="E113" s="3" t="s">
        <v>677</v>
      </c>
      <c r="F113" s="3">
        <v>112</v>
      </c>
      <c r="G113" s="3" t="str">
        <f ca="1">RANDBETWEEN(2,6)&amp;" adventurers with one Harrowed among them."</f>
        <v>5 adventurers with one Harrowed among them.</v>
      </c>
      <c r="H113" s="3">
        <v>112</v>
      </c>
      <c r="I113" s="3" t="s">
        <v>535</v>
      </c>
      <c r="J113" s="3" t="s">
        <v>3015</v>
      </c>
      <c r="K113" s="14">
        <v>146</v>
      </c>
      <c r="L113" s="3" t="str">
        <f ca="1">"a cheep ring that "&amp;VLOOKUP(RANDBETWEEN(1,10),FIT,2)</f>
        <v>a cheep ring that doesn't fit</v>
      </c>
      <c r="N113" s="3">
        <v>10</v>
      </c>
      <c r="O113" s="3" t="str">
        <f ca="1">RANDBETWEEN(2,10)&amp;" lawmen"</f>
        <v>4 lawmen</v>
      </c>
      <c r="P113" s="3">
        <v>79</v>
      </c>
      <c r="Q113" s="2" t="s">
        <v>1079</v>
      </c>
      <c r="R113" s="7">
        <v>43</v>
      </c>
      <c r="T113" s="3">
        <v>84</v>
      </c>
      <c r="U113" s="13" t="s">
        <v>2232</v>
      </c>
    </row>
    <row r="114" spans="1:21" ht="31.5" x14ac:dyDescent="0.2">
      <c r="D114" s="3">
        <v>113</v>
      </c>
      <c r="E114" s="3" t="s">
        <v>678</v>
      </c>
      <c r="F114" s="3">
        <v>113</v>
      </c>
      <c r="G114" s="3" t="str">
        <f ca="1">RANDBETWEEN(2,8)&amp;" Cannibal Cultists who want to eat the Posse (Yum!)..."</f>
        <v>4 Cannibal Cultists who want to eat the Posse (Yum!)...</v>
      </c>
      <c r="H114" s="3">
        <v>113</v>
      </c>
      <c r="I114" s="3" t="s">
        <v>645</v>
      </c>
      <c r="J114" s="3" t="s">
        <v>3015</v>
      </c>
      <c r="K114" s="14">
        <v>147</v>
      </c>
      <c r="L114" s="3" t="str">
        <f ca="1">"a fancy ring that "&amp;VLOOKUP(RANDBETWEEN(1,10),FIT,2)</f>
        <v>a fancy ring that doesn't fit</v>
      </c>
      <c r="P114" s="3">
        <v>80</v>
      </c>
      <c r="Q114" s="2" t="s">
        <v>1080</v>
      </c>
      <c r="R114" s="7">
        <v>44</v>
      </c>
      <c r="T114" s="3">
        <v>85</v>
      </c>
      <c r="U114" s="13" t="s">
        <v>2233</v>
      </c>
    </row>
    <row r="115" spans="1:21" ht="31.5" x14ac:dyDescent="0.2">
      <c r="D115" s="3">
        <v>114</v>
      </c>
      <c r="E115" s="3" t="s">
        <v>679</v>
      </c>
      <c r="F115" s="3">
        <v>114</v>
      </c>
      <c r="G115" s="3" t="str">
        <f ca="1">RANDBETWEEN(3,5)&amp;" Caves dot the face of the cliffs to the "&amp;VLOOKUP(RANDBETWEEN(1,4),Compas,2)&amp;"."</f>
        <v>5 Caves dot the face of the cliffs to the east.</v>
      </c>
      <c r="H115" s="3">
        <v>114</v>
      </c>
      <c r="I115" s="3" t="s">
        <v>971</v>
      </c>
      <c r="J115" s="3" t="s">
        <v>3015</v>
      </c>
      <c r="K115" s="14">
        <v>148</v>
      </c>
      <c r="L115" s="3" t="str">
        <f ca="1">"a gold ring that "&amp;VLOOKUP(RANDBETWEEN(1,10),FIT,2)</f>
        <v>a gold ring that doesn't fit</v>
      </c>
      <c r="O115" s="22" t="s">
        <v>922</v>
      </c>
      <c r="P115" s="3">
        <v>81</v>
      </c>
      <c r="Q115" s="2" t="s">
        <v>1081</v>
      </c>
      <c r="R115" s="7">
        <v>45</v>
      </c>
      <c r="T115" s="3">
        <v>86</v>
      </c>
      <c r="U115" s="13" t="s">
        <v>2234</v>
      </c>
    </row>
    <row r="116" spans="1:21" ht="31.5" x14ac:dyDescent="0.2">
      <c r="D116" s="3">
        <v>115</v>
      </c>
      <c r="E116" s="3" t="s">
        <v>680</v>
      </c>
      <c r="F116" s="3">
        <v>115</v>
      </c>
      <c r="G116" s="3" t="str">
        <f ca="1">RANDBETWEEN(1,4)&amp;" dead bodies just off the path..."</f>
        <v>4 dead bodies just off the path...</v>
      </c>
      <c r="H116" s="3">
        <v>115</v>
      </c>
      <c r="I116" s="3" t="s">
        <v>890</v>
      </c>
      <c r="J116" s="3" t="s">
        <v>3015</v>
      </c>
      <c r="K116" s="14">
        <v>149</v>
      </c>
      <c r="L116" s="3" t="str">
        <f ca="1">"a silver ring that "&amp;VLOOKUP(RANDBETWEEN(1,10),FIT,2)</f>
        <v>a silver ring that fits</v>
      </c>
      <c r="N116" s="3">
        <v>1</v>
      </c>
      <c r="O116" s="3" t="s">
        <v>309</v>
      </c>
      <c r="P116" s="3">
        <v>82</v>
      </c>
      <c r="Q116" s="2" t="s">
        <v>1082</v>
      </c>
      <c r="R116" s="7">
        <v>46</v>
      </c>
      <c r="T116" s="3">
        <v>87</v>
      </c>
      <c r="U116" s="13" t="s">
        <v>2235</v>
      </c>
    </row>
    <row r="117" spans="1:21" ht="31.5" x14ac:dyDescent="0.2">
      <c r="D117" s="3">
        <v>116</v>
      </c>
      <c r="E117" s="3" t="s">
        <v>681</v>
      </c>
      <c r="F117" s="3">
        <v>116</v>
      </c>
      <c r="G117" s="3" t="str">
        <f ca="1">RANDBETWEEN(2,6)&amp;" dead cattle in the middle of the road."</f>
        <v>6 dead cattle in the middle of the road.</v>
      </c>
      <c r="H117" s="3">
        <v>116</v>
      </c>
      <c r="I117" s="3" t="str">
        <f ca="1">"Muff, the town drunk "&amp;VLOOKUP(RANDBETWEEN(1,118),Disposition,2)</f>
        <v>Muff, the town drunk is a lowly beggar with friends in high places who acts as a spy for those in power.</v>
      </c>
      <c r="J117" s="3" t="s">
        <v>3015</v>
      </c>
      <c r="K117" s="14">
        <v>150</v>
      </c>
      <c r="L117" s="3" t="s">
        <v>2052</v>
      </c>
      <c r="N117" s="3">
        <v>2</v>
      </c>
      <c r="O117" s="3" t="s">
        <v>310</v>
      </c>
      <c r="P117" s="3">
        <v>83</v>
      </c>
      <c r="Q117" s="2" t="s">
        <v>1083</v>
      </c>
      <c r="R117" s="7">
        <v>47</v>
      </c>
      <c r="T117" s="3">
        <v>88</v>
      </c>
      <c r="U117" s="13" t="s">
        <v>2236</v>
      </c>
    </row>
    <row r="118" spans="1:21" ht="31.5" x14ac:dyDescent="0.2">
      <c r="D118" s="3">
        <v>117</v>
      </c>
      <c r="E118" s="3" t="s">
        <v>682</v>
      </c>
      <c r="F118" s="3">
        <v>117</v>
      </c>
      <c r="G118" s="3" t="str">
        <f ca="1">RANDBETWEEN(2,4)&amp;" hatched eggs lay below an abandoned nest."</f>
        <v>2 hatched eggs lay below an abandoned nest.</v>
      </c>
      <c r="H118" s="3">
        <v>117</v>
      </c>
      <c r="I118" s="3" t="str">
        <f ca="1">"A beautiful woman "&amp;VLOOKUP(RANDBETWEEN(1,119),Disposition,2)</f>
        <v>A beautiful woman seeks an ex-lover to claim child-support for their bastard child.</v>
      </c>
      <c r="J118" s="3" t="s">
        <v>3015</v>
      </c>
      <c r="K118" s="14">
        <v>151</v>
      </c>
      <c r="L118" s="3" t="str">
        <f ca="1">"a glod locket with "&amp;VLOOKUP(RANDBETWEEN(1,13),LETTERS,2)&amp;"."&amp;VLOOKUP(RANDBETWEEN(14,26),LETTERS,2)&amp;". on it"</f>
        <v>a glod locket with G.M. on it</v>
      </c>
      <c r="N118" s="3">
        <v>3</v>
      </c>
      <c r="O118" s="3" t="s">
        <v>311</v>
      </c>
      <c r="P118" s="3">
        <v>84</v>
      </c>
      <c r="Q118" s="2" t="s">
        <v>1251</v>
      </c>
      <c r="R118" s="7">
        <v>48</v>
      </c>
      <c r="T118" s="3">
        <v>89</v>
      </c>
      <c r="U118" s="13" t="s">
        <v>2237</v>
      </c>
    </row>
    <row r="119" spans="1:21" x14ac:dyDescent="0.2">
      <c r="D119" s="3">
        <v>118</v>
      </c>
      <c r="E119" s="3" t="s">
        <v>683</v>
      </c>
      <c r="F119" s="3">
        <v>118</v>
      </c>
      <c r="G119" s="1" t="str">
        <f ca="1">VLOOKUP(RANDBETWEEN(1,10),chase,2)&amp;" "&amp;VLOOKUP(RANDBETWEEN(1,40),wilderness,2)</f>
        <v>Stage Coach repairing a telegraph line.</v>
      </c>
      <c r="H119" s="3">
        <v>118</v>
      </c>
      <c r="I119" s="3" t="str">
        <f ca="1">"A beggar "&amp;VLOOKUP(RANDBETWEEN(1,119),Disposition,2)</f>
        <v>A beggar has a craving for rare herbs and spices that, unknown to the Posse, are used to create a powerful narcotic.</v>
      </c>
      <c r="J119" s="3" t="s">
        <v>3015</v>
      </c>
      <c r="K119" s="14">
        <v>152</v>
      </c>
      <c r="L119" s="3" t="s">
        <v>2053</v>
      </c>
      <c r="N119" s="3">
        <v>4</v>
      </c>
      <c r="O119" s="3" t="s">
        <v>313</v>
      </c>
      <c r="P119" s="3">
        <v>85</v>
      </c>
      <c r="Q119" s="2" t="s">
        <v>1253</v>
      </c>
      <c r="R119" s="7">
        <v>49</v>
      </c>
      <c r="T119" s="3">
        <v>90</v>
      </c>
      <c r="U119" s="13" t="s">
        <v>2238</v>
      </c>
    </row>
    <row r="120" spans="1:21" ht="31.5" x14ac:dyDescent="0.2">
      <c r="D120" s="3">
        <v>119</v>
      </c>
      <c r="E120" s="3" t="s">
        <v>472</v>
      </c>
      <c r="F120" s="3">
        <v>119</v>
      </c>
      <c r="G120" s="3" t="str">
        <f ca="1">RANDBETWEEN(2,8)&amp;" Local and hostile Indians heading "&amp;VLOOKUP(RANDBETWEEN(1,4),Compas,2)&amp;"."</f>
        <v>5 Local and hostile Indians heading north.</v>
      </c>
      <c r="H120" s="3">
        <v>119</v>
      </c>
      <c r="I120" s="2" t="str">
        <f ca="1">"A British/Russian noble "&amp;VLOOKUP(RANDBETWEEN(1,119),Disposition,2)</f>
        <v>A British/Russian noble cannot stop complaining, and will complain to anyone near him/her. If you listen carefully there may be key information hidden among the complaints.</v>
      </c>
      <c r="J120" s="2" t="s">
        <v>3015</v>
      </c>
      <c r="K120" s="14">
        <v>153</v>
      </c>
      <c r="L120" s="3" t="str">
        <f ca="1">"a silver locket with "&amp;VLOOKUP(RANDBETWEEN(1,13),LETTERS,2)&amp;"."&amp;VLOOKUP(RANDBETWEEN(14,26),LETTERS,2)&amp;". on it"</f>
        <v>a silver locket with Z.W. on it</v>
      </c>
      <c r="N120" s="3">
        <v>5</v>
      </c>
      <c r="O120" s="3" t="s">
        <v>314</v>
      </c>
      <c r="P120" s="3">
        <v>86</v>
      </c>
      <c r="Q120" s="2" t="s">
        <v>1255</v>
      </c>
      <c r="R120" s="7">
        <v>50</v>
      </c>
      <c r="T120" s="3">
        <v>91</v>
      </c>
      <c r="U120" s="13" t="s">
        <v>2239</v>
      </c>
    </row>
    <row r="121" spans="1:21" ht="31.5" x14ac:dyDescent="0.2">
      <c r="D121" s="3">
        <v>120</v>
      </c>
      <c r="E121" s="3" t="s">
        <v>684</v>
      </c>
      <c r="F121" s="3">
        <v>120</v>
      </c>
      <c r="G121" s="3" t="str">
        <f ca="1">RANDBETWEEN(2,8)&amp;" Ranchers leading a cattle drive of "&amp;RANDBETWEEN(100,300)&amp;"head of cattle."</f>
        <v>6 Ranchers leading a cattle drive of 294head of cattle.</v>
      </c>
      <c r="H121" s="3">
        <v>120</v>
      </c>
      <c r="I121" s="3" t="str">
        <f ca="1">"A bully "&amp;VLOOKUP(RANDBETWEEN(1,119),Disposition,2)</f>
        <v>A bully is collecting donations for a charitable fund.</v>
      </c>
      <c r="J121" s="3" t="s">
        <v>3015</v>
      </c>
      <c r="K121" s="14">
        <v>154</v>
      </c>
      <c r="L121" s="3" t="s">
        <v>2054</v>
      </c>
      <c r="N121" s="3">
        <v>6</v>
      </c>
      <c r="O121" s="3" t="s">
        <v>316</v>
      </c>
      <c r="P121" s="3">
        <v>87</v>
      </c>
      <c r="Q121" s="2" t="s">
        <v>1257</v>
      </c>
      <c r="R121" s="7">
        <v>51</v>
      </c>
      <c r="T121" s="3">
        <v>92</v>
      </c>
      <c r="U121" s="13" t="s">
        <v>2240</v>
      </c>
    </row>
    <row r="122" spans="1:21" ht="47.25" x14ac:dyDescent="0.2">
      <c r="D122" s="3">
        <v>121</v>
      </c>
      <c r="E122" s="3" t="s">
        <v>482</v>
      </c>
      <c r="F122" s="3">
        <v>121</v>
      </c>
      <c r="G122" s="3" t="str">
        <f ca="1">RANDBETWEEN(1,6)&amp; " Albino midgets jump out of the ground and try to drag them down and eat their liver (with farm beans and a good chianti)..."</f>
        <v>1 Albino midgets jump out of the ground and try to drag them down and eat their liver (with farm beans and a good chianti)...</v>
      </c>
      <c r="H122" s="3">
        <v>121</v>
      </c>
      <c r="I122" s="3" t="str">
        <f ca="1">"A cart vendor "&amp;VLOOKUP(RANDBETWEEN(1,119),Disposition,2)</f>
        <v>A cart vendor is a guard or law official who seeks information about who, how and why he was framed for a crime that resulted in his dismissal.</v>
      </c>
      <c r="J122" s="3" t="s">
        <v>3015</v>
      </c>
      <c r="K122" s="14">
        <v>155</v>
      </c>
      <c r="L122" s="3" t="s">
        <v>2055</v>
      </c>
      <c r="N122" s="3">
        <v>7</v>
      </c>
      <c r="O122" s="3" t="s">
        <v>317</v>
      </c>
      <c r="P122" s="3">
        <v>88</v>
      </c>
      <c r="Q122" s="2" t="s">
        <v>1258</v>
      </c>
      <c r="R122" s="7">
        <v>52</v>
      </c>
      <c r="T122" s="3">
        <v>93</v>
      </c>
      <c r="U122" s="13" t="s">
        <v>2241</v>
      </c>
    </row>
    <row r="123" spans="1:21" ht="47.25" x14ac:dyDescent="0.2">
      <c r="D123" s="3">
        <v>122</v>
      </c>
      <c r="E123" s="3" t="s">
        <v>685</v>
      </c>
      <c r="F123" s="3">
        <v>122</v>
      </c>
      <c r="G123" s="3" t="str">
        <f ca="1">RANDBETWEEN(1,6)&amp;" Lost Angels wander the tundra..."</f>
        <v>6 Lost Angels wander the tundra...</v>
      </c>
      <c r="H123" s="3">
        <v>122</v>
      </c>
      <c r="I123" s="3" t="str">
        <f ca="1">"A "&amp;VLOOKUP(RANDBETWEEN(1,2),Civil,2)&amp;" cavalry scout "&amp;VLOOKUP(RANDBETWEEN(1,119),Disposition,2)</f>
        <v>A Union cavalry scout  has a bitter rival who was just elected into a minor position and wants to ruin his/her reputation.</v>
      </c>
      <c r="J123" s="3" t="s">
        <v>3015</v>
      </c>
      <c r="K123" s="14">
        <v>156</v>
      </c>
      <c r="L123" s="3" t="str">
        <f ca="1">"a small sack full of dead "&amp;VLOOKUP(RANDBETWEEN(1,30),Bugs,2)</f>
        <v>a small sack full of dead hornets</v>
      </c>
      <c r="N123" s="3">
        <v>8</v>
      </c>
      <c r="O123" s="3" t="s">
        <v>328</v>
      </c>
      <c r="P123" s="3">
        <v>89</v>
      </c>
      <c r="Q123" s="2" t="s">
        <v>1260</v>
      </c>
      <c r="R123" s="7">
        <v>53</v>
      </c>
      <c r="T123" s="3">
        <v>94</v>
      </c>
      <c r="U123" s="13" t="s">
        <v>2242</v>
      </c>
    </row>
    <row r="124" spans="1:21" ht="47.25" x14ac:dyDescent="0.2">
      <c r="D124" s="3">
        <v>123</v>
      </c>
      <c r="E124" s="3" t="s">
        <v>686</v>
      </c>
      <c r="F124" s="3">
        <v>123</v>
      </c>
      <c r="G124" s="3" t="str">
        <f ca="1">RANDBETWEEN(2,8)&amp;" makeshift graves with unmarked, weathered, crosses."</f>
        <v>5 makeshift graves with unmarked, weathered, crosses.</v>
      </c>
      <c r="H124" s="3">
        <v>123</v>
      </c>
      <c r="I124" s="3" t="str">
        <f ca="1">"A craftsman "&amp;VLOOKUP(RANDBETWEEN(1,119),Disposition,2)</f>
        <v>A craftsman was adopted as an infant and is in search of his/her real parents.</v>
      </c>
      <c r="J124" s="3" t="s">
        <v>3015</v>
      </c>
      <c r="K124" s="14">
        <v>157</v>
      </c>
      <c r="L124" s="3" t="s">
        <v>2056</v>
      </c>
      <c r="N124" s="3">
        <v>9</v>
      </c>
      <c r="O124" s="3" t="s">
        <v>327</v>
      </c>
      <c r="P124" s="3">
        <v>90</v>
      </c>
      <c r="Q124" s="2" t="s">
        <v>1262</v>
      </c>
      <c r="R124" s="7">
        <v>54</v>
      </c>
      <c r="T124" s="3">
        <v>95</v>
      </c>
      <c r="U124" s="13" t="s">
        <v>2243</v>
      </c>
    </row>
    <row r="125" spans="1:21" ht="31.5" x14ac:dyDescent="0.2">
      <c r="D125" s="3">
        <v>124</v>
      </c>
      <c r="E125" s="3" t="s">
        <v>2989</v>
      </c>
      <c r="F125" s="3">
        <v>124</v>
      </c>
      <c r="G125" s="3" t="str">
        <f ca="1">RANDBETWEEN(2,10)&amp;" coyotes fighting over a kill."</f>
        <v>2 coyotes fighting over a kill.</v>
      </c>
      <c r="H125" s="3">
        <v>124</v>
      </c>
      <c r="I125" s="3" t="str">
        <f ca="1">"A crazy homeless guy "&amp;VLOOKUP(RANDBETWEEN(1,119),Disposition,2)</f>
        <v>A crazy homeless guy has distinctly disproportionate limbs {i.e. one arm longer than the other, etc.} that were altered through magic.</v>
      </c>
      <c r="J125" s="3" t="s">
        <v>3015</v>
      </c>
      <c r="K125" s="14">
        <v>158</v>
      </c>
      <c r="L125" s="3" t="s">
        <v>2057</v>
      </c>
      <c r="N125" s="3">
        <v>10</v>
      </c>
      <c r="O125" s="3" t="s">
        <v>331</v>
      </c>
      <c r="P125" s="3">
        <v>91</v>
      </c>
      <c r="Q125" s="2" t="s">
        <v>1264</v>
      </c>
      <c r="R125" s="7">
        <v>55</v>
      </c>
      <c r="T125" s="3">
        <v>96</v>
      </c>
      <c r="U125" s="13" t="s">
        <v>2244</v>
      </c>
    </row>
    <row r="126" spans="1:21" ht="47.25" x14ac:dyDescent="0.2">
      <c r="D126" s="3">
        <v>125</v>
      </c>
      <c r="E126" s="3" t="s">
        <v>520</v>
      </c>
      <c r="F126" s="3">
        <v>125</v>
      </c>
      <c r="G126" s="3" t="str">
        <f ca="1">RANDBETWEEN(2,8)&amp;" Local and friendly Indians heading "&amp;VLOOKUP(RANDBETWEEN(1,4),Compas,2)&amp;"."</f>
        <v>3 Local and friendly Indians heading south.</v>
      </c>
      <c r="H126" s="3">
        <v>125</v>
      </c>
      <c r="I126" s="3" t="str">
        <f ca="1">"A deputy sheriff "&amp;VLOOKUP(RANDBETWEEN(1,119),Disposition,2)</f>
        <v>A deputy sheriff is looking to buy winter clothing and bedding for their orphanage but wool prices are up due to a local shortage.</v>
      </c>
      <c r="J126" s="3" t="s">
        <v>3015</v>
      </c>
      <c r="K126" s="14">
        <v>159</v>
      </c>
      <c r="L126" s="3" t="s">
        <v>2058</v>
      </c>
      <c r="N126" s="3">
        <v>11</v>
      </c>
      <c r="O126" s="3" t="s">
        <v>324</v>
      </c>
      <c r="P126" s="3">
        <v>92</v>
      </c>
      <c r="Q126" s="2" t="s">
        <v>1266</v>
      </c>
      <c r="R126" s="7">
        <v>56</v>
      </c>
      <c r="T126" s="3">
        <v>97</v>
      </c>
      <c r="U126" s="13" t="s">
        <v>2245</v>
      </c>
    </row>
    <row r="127" spans="1:21" ht="31.5" x14ac:dyDescent="0.2">
      <c r="D127" s="3">
        <v>126</v>
      </c>
      <c r="E127" s="3" t="s">
        <v>687</v>
      </c>
      <c r="F127" s="3">
        <v>126</v>
      </c>
      <c r="G127" s="3" t="str">
        <f ca="1">RANDBETWEEN(2,6)&amp;" travelling loafers, their clothes dusty and threadbare pass by."</f>
        <v>3 travelling loafers, their clothes dusty and threadbare pass by.</v>
      </c>
      <c r="H127" s="3">
        <v>126</v>
      </c>
      <c r="I127" s="1" t="str">
        <f ca="1">"A detective "&amp;VLOOKUP(RANDBETWEEN(1,119),Disposition,2)</f>
        <v>A detective is extremely lucky {never seems to do anything right, but somehow escapes any personal consequences}.</v>
      </c>
      <c r="J127" s="1" t="s">
        <v>3015</v>
      </c>
      <c r="K127" s="14">
        <v>160</v>
      </c>
      <c r="L127" s="3" t="s">
        <v>2059</v>
      </c>
      <c r="N127" s="3">
        <v>12</v>
      </c>
      <c r="O127" s="3" t="s">
        <v>350</v>
      </c>
      <c r="P127" s="3">
        <v>93</v>
      </c>
      <c r="Q127" s="2" t="s">
        <v>1268</v>
      </c>
      <c r="R127" s="7">
        <v>57</v>
      </c>
      <c r="T127" s="3">
        <v>98</v>
      </c>
      <c r="U127" s="13" t="s">
        <v>2246</v>
      </c>
    </row>
    <row r="128" spans="1:21" x14ac:dyDescent="0.2">
      <c r="D128" s="3">
        <v>127</v>
      </c>
      <c r="E128" s="3" t="str">
        <f ca="1">"A stage driver "&amp;VLOOKUP(RANDBETWEEN(1,40),town,2)</f>
        <v>A stage driver rounding up truants.</v>
      </c>
      <c r="F128" s="3">
        <v>127</v>
      </c>
      <c r="G128" s="1" t="str">
        <f ca="1">RANDBETWEEN(2,10)&amp;" unemployed cowboys "&amp;VLOOKUP(RANDBETWEEN(1,40),wilderness,2)</f>
        <v>5 unemployed cowboys building a home.</v>
      </c>
      <c r="H128" s="3">
        <v>127</v>
      </c>
      <c r="I128" s="3" t="str">
        <f ca="1">"A drifter "&amp;VLOOKUP(RANDBETWEEN(1,119),Disposition,2)</f>
        <v>A drifter is trying to fulfill a bizarre request of their employer, but with no luck.</v>
      </c>
      <c r="J128" s="3" t="s">
        <v>3015</v>
      </c>
      <c r="K128" s="14">
        <v>161</v>
      </c>
      <c r="L128" s="3" t="s">
        <v>2990</v>
      </c>
      <c r="N128" s="3">
        <v>13</v>
      </c>
      <c r="O128" s="3" t="s">
        <v>329</v>
      </c>
      <c r="P128" s="3">
        <v>94</v>
      </c>
      <c r="Q128" s="2" t="s">
        <v>1270</v>
      </c>
      <c r="R128" s="7">
        <v>58</v>
      </c>
      <c r="T128" s="3">
        <v>99</v>
      </c>
      <c r="U128" s="13" t="s">
        <v>2247</v>
      </c>
    </row>
    <row r="129" spans="4:23" ht="31.5" x14ac:dyDescent="0.2">
      <c r="D129" s="3">
        <v>128</v>
      </c>
      <c r="E129" s="3" t="str">
        <f ca="1">"A stage guard "&amp;VLOOKUP(RANDBETWEEN(1,40),town,2)</f>
        <v>A stage guard talking about the "Old Days"…</v>
      </c>
      <c r="F129" s="3">
        <v>128</v>
      </c>
      <c r="G129" s="3" t="str">
        <f ca="1">RANDBETWEEN(2,6)&amp;" "&amp;VLOOKUP(RANDBETWEEN(1,2),Civil,2)&amp;"Cavalry Scouts heading "&amp;VLOOKUP(RANDBETWEEN(1,8),Compas,2)&amp;"looking for their regiment."</f>
        <v>6 ConfederateCavalry Scouts heading eastlooking for their regiment.</v>
      </c>
      <c r="H129" s="3">
        <v>128</v>
      </c>
      <c r="I129" s="3" t="str">
        <f ca="1">"A gambler "&amp;VLOOKUP(RANDBETWEEN(1,119),Disposition,2)</f>
        <v>A gambler is seeking support and election for a minor bureaucratic position with a long title.</v>
      </c>
      <c r="J129" s="3" t="s">
        <v>3015</v>
      </c>
      <c r="K129" s="14">
        <v>162</v>
      </c>
      <c r="L129" s="3" t="s">
        <v>2060</v>
      </c>
      <c r="N129" s="3">
        <v>14</v>
      </c>
      <c r="O129" s="3" t="s">
        <v>318</v>
      </c>
      <c r="P129" s="3">
        <v>95</v>
      </c>
      <c r="Q129" s="2" t="s">
        <v>1272</v>
      </c>
      <c r="R129" s="7">
        <v>59</v>
      </c>
      <c r="T129" s="3">
        <v>100</v>
      </c>
      <c r="U129" s="13" t="s">
        <v>2248</v>
      </c>
    </row>
    <row r="130" spans="4:23" ht="31.5" x14ac:dyDescent="0.2">
      <c r="D130" s="3">
        <v>129</v>
      </c>
      <c r="E130" s="3" t="s">
        <v>537</v>
      </c>
      <c r="F130" s="3">
        <v>129</v>
      </c>
      <c r="G130" s="3" t="str">
        <f ca="1">RANDBETWEEN(2,8)&amp;" Dead Injuns."</f>
        <v>4 Dead Injuns.</v>
      </c>
      <c r="H130" s="3">
        <v>129</v>
      </c>
      <c r="I130" s="1" t="str">
        <f ca="1">"A gunfighter "&amp;VLOOKUP(RANDBETWEEN(1,119),Disposition,2)</f>
        <v>A gunfighter is an anarchist attempting to recruit followers to overthrow the government.</v>
      </c>
      <c r="J130" s="1" t="s">
        <v>3015</v>
      </c>
      <c r="K130" s="14">
        <v>163</v>
      </c>
      <c r="L130" s="3" t="s">
        <v>2061</v>
      </c>
      <c r="N130" s="3">
        <v>15</v>
      </c>
      <c r="O130" s="3" t="s">
        <v>332</v>
      </c>
      <c r="P130" s="3">
        <v>96</v>
      </c>
      <c r="Q130" s="2" t="s">
        <v>1274</v>
      </c>
      <c r="R130" s="7">
        <v>60</v>
      </c>
      <c r="T130" s="3">
        <v>101</v>
      </c>
      <c r="U130" s="13" t="s">
        <v>2729</v>
      </c>
    </row>
    <row r="131" spans="4:23" ht="31.5" x14ac:dyDescent="0.2">
      <c r="D131" s="3">
        <v>130</v>
      </c>
      <c r="E131" s="3" t="s">
        <v>688</v>
      </c>
      <c r="F131" s="3">
        <v>130</v>
      </c>
      <c r="G131" s="3" t="str">
        <f ca="1">+RANDBETWEEN(1,10)&amp;" mile(s) to the "&amp;VLOOKUP(RANDBETWEEN(1,8),Compas,2)&amp;"a campfire can be seen flickering in the night."</f>
        <v>10 mile(s) to the southa campfire can be seen flickering in the night.</v>
      </c>
      <c r="H131" s="3">
        <v>130</v>
      </c>
      <c r="I131" s="1" t="str">
        <f ca="1">"A gunsmith "&amp;VLOOKUP(RANDBETWEEN(1,119),Disposition,2)</f>
        <v>A gunsmith is the bastard son of a famous robber baron {hates his father; half-brothers would kill him on sight}.</v>
      </c>
      <c r="J131" s="1" t="s">
        <v>3015</v>
      </c>
      <c r="K131" s="14">
        <v>164</v>
      </c>
      <c r="L131" s="3" t="s">
        <v>2015</v>
      </c>
      <c r="N131" s="3">
        <v>16</v>
      </c>
      <c r="O131" s="3" t="s">
        <v>967</v>
      </c>
      <c r="P131" s="3">
        <v>97</v>
      </c>
      <c r="Q131" s="2" t="s">
        <v>1276</v>
      </c>
      <c r="R131" s="7">
        <v>61</v>
      </c>
      <c r="U131" s="13"/>
    </row>
    <row r="132" spans="4:23" ht="47.25" x14ac:dyDescent="0.2">
      <c r="D132" s="3">
        <v>131</v>
      </c>
      <c r="E132" s="3" t="s">
        <v>490</v>
      </c>
      <c r="F132" s="3">
        <v>131</v>
      </c>
      <c r="G132" s="3" t="s">
        <v>647</v>
      </c>
      <c r="H132" s="3">
        <v>131</v>
      </c>
      <c r="I132" s="3" t="str">
        <f ca="1">"A lawyer "&amp;VLOOKUP(RANDBETWEEN(1,119),Disposition,2)</f>
        <v>A lawyer is an outspoken advocate of a controversial political position.</v>
      </c>
      <c r="J132" s="3" t="s">
        <v>3015</v>
      </c>
      <c r="K132" s="14">
        <v>165</v>
      </c>
      <c r="L132" s="3" t="s">
        <v>2062</v>
      </c>
      <c r="N132" s="3">
        <v>17</v>
      </c>
      <c r="O132" s="3" t="s">
        <v>334</v>
      </c>
      <c r="P132" s="3">
        <v>98</v>
      </c>
      <c r="Q132" s="2" t="s">
        <v>1278</v>
      </c>
      <c r="R132" s="7">
        <v>62</v>
      </c>
      <c r="U132" s="22" t="s">
        <v>2249</v>
      </c>
    </row>
    <row r="133" spans="4:23" ht="47.25" x14ac:dyDescent="0.2">
      <c r="D133" s="3">
        <v>132</v>
      </c>
      <c r="E133" s="3" t="s">
        <v>689</v>
      </c>
      <c r="F133" s="3">
        <v>132</v>
      </c>
      <c r="G133" s="3" t="s">
        <v>246</v>
      </c>
      <c r="H133" s="3">
        <v>132</v>
      </c>
      <c r="I133" s="1" t="str">
        <f ca="1">"A miner "&amp;VLOOKUP(RANDBETWEEN(1,119),Disposition,2)</f>
        <v>A miner is a merchant looking to open trade with "other races" and mistakes one of the Posse as a non-human.</v>
      </c>
      <c r="J133" s="1" t="s">
        <v>3015</v>
      </c>
      <c r="K133" s="14">
        <v>166</v>
      </c>
      <c r="L133" s="7" t="s">
        <v>2063</v>
      </c>
      <c r="N133" s="3">
        <v>18</v>
      </c>
      <c r="O133" s="3" t="s">
        <v>330</v>
      </c>
      <c r="P133" s="3">
        <v>99</v>
      </c>
      <c r="Q133" s="2" t="s">
        <v>1280</v>
      </c>
      <c r="R133" s="7">
        <v>63</v>
      </c>
      <c r="T133" s="3">
        <v>1</v>
      </c>
      <c r="U133" s="3" t="s">
        <v>2251</v>
      </c>
    </row>
    <row r="134" spans="4:23" ht="63" x14ac:dyDescent="0.2">
      <c r="D134" s="3">
        <v>133</v>
      </c>
      <c r="E134" s="3" t="str">
        <f ca="1">"A street vendor hawking: "&amp;VLOOKUP(RANDBETWEEN(1,50),store,2)&amp;"; "&amp;VLOOKUP(RANDBETWEEN(1,50),store,2)&amp;"; "&amp;VLOOKUP(RANDBETWEEN(1,50),store,2)&amp;"; "&amp;VLOOKUP(RANDBETWEEN(1,50),store,2)&amp;"; "&amp;VLOOKUP(RANDBETWEEN(1,50),store,2)&amp;"; "&amp;VLOOKUP(RANDBETWEEN(1,50),store,2)&amp;"; "&amp;VLOOKUP(RANDBETWEEN(1,50),store,2)&amp;"; "&amp;VLOOKUP(RANDBETWEEN(1,50),store,2)&amp;"; "&amp;VLOOKUP(RANDBETWEEN(1,50),store,2)&amp;"; "&amp;VLOOKUP(RANDBETWEEN(1,50),store,2)&amp;"&amp; "&amp;VLOOKUP(RANDBETWEEN(1,50),store,2)&amp;"."</f>
        <v>A street vendor hawking: lamp oil {$0.20}; weapon cleaning kit {$5.09}; looking glass {$2.31}; rock candy {$.07}; looking glass {$2.31}; cooking ware {$0.82}; mess kits {$1.20}; hot peppers {$0.35}; Laudanum {$1.32}; pickaxe {$0.33}&amp; mess kits {$1.20}.</v>
      </c>
      <c r="F134" s="3">
        <v>133</v>
      </c>
      <c r="G134" s="1" t="str">
        <f ca="1">"A bounty hunter "&amp;VLOOKUP(RANDBETWEEN(1,40),wilderness,2)</f>
        <v>A bounty hunter hiding out.</v>
      </c>
      <c r="H134" s="3">
        <v>133</v>
      </c>
      <c r="I134" s="3" t="str">
        <f ca="1">"A novelist "&amp;VLOOKUP(RANDBETWEEN(1,119),Disposition,2)</f>
        <v>A novelist rants uncontrollably about unrelated things as if under the effects of a Feeblemind.</v>
      </c>
      <c r="J134" s="3" t="s">
        <v>3015</v>
      </c>
      <c r="K134" s="14">
        <v>167</v>
      </c>
      <c r="L134" s="3" t="str">
        <f ca="1">"a "&amp;VLOOKUP(RANDBETWEEN(1,15),BOTTLE,2)&amp;" containing "&amp;VLOOKUP(RANDBETWEEN(1,25),TONICS,2)</f>
        <v>a capsule containing Ether</v>
      </c>
      <c r="N134" s="3">
        <v>19</v>
      </c>
      <c r="O134" s="3" t="s">
        <v>326</v>
      </c>
      <c r="P134" s="3">
        <v>100</v>
      </c>
      <c r="Q134" s="2" t="s">
        <v>1281</v>
      </c>
      <c r="R134" s="7">
        <v>64</v>
      </c>
      <c r="T134" s="3">
        <v>10</v>
      </c>
      <c r="U134" s="3" t="s">
        <v>2250</v>
      </c>
    </row>
    <row r="135" spans="4:23" ht="47.25" x14ac:dyDescent="0.2">
      <c r="D135" s="3">
        <v>134</v>
      </c>
      <c r="E135" s="3" t="s">
        <v>690</v>
      </c>
      <c r="F135" s="3">
        <v>134</v>
      </c>
      <c r="G135" s="3" t="s">
        <v>39</v>
      </c>
      <c r="H135" s="3">
        <v>134</v>
      </c>
      <c r="I135" s="1" t="str">
        <f ca="1">"A nun "&amp;VLOOKUP(RANDBETWEEN(1,119),Disposition,2)</f>
        <v>A nun seeks an ex-lover to claim child-support for their bastard child.</v>
      </c>
      <c r="J135" s="1" t="s">
        <v>3015</v>
      </c>
      <c r="K135" s="14">
        <v>168</v>
      </c>
      <c r="L135" s="3" t="str">
        <f ca="1">"a "&amp;VLOOKUP(RANDBETWEEN(1,15),BOTTLE,2)&amp;" containing "&amp;VLOOKUP(RANDBETWEEN(1,10),REMEDY,2)&amp;" Labeled: 'Dr. "&amp;VLOOKUP(RANDBETWEEN(1,233),NAME,2)&amp;"'s Liniment: "&amp;VLOOKUP(RANDBETWEEN(76,100),ELIXIR,2)&amp;"!' "&amp;VLOOKUP(RANDBETWEEN(1,4),WORKS,2)</f>
        <v>a vessel containing an oily cream Labeled: 'Dr. Rand's Liniment: Loosens the Joints and gives a feeling of Freshness and Vigor to the Whole System.!' (doesn't work)</v>
      </c>
      <c r="N135" s="3">
        <v>20</v>
      </c>
      <c r="O135" s="3" t="s">
        <v>325</v>
      </c>
      <c r="P135" s="3">
        <v>101</v>
      </c>
      <c r="Q135" s="2" t="s">
        <v>1283</v>
      </c>
      <c r="R135" s="7">
        <v>65</v>
      </c>
    </row>
    <row r="136" spans="4:23" ht="47.25" x14ac:dyDescent="0.2">
      <c r="D136" s="3">
        <v>135</v>
      </c>
      <c r="E136" s="8" t="str">
        <f ca="1">"A teacher with about "&amp;RANDBETWEEN(10,20)&amp;" young children following behind her like duckling. Each one is hanging on to the rope with handles that the teacher has with her."</f>
        <v>A teacher with about 15 young children following behind her like duckling. Each one is hanging on to the rope with handles that the teacher has with her.</v>
      </c>
      <c r="F136" s="3">
        <v>135</v>
      </c>
      <c r="G136" s="8" t="s">
        <v>201</v>
      </c>
      <c r="H136" s="3">
        <v>135</v>
      </c>
      <c r="I136" s="3" t="str">
        <f ca="1">"A photographer "&amp;VLOOKUP(RANDBETWEEN(1,119),Disposition,2)</f>
        <v>A photographer is collecting parlor games from across the lands.</v>
      </c>
      <c r="J136" s="3" t="s">
        <v>3015</v>
      </c>
      <c r="K136" s="14">
        <v>169</v>
      </c>
      <c r="L136" s="3" t="str">
        <f ca="1">"a "&amp;VLOOKUP(RANDBETWEEN(1,15),BOTTLE,2)&amp;" containing "&amp;VLOOKUP(RANDBETWEEN(1,10),REMEDY,2)&amp;" Labeled: 'Dr. "&amp;VLOOKUP(RANDBETWEEN(179,233),NAME,2)&amp;" "&amp;VLOOKUP(RANDBETWEEN(1,178),NAME,2)&amp;"'s Salve: "&amp;VLOOKUP(RANDBETWEEN(76,100),ELIXIR,2)&amp;"!' "&amp;VLOOKUP(RANDBETWEEN(1,4),WORKS,2)</f>
        <v>a vessel containing a pungent cream Labeled: 'Dr. Murphy Knott's Salve: For Frost Bite, Chills, Sore Throat, Bites of Animals, Insects and Reptiles. Good for Man or Beast!' (doesn't work)</v>
      </c>
      <c r="N136" s="3">
        <v>21</v>
      </c>
      <c r="O136" s="3" t="s">
        <v>323</v>
      </c>
      <c r="P136" s="3">
        <v>102</v>
      </c>
      <c r="Q136" s="2" t="s">
        <v>1285</v>
      </c>
      <c r="R136" s="7">
        <v>66</v>
      </c>
      <c r="U136" s="22" t="s">
        <v>2252</v>
      </c>
    </row>
    <row r="137" spans="4:23" ht="47.25" x14ac:dyDescent="0.2">
      <c r="D137" s="3">
        <v>136</v>
      </c>
      <c r="E137" s="3" t="str">
        <f ca="1">"A Texas Ranger "&amp;VLOOKUP(RANDBETWEEN(1,40),town,2)</f>
        <v>A Texas Ranger buying horses.</v>
      </c>
      <c r="F137" s="3">
        <v>136</v>
      </c>
      <c r="G137" s="8" t="s">
        <v>200</v>
      </c>
      <c r="H137" s="3">
        <v>136</v>
      </c>
      <c r="I137" s="3" t="str">
        <f ca="1">"A pickpocket "&amp;VLOOKUP(RANDBETWEEN(1,119),Disposition,2)</f>
        <v>A pickpocket is a disgruntled worker recently fired.</v>
      </c>
      <c r="J137" s="3" t="s">
        <v>3015</v>
      </c>
      <c r="K137" s="14">
        <v>170</v>
      </c>
      <c r="L137" s="3" t="str">
        <f ca="1">"a "&amp;VLOOKUP(RANDBETWEEN(1,15),BOTTLE,2)&amp;" containing "&amp;VLOOKUP(RANDBETWEEN(1,10),REMEDY,2)&amp;" Labeled: '"&amp;VLOOKUP(RANDBETWEEN(1,26),ELIXIR,2)&amp;"!' "&amp;VLOOKUP(RANDBETWEEN(1,4),WORKS,2)</f>
        <v>a tin containing a lime green liniment Labeled: 'Sampson's Elixir!' (doesn't work)</v>
      </c>
      <c r="N137" s="3">
        <v>22</v>
      </c>
      <c r="O137" s="3" t="s">
        <v>322</v>
      </c>
      <c r="P137" s="3">
        <v>103</v>
      </c>
      <c r="Q137" s="2" t="s">
        <v>1287</v>
      </c>
      <c r="R137" s="7">
        <v>67</v>
      </c>
      <c r="T137" s="3">
        <v>1</v>
      </c>
      <c r="U137" s="3" t="s">
        <v>2253</v>
      </c>
    </row>
    <row r="138" spans="4:23" ht="31.5" x14ac:dyDescent="0.2">
      <c r="D138" s="3">
        <v>137</v>
      </c>
      <c r="E138" s="3" t="s">
        <v>510</v>
      </c>
      <c r="F138" s="3">
        <v>137</v>
      </c>
      <c r="G138" s="3" t="s">
        <v>395</v>
      </c>
      <c r="H138" s="3">
        <v>137</v>
      </c>
      <c r="I138" s="3" t="str">
        <f ca="1">"A pilgrim "&amp;VLOOKUP(RANDBETWEEN(1,119),Disposition,2)</f>
        <v>A pilgrim tries to recruit the Posse for some incredibly mundane task {i.e. laborer} regardless of their objections.</v>
      </c>
      <c r="J138" s="3" t="s">
        <v>3015</v>
      </c>
      <c r="K138" s="14">
        <v>171</v>
      </c>
      <c r="L138" s="3" t="str">
        <f ca="1">"a list of phrases translated from English to "&amp;VLOOKUP(RANDBETWEEN(1,20),LANG,2)</f>
        <v>a list of phrases translated from English to Russian</v>
      </c>
      <c r="N138" s="3">
        <v>23</v>
      </c>
      <c r="O138" s="3" t="s">
        <v>333</v>
      </c>
      <c r="P138" s="3">
        <v>104</v>
      </c>
      <c r="Q138" s="2" t="s">
        <v>1288</v>
      </c>
      <c r="R138" s="7">
        <v>68</v>
      </c>
      <c r="T138" s="3">
        <v>10</v>
      </c>
      <c r="U138" s="3" t="s">
        <v>2254</v>
      </c>
      <c r="W138" s="21" t="s">
        <v>2318</v>
      </c>
    </row>
    <row r="139" spans="4:23" ht="47.25" x14ac:dyDescent="0.2">
      <c r="D139" s="3">
        <v>138</v>
      </c>
      <c r="E139" s="3" t="s">
        <v>691</v>
      </c>
      <c r="F139" s="3">
        <v>138</v>
      </c>
      <c r="G139" s="3" t="s">
        <v>600</v>
      </c>
      <c r="H139" s="3">
        <v>138</v>
      </c>
      <c r="I139" s="3" t="str">
        <f ca="1">"A Pony Express Rider "&amp;VLOOKUP(RANDBETWEEN(1,119),Disposition,2)</f>
        <v>A Pony Express Rider suffers from a skin condition which causes his skin to burn and peel in direct sunlight -- but is not a vampire.</v>
      </c>
      <c r="J139" s="3" t="s">
        <v>3015</v>
      </c>
      <c r="K139" s="14">
        <v>172</v>
      </c>
      <c r="L139" s="3" t="str">
        <f ca="1">"a list of phrases translated from "&amp;VLOOKUP(RANDBETWEEN(1,20),LANG,2)&amp;" to English"</f>
        <v>a list of phrases translated from Nonsense to English</v>
      </c>
      <c r="N139" s="3">
        <v>24</v>
      </c>
      <c r="O139" s="3" t="s">
        <v>320</v>
      </c>
      <c r="P139" s="3">
        <v>105</v>
      </c>
      <c r="Q139" s="2" t="s">
        <v>1289</v>
      </c>
      <c r="R139" s="7">
        <v>69</v>
      </c>
      <c r="U139" s="22" t="s">
        <v>2452</v>
      </c>
      <c r="W139" s="3" t="s">
        <v>2321</v>
      </c>
    </row>
    <row r="140" spans="4:23" ht="31.5" x14ac:dyDescent="0.2">
      <c r="D140" s="3">
        <v>139</v>
      </c>
      <c r="E140" s="3" t="s">
        <v>515</v>
      </c>
      <c r="F140" s="3">
        <v>139</v>
      </c>
      <c r="G140" s="3" t="s">
        <v>586</v>
      </c>
      <c r="H140" s="3">
        <v>139</v>
      </c>
      <c r="I140" s="3" t="str">
        <f ca="1">"A preacher "&amp;VLOOKUP(RANDBETWEEN(1,119),Disposition,2)</f>
        <v>A preacher likes to play practical jokes on party members {without revealing culpability if possible}.</v>
      </c>
      <c r="J140" s="3" t="s">
        <v>3015</v>
      </c>
      <c r="K140" s="14">
        <v>173</v>
      </c>
      <c r="L140" s="3" t="str">
        <f ca="1">"a Lexicon of the "&amp;VLOOKUP(RANDBETWEEN(1,20),LANG,2)&amp;" Language"</f>
        <v>a Lexicon of the Yokut Language</v>
      </c>
      <c r="N140" s="3">
        <v>25</v>
      </c>
      <c r="O140" s="3" t="s">
        <v>312</v>
      </c>
      <c r="P140" s="3">
        <v>106</v>
      </c>
      <c r="Q140" s="2" t="s">
        <v>1290</v>
      </c>
      <c r="R140" s="7">
        <v>70</v>
      </c>
      <c r="U140" s="21" t="s">
        <v>2316</v>
      </c>
      <c r="V140" s="21" t="s">
        <v>2317</v>
      </c>
      <c r="W140" s="3" t="s">
        <v>2324</v>
      </c>
    </row>
    <row r="141" spans="4:23" x14ac:dyDescent="0.2">
      <c r="D141" s="3">
        <v>140</v>
      </c>
      <c r="E141" s="3" t="str">
        <f ca="1">"A troupe of "&amp;RANDBETWEEN(3,7)&amp;" well-armed adventurers pass by…"</f>
        <v>A troupe of 4 well-armed adventurers pass by…</v>
      </c>
      <c r="F141" s="3">
        <v>140</v>
      </c>
      <c r="G141" s="3" t="str">
        <f ca="1">"A burnt out caravan of "&amp;RANDBETWEEN(2,16)&amp;"dead settlers scalpt by injuns."</f>
        <v>A burnt out caravan of 3dead settlers scalpt by injuns.</v>
      </c>
      <c r="H141" s="3">
        <v>140</v>
      </c>
      <c r="I141" s="3" t="str">
        <f ca="1">"A prostitute "&amp;VLOOKUP(RANDBETWEEN(1,119),Disposition,2)</f>
        <v>A prostitute believes that he/she is the only voice of God.</v>
      </c>
      <c r="J141" s="3" t="s">
        <v>3015</v>
      </c>
      <c r="K141" s="14">
        <v>174</v>
      </c>
      <c r="L141" s="3" t="str">
        <f ca="1">"a "&amp;VLOOKUP(RANDBETWEEN(1,22),POUCH,2)&amp;" containing "&amp;VLOOKUP(RANDBETWEEN(1,48),ING,2)</f>
        <v>a bag containing a fine white powder (non-magical)</v>
      </c>
      <c r="N141" s="3">
        <v>26</v>
      </c>
      <c r="O141" s="3" t="s">
        <v>315</v>
      </c>
      <c r="P141" s="3">
        <v>107</v>
      </c>
      <c r="Q141" s="2" t="s">
        <v>1292</v>
      </c>
      <c r="R141" s="7">
        <v>71</v>
      </c>
      <c r="T141" s="3">
        <v>1</v>
      </c>
      <c r="U141" s="3" t="s">
        <v>2319</v>
      </c>
      <c r="V141" s="3" t="s">
        <v>2320</v>
      </c>
      <c r="W141" s="3" t="s">
        <v>2327</v>
      </c>
    </row>
    <row r="142" spans="4:23" ht="31.5" x14ac:dyDescent="0.2">
      <c r="D142" s="3">
        <v>141</v>
      </c>
      <c r="E142" s="3" t="s">
        <v>692</v>
      </c>
      <c r="F142" s="3">
        <v>141</v>
      </c>
      <c r="G142" s="3" t="str">
        <f ca="1">"A Caravan of "&amp;RANDBETWEEN(10,25)&amp;" covered wagons headed west."</f>
        <v>A Caravan of 17 covered wagons headed west.</v>
      </c>
      <c r="H142" s="3">
        <v>141</v>
      </c>
      <c r="I142" s="3" t="str">
        <f ca="1">"A railroad executive "&amp;VLOOKUP(RANDBETWEEN(1,119),Disposition,2)</f>
        <v>A railroad executive is trying to marry off their eldest son/daughter to one of the Posse.</v>
      </c>
      <c r="J142" s="3" t="s">
        <v>3015</v>
      </c>
      <c r="K142" s="14">
        <v>175</v>
      </c>
      <c r="L142" s="3" t="str">
        <f ca="1">"a "&amp;VLOOKUP(RANDBETWEEN(1,22),POUCH,2)&amp;" containing "&amp;VLOOKUP(RANDBETWEEN(1,48),ING,2)&amp;", "&amp;VLOOKUP(RANDBETWEEN(1,48),ING,2)&amp;" &amp; "&amp;VLOOKUP(RANDBETWEEN(1,48),ING,2)</f>
        <v>a cistern containing petals of a rose, powdered glass &amp; Olus Veritis</v>
      </c>
      <c r="N142" s="3">
        <v>27</v>
      </c>
      <c r="O142" s="3" t="s">
        <v>319</v>
      </c>
      <c r="P142" s="3">
        <v>108</v>
      </c>
      <c r="Q142" s="2" t="s">
        <v>1294</v>
      </c>
      <c r="R142" s="7">
        <v>72</v>
      </c>
      <c r="T142" s="3">
        <v>2</v>
      </c>
      <c r="U142" s="3" t="s">
        <v>2322</v>
      </c>
      <c r="V142" s="3" t="s">
        <v>2323</v>
      </c>
      <c r="W142" s="3" t="s">
        <v>2330</v>
      </c>
    </row>
    <row r="143" spans="4:23" ht="78.75" x14ac:dyDescent="0.2">
      <c r="D143" s="3">
        <v>142</v>
      </c>
      <c r="E143" s="3" t="s">
        <v>546</v>
      </c>
      <c r="F143" s="3">
        <v>142</v>
      </c>
      <c r="G143" s="3" t="str">
        <f ca="1">"A carpet of spongy moss covers the path for "&amp;RANDBETWEEN(2,120)&amp;"yards."</f>
        <v>A carpet of spongy moss covers the path for 109yards.</v>
      </c>
      <c r="H143" s="3">
        <v>142</v>
      </c>
      <c r="I143" s="3" t="str">
        <f ca="1">"A rancher "&amp;VLOOKUP(RANDBETWEEN(1,119),Disposition,2)</f>
        <v>A rancher is trying to find out how to join a certain secret cult.</v>
      </c>
      <c r="J143" s="3" t="s">
        <v>3015</v>
      </c>
      <c r="K143" s="14">
        <v>176</v>
      </c>
      <c r="L143" s="3" t="str">
        <f ca="1">"a list: "&amp;VLOOKUP(RANDBETWEEN(1,50),ING,2)&amp;", "&amp;VLOOKUP(RANDBETWEEN(1,50),ING,2)&amp;", "&amp;VLOOKUP(RANDBETWEEN(1,50),ING,2)&amp;", "&amp;VLOOKUP(RANDBETWEEN(1,50),ING,2)&amp;", "&amp;VLOOKUP(RANDBETWEEN(1,50),ING,2)&amp;", "&amp;VLOOKUP(RANDBETWEEN(1,50),ING,2)&amp;", "&amp;VLOOKUP(RANDBETWEEN(1,50),ING,2)&amp;", "&amp;VLOOKUP(RANDBETWEEN(1,50),ING,2)&amp;", "&amp;VLOOKUP(RANDBETWEEN(1,50),ING,2)&amp;", "&amp;VLOOKUP(RANDBETWEEN(1,50),ING,2)&amp;", "&amp;VLOOKUP(RANDBETWEEN(1,50),ING,2)&amp;", "&amp;VLOOKUP(RANDBETWEEN(1,20),Bugs,2)&amp;", "&amp;VLOOKUP(RANDBETWEEN(1,50),ING,2)&amp;", "&amp;VLOOKUP(RANDBETWEEN(1,50),ING,2)&amp;" &amp; "&amp;VLOOKUP(RANDBETWEEN(1,50),ING,2)&amp;". All but the last three have been marked off."</f>
        <v>a list: gold dust, a glass eye, tobacco, a smokable narcotic, pepper, Olus Veritis, an egg, orange pips, a Black Feather, 15 glass bead(s)., petals of an uncommon flower, bees, Olus Veritis, chili peppers &amp; blueberries. All but the last three have been marked off.</v>
      </c>
      <c r="N143" s="3">
        <v>28</v>
      </c>
      <c r="O143" s="3" t="s">
        <v>321</v>
      </c>
      <c r="P143" s="3">
        <v>109</v>
      </c>
      <c r="Q143" s="2" t="s">
        <v>1295</v>
      </c>
      <c r="R143" s="7">
        <v>73</v>
      </c>
      <c r="T143" s="3">
        <v>3</v>
      </c>
      <c r="U143" s="3" t="s">
        <v>2325</v>
      </c>
      <c r="V143" s="3" t="s">
        <v>2326</v>
      </c>
      <c r="W143" s="3" t="s">
        <v>2333</v>
      </c>
    </row>
    <row r="144" spans="4:23" ht="31.5" x14ac:dyDescent="0.2">
      <c r="D144" s="3">
        <v>143</v>
      </c>
      <c r="E144" s="3" t="s">
        <v>1084</v>
      </c>
      <c r="F144" s="3">
        <v>143</v>
      </c>
      <c r="G144" s="3" t="s">
        <v>64</v>
      </c>
      <c r="H144" s="3">
        <v>143</v>
      </c>
      <c r="I144" s="3" t="str">
        <f ca="1">"A religious leader "&amp;VLOOKUP(RANDBETWEEN(1,119),Disposition,2)</f>
        <v>A religious leader is a fan {to the point of fanaticism} of a spectator sport of the time {jousting, cockfighting, bearbaiting, whatever} and has gotten into gambling/stalking trouble.</v>
      </c>
      <c r="J144" s="3" t="s">
        <v>3015</v>
      </c>
      <c r="K144" s="14">
        <v>177</v>
      </c>
      <c r="L144" s="3" t="str">
        <f ca="1">"a scrap of paper with '"&amp;VLOOKUP(RANDBETWEEN(1,26),LETTERS,2)&amp;VLOOKUP(RANDBETWEEN(1,26),LETTERS,2)&amp;VLOOKUP(RANDBETWEEN(1,26),LETTERS,2)&amp;"' written in faded ink"</f>
        <v>a scrap of paper with 'QRF' written in faded ink</v>
      </c>
      <c r="N144" s="3">
        <v>29</v>
      </c>
      <c r="O144" s="3" t="s">
        <v>335</v>
      </c>
      <c r="P144" s="3">
        <v>110</v>
      </c>
      <c r="Q144" s="2" t="s">
        <v>1297</v>
      </c>
      <c r="R144" s="7">
        <v>74</v>
      </c>
      <c r="T144" s="3">
        <v>4</v>
      </c>
      <c r="U144" s="3" t="s">
        <v>2328</v>
      </c>
      <c r="V144" s="3" t="s">
        <v>2329</v>
      </c>
      <c r="W144" s="3" t="s">
        <v>2336</v>
      </c>
    </row>
    <row r="145" spans="4:23" ht="31.5" x14ac:dyDescent="0.2">
      <c r="D145" s="3">
        <v>144</v>
      </c>
      <c r="E145" s="3" t="s">
        <v>502</v>
      </c>
      <c r="F145" s="3">
        <v>144</v>
      </c>
      <c r="G145" s="3" t="s">
        <v>622</v>
      </c>
      <c r="H145" s="3">
        <v>144</v>
      </c>
      <c r="I145" s="1" t="str">
        <f ca="1">"A reporter "&amp;VLOOKUP(RANDBETWEEN(1,119),Disposition,2)</f>
        <v>A reporter is an informant for the local thieves' guild with nothing to report and is ready to make something up.</v>
      </c>
      <c r="J145" s="1" t="s">
        <v>3015</v>
      </c>
      <c r="K145" s="14">
        <v>178</v>
      </c>
      <c r="L145" s="3" t="str">
        <f ca="1">"a scrap of paper with '"&amp;VLOOKUP(RANDBETWEEN(1,233),NAME,2)&amp;" "&amp;VLOOKUP(RANDBETWEEN(1,26),LETTERS,2)&amp;VLOOKUP(RANDBETWEEN(1,26),LETTERS,2)&amp;"' written in faded ink on it"</f>
        <v>a scrap of paper with 'Damico VF' written in faded ink on it</v>
      </c>
      <c r="N145" s="3">
        <v>30</v>
      </c>
      <c r="O145" s="3" t="s">
        <v>61</v>
      </c>
      <c r="P145" s="3">
        <v>111</v>
      </c>
      <c r="Q145" s="2" t="s">
        <v>1299</v>
      </c>
      <c r="R145" s="7">
        <v>75</v>
      </c>
      <c r="T145" s="3">
        <v>5</v>
      </c>
      <c r="U145" s="3" t="s">
        <v>2331</v>
      </c>
      <c r="V145" s="3" t="s">
        <v>2332</v>
      </c>
      <c r="W145" s="3" t="s">
        <v>2339</v>
      </c>
    </row>
    <row r="146" spans="4:23" ht="31.5" x14ac:dyDescent="0.2">
      <c r="D146" s="3">
        <v>145</v>
      </c>
      <c r="E146" s="3" t="s">
        <v>693</v>
      </c>
      <c r="F146" s="3">
        <v>145</v>
      </c>
      <c r="G146" s="3" t="s">
        <v>286</v>
      </c>
      <c r="H146" s="3">
        <v>145</v>
      </c>
      <c r="I146" s="3" t="str">
        <f ca="1">"A stage driver "&amp;VLOOKUP(RANDBETWEEN(1,119),Disposition,2)</f>
        <v>A stage driver is being held captive in his/her own home.</v>
      </c>
      <c r="J146" s="3" t="s">
        <v>3015</v>
      </c>
      <c r="K146" s="14">
        <v>179</v>
      </c>
      <c r="L146" s="3" t="str">
        <f ca="1">"a scrap of paper with '"&amp;VLOOKUP(RANDBETWEEN(1,233),NAME,2)&amp;", "&amp;VLOOKUP(RANDBETWEEN(1,108),Place,2)&amp;" - "&amp;VLOOKUP(RANDBETWEEN(1,26),LETTERS,2)&amp;"' written in faded ink"</f>
        <v>a scrap of paper with 'McCloud, Shoe Store/Cobbler - L' written in faded ink</v>
      </c>
      <c r="P146" s="3">
        <v>112</v>
      </c>
      <c r="Q146" s="2" t="s">
        <v>1301</v>
      </c>
      <c r="R146" s="7">
        <v>76</v>
      </c>
      <c r="S146" s="3" t="s">
        <v>1231</v>
      </c>
      <c r="T146" s="3">
        <v>6</v>
      </c>
      <c r="U146" s="3" t="s">
        <v>2334</v>
      </c>
      <c r="V146" s="3" t="s">
        <v>2335</v>
      </c>
      <c r="W146" s="3" t="s">
        <v>2342</v>
      </c>
    </row>
    <row r="147" spans="4:23" ht="63" x14ac:dyDescent="0.2">
      <c r="D147" s="3">
        <v>146</v>
      </c>
      <c r="E147" s="3" t="s">
        <v>488</v>
      </c>
      <c r="F147" s="3">
        <v>146</v>
      </c>
      <c r="G147" s="3" t="s">
        <v>287</v>
      </c>
      <c r="H147" s="3">
        <v>146</v>
      </c>
      <c r="I147" s="3" t="str">
        <f ca="1">"A stage guard "&amp;VLOOKUP(RANDBETWEEN(1,119),Disposition,2)</f>
        <v>A stage guard is part of a group of traveling musicians seeking a benefactor.</v>
      </c>
      <c r="J147" s="3" t="s">
        <v>3015</v>
      </c>
      <c r="K147" s="14">
        <v>180</v>
      </c>
      <c r="L147" s="3" t="str">
        <f ca="1">"a scrap of paper with '"&amp;VLOOKUP(RANDBETWEEN(1,233),NAME,2)&amp;", "&amp;VLOOKUP(RANDBETWEEN(1,108),Place,2)&amp;" - "&amp;VLOOKUP(RANDBETWEEN(1,100),profession,2)&amp;"' written in faded ink"</f>
        <v>a scrap of paper with 'Brooks, Grocer - Entertainer' written in faded ink</v>
      </c>
      <c r="O147" s="22" t="s">
        <v>923</v>
      </c>
      <c r="P147" s="3">
        <v>113</v>
      </c>
      <c r="Q147" s="2" t="s">
        <v>1303</v>
      </c>
      <c r="R147" s="7">
        <v>77</v>
      </c>
      <c r="S147" s="3" t="s">
        <v>1232</v>
      </c>
      <c r="T147" s="3">
        <v>7</v>
      </c>
      <c r="U147" s="3" t="s">
        <v>2337</v>
      </c>
      <c r="V147" s="3" t="s">
        <v>2338</v>
      </c>
      <c r="W147" s="3" t="s">
        <v>2345</v>
      </c>
    </row>
    <row r="148" spans="4:23" ht="31.5" x14ac:dyDescent="0.2">
      <c r="D148" s="3">
        <v>147</v>
      </c>
      <c r="E148" s="3" t="s">
        <v>509</v>
      </c>
      <c r="F148" s="3">
        <v>147</v>
      </c>
      <c r="G148" s="3" t="s">
        <v>68</v>
      </c>
      <c r="H148" s="3">
        <v>147</v>
      </c>
      <c r="I148" s="3" t="str">
        <f ca="1">"A teamster "&amp;VLOOKUP(RANDBETWEEN(1,119),Disposition,2)</f>
        <v>A teamster is celibate/chaste, but always attracts the opposite sex.</v>
      </c>
      <c r="J148" s="3" t="s">
        <v>3015</v>
      </c>
      <c r="K148" s="14">
        <v>181</v>
      </c>
      <c r="L148" s="3" t="s">
        <v>2064</v>
      </c>
      <c r="N148" s="3">
        <v>1</v>
      </c>
      <c r="O148" s="3" t="s">
        <v>2116</v>
      </c>
      <c r="P148" s="3">
        <v>114</v>
      </c>
      <c r="Q148" s="2" t="s">
        <v>1305</v>
      </c>
      <c r="R148" s="7">
        <v>78</v>
      </c>
      <c r="S148" s="3" t="s">
        <v>2299</v>
      </c>
      <c r="T148" s="3">
        <v>8</v>
      </c>
      <c r="U148" s="3" t="s">
        <v>2340</v>
      </c>
      <c r="V148" s="3" t="s">
        <v>2341</v>
      </c>
      <c r="W148" s="3" t="s">
        <v>2348</v>
      </c>
    </row>
    <row r="149" spans="4:23" ht="31.5" x14ac:dyDescent="0.2">
      <c r="D149" s="3">
        <v>148</v>
      </c>
      <c r="E149" s="3" t="s">
        <v>694</v>
      </c>
      <c r="F149" s="3">
        <v>148</v>
      </c>
      <c r="G149" s="3" t="s">
        <v>589</v>
      </c>
      <c r="H149" s="3">
        <v>148</v>
      </c>
      <c r="I149" s="3" t="str">
        <f ca="1">"A Thief "&amp;VLOOKUP(RANDBETWEEN(1,119),Disposition,2)</f>
        <v>A Thief is a doctor who unwittingly spreads a deadly plague even while trying desperately to find the cure.</v>
      </c>
      <c r="J149" s="3" t="s">
        <v>3015</v>
      </c>
      <c r="K149" s="14">
        <v>182</v>
      </c>
      <c r="L149" s="3" t="str">
        <f ca="1">"a folded sheet of parchemnt with '"&amp;RANDBETWEEN(1,9)&amp;RANDBETWEEN(1,9)*RANDBETWEEN(1,9)*RANDBETWEEN(1,9)&amp;" "&amp;VLOOKUP(RANDBETWEEN(1,233),NAME,2)&amp;" "&amp;VLOOKUP(RANDBETWEEN(1,10),STREET,2)&amp;"' written on it"</f>
        <v>a folded sheet of parchemnt with '3128 Lawson Avenue' written on it</v>
      </c>
      <c r="N149" s="3">
        <v>2</v>
      </c>
      <c r="O149" s="3" t="s">
        <v>355</v>
      </c>
      <c r="P149" s="3">
        <v>115</v>
      </c>
      <c r="Q149" s="2" t="s">
        <v>1307</v>
      </c>
      <c r="R149" s="7">
        <v>79</v>
      </c>
      <c r="S149" s="3" t="s">
        <v>1233</v>
      </c>
      <c r="T149" s="3">
        <v>9</v>
      </c>
      <c r="U149" s="3" t="s">
        <v>2343</v>
      </c>
      <c r="V149" s="3" t="s">
        <v>2344</v>
      </c>
      <c r="W149" s="3" t="s">
        <v>2351</v>
      </c>
    </row>
    <row r="150" spans="4:23" ht="31.5" x14ac:dyDescent="0.2">
      <c r="D150" s="3">
        <v>149</v>
      </c>
      <c r="E150" s="3" t="s">
        <v>2737</v>
      </c>
      <c r="F150" s="3">
        <v>149</v>
      </c>
      <c r="G150" s="3" t="s">
        <v>347</v>
      </c>
      <c r="H150" s="3">
        <v>149</v>
      </c>
      <c r="I150" s="3" t="str">
        <f ca="1">"A town sheriff "&amp;VLOOKUP(RANDBETWEEN(1,119),Disposition,2)</f>
        <v>A town sheriff is collecting parlor games from across the lands.</v>
      </c>
      <c r="J150" s="3" t="s">
        <v>3015</v>
      </c>
      <c r="K150" s="14">
        <v>183</v>
      </c>
      <c r="L150" s="3" t="s">
        <v>2065</v>
      </c>
      <c r="N150" s="3">
        <v>3</v>
      </c>
      <c r="O150" s="3" t="s">
        <v>2121</v>
      </c>
      <c r="P150" s="3">
        <v>116</v>
      </c>
      <c r="Q150" s="2" t="s">
        <v>1308</v>
      </c>
      <c r="R150" s="7">
        <v>80</v>
      </c>
      <c r="S150" s="3" t="s">
        <v>1234</v>
      </c>
      <c r="T150" s="3">
        <v>10</v>
      </c>
      <c r="U150" s="3" t="s">
        <v>2346</v>
      </c>
      <c r="V150" s="3" t="s">
        <v>2347</v>
      </c>
      <c r="W150" s="3" t="s">
        <v>2354</v>
      </c>
    </row>
    <row r="151" spans="4:23" ht="63" x14ac:dyDescent="0.2">
      <c r="D151" s="3">
        <v>150</v>
      </c>
      <c r="E151" s="3" t="s">
        <v>695</v>
      </c>
      <c r="F151" s="3">
        <v>150</v>
      </c>
      <c r="G151" s="8" t="s">
        <v>166</v>
      </c>
      <c r="H151" s="3">
        <v>150</v>
      </c>
      <c r="I151" s="3" t="str">
        <f ca="1">"A well dressed man "&amp;VLOOKUP(RANDBETWEEN(1,119),Disposition,2)</f>
        <v>A well dressed man acts as a local guide to the Posse.</v>
      </c>
      <c r="J151" s="3" t="s">
        <v>3015</v>
      </c>
      <c r="K151" s="14">
        <v>184</v>
      </c>
      <c r="L151" s="3" t="s">
        <v>2066</v>
      </c>
      <c r="N151" s="3">
        <v>4</v>
      </c>
      <c r="O151" s="3" t="s">
        <v>358</v>
      </c>
      <c r="P151" s="3">
        <v>117</v>
      </c>
      <c r="Q151" s="2" t="s">
        <v>1310</v>
      </c>
      <c r="R151" s="7">
        <v>81</v>
      </c>
      <c r="S151" s="3" t="s">
        <v>1235</v>
      </c>
      <c r="T151" s="3">
        <v>11</v>
      </c>
      <c r="U151" s="3" t="s">
        <v>2349</v>
      </c>
      <c r="V151" s="3" t="s">
        <v>2350</v>
      </c>
      <c r="W151" s="3" t="s">
        <v>2357</v>
      </c>
    </row>
    <row r="152" spans="4:23" ht="63" x14ac:dyDescent="0.2">
      <c r="D152" s="3">
        <v>151</v>
      </c>
      <c r="E152" s="3" t="s">
        <v>207</v>
      </c>
      <c r="F152" s="3">
        <v>151</v>
      </c>
      <c r="G152" s="3" t="s">
        <v>254</v>
      </c>
      <c r="H152" s="3">
        <v>151</v>
      </c>
      <c r="I152" s="1" t="str">
        <f ca="1">"An 'Informant' "&amp;VLOOKUP(RANDBETWEEN(1,119),Disposition,2)</f>
        <v>An 'Informant' is a Spy keeping tabs on the Posse for local leader or powerful NPC.</v>
      </c>
      <c r="J152" s="1" t="s">
        <v>3015</v>
      </c>
      <c r="K152" s="14">
        <v>185</v>
      </c>
      <c r="L152" s="3" t="s">
        <v>2991</v>
      </c>
      <c r="N152" s="3">
        <v>5</v>
      </c>
      <c r="O152" s="3" t="s">
        <v>365</v>
      </c>
      <c r="P152" s="3">
        <v>118</v>
      </c>
      <c r="Q152" s="2" t="s">
        <v>1311</v>
      </c>
      <c r="R152" s="7">
        <v>82</v>
      </c>
      <c r="S152" s="3" t="s">
        <v>1236</v>
      </c>
      <c r="T152" s="3">
        <v>12</v>
      </c>
      <c r="U152" s="3" t="s">
        <v>2352</v>
      </c>
      <c r="V152" s="3" t="s">
        <v>2353</v>
      </c>
      <c r="W152" s="3" t="s">
        <v>2360</v>
      </c>
    </row>
    <row r="153" spans="4:23" ht="31.5" x14ac:dyDescent="0.2">
      <c r="D153" s="3">
        <v>152</v>
      </c>
      <c r="E153" s="3" t="s">
        <v>696</v>
      </c>
      <c r="F153" s="3">
        <v>152</v>
      </c>
      <c r="G153" s="3" t="s">
        <v>7</v>
      </c>
      <c r="H153" s="3">
        <v>152</v>
      </c>
      <c r="I153" s="1" t="str">
        <f ca="1">"A grizzled old man "&amp;VLOOKUP(RANDBETWEEN(1,119),Disposition,2)</f>
        <v>A grizzled old man fears he's being watched and is looking for someone who he can trust to recover a valuable object buried nearby.</v>
      </c>
      <c r="J153" s="1" t="s">
        <v>3015</v>
      </c>
      <c r="K153" s="14">
        <v>186</v>
      </c>
      <c r="L153" s="3" t="s">
        <v>2067</v>
      </c>
      <c r="N153" s="3">
        <v>6</v>
      </c>
      <c r="O153" s="3" t="s">
        <v>94</v>
      </c>
      <c r="P153" s="3">
        <v>119</v>
      </c>
      <c r="Q153" s="2" t="s">
        <v>1313</v>
      </c>
      <c r="R153" s="7">
        <v>83</v>
      </c>
      <c r="S153" s="3" t="s">
        <v>1237</v>
      </c>
      <c r="T153" s="3">
        <v>13</v>
      </c>
      <c r="U153" s="3" t="s">
        <v>2355</v>
      </c>
      <c r="V153" s="3" t="s">
        <v>2356</v>
      </c>
      <c r="W153" s="3" t="s">
        <v>2363</v>
      </c>
    </row>
    <row r="154" spans="4:23" ht="47.25" x14ac:dyDescent="0.2">
      <c r="D154" s="3">
        <v>153</v>
      </c>
      <c r="E154" s="3" t="s">
        <v>525</v>
      </c>
      <c r="F154" s="3">
        <v>153</v>
      </c>
      <c r="G154" s="3" t="s">
        <v>398</v>
      </c>
      <c r="H154" s="3">
        <v>153</v>
      </c>
      <c r="I154" s="3" t="str">
        <f ca="1">"A storyteller "&amp;VLOOKUP(RANDBETWEEN(1,119),Disposition,2)</f>
        <v>A storyteller is on a personal quest for power and has made dark pacts with evil outsiders to accomplish this end.</v>
      </c>
      <c r="J154" s="3" t="s">
        <v>3015</v>
      </c>
      <c r="K154" s="14">
        <v>187</v>
      </c>
      <c r="L154" s="3" t="s">
        <v>2068</v>
      </c>
      <c r="N154" s="3">
        <v>7</v>
      </c>
      <c r="O154" s="3" t="s">
        <v>370</v>
      </c>
      <c r="P154" s="3">
        <v>120</v>
      </c>
      <c r="Q154" s="2" t="s">
        <v>1315</v>
      </c>
      <c r="R154" s="7">
        <v>84</v>
      </c>
      <c r="S154" s="3" t="s">
        <v>1238</v>
      </c>
      <c r="T154" s="3">
        <v>14</v>
      </c>
      <c r="U154" s="3" t="s">
        <v>2358</v>
      </c>
      <c r="V154" s="3" t="s">
        <v>2359</v>
      </c>
      <c r="W154" s="3" t="s">
        <v>2366</v>
      </c>
    </row>
    <row r="155" spans="4:23" ht="63" x14ac:dyDescent="0.2">
      <c r="D155" s="3">
        <v>154</v>
      </c>
      <c r="E155" s="3" t="s">
        <v>697</v>
      </c>
      <c r="F155" s="3">
        <v>154</v>
      </c>
      <c r="G155" s="3" t="s">
        <v>433</v>
      </c>
      <c r="H155" s="3">
        <v>154</v>
      </c>
      <c r="I155" s="3" t="str">
        <f ca="1">"Ol' Man "&amp;VLOOKUP(RANDBETWEEN(1,83),NAME,2)&amp;" "&amp;VLOOKUP(RANDBETWEEN(1,119),Disposition,2)</f>
        <v>Ol' Man McAlister at first sight, falls madly in love with one of the Posse members and becomes obsessive/stalks.</v>
      </c>
      <c r="J155" s="3" t="s">
        <v>3015</v>
      </c>
      <c r="K155" s="14">
        <v>188</v>
      </c>
      <c r="L155" s="3" t="str">
        <f ca="1">"a jackalope foot "&amp;VLOOKUP(RANDBETWEEN(1,2),LUCK,2)</f>
        <v>a jackalope foot (un-lucky)</v>
      </c>
      <c r="N155" s="3">
        <v>8</v>
      </c>
      <c r="O155" s="3" t="s">
        <v>92</v>
      </c>
      <c r="P155" s="3">
        <v>121</v>
      </c>
      <c r="Q155" s="2" t="s">
        <v>1317</v>
      </c>
      <c r="R155" s="7">
        <v>85</v>
      </c>
      <c r="S155" s="3" t="s">
        <v>1239</v>
      </c>
      <c r="T155" s="3">
        <v>15</v>
      </c>
      <c r="U155" s="3" t="s">
        <v>2361</v>
      </c>
      <c r="V155" s="3" t="s">
        <v>2362</v>
      </c>
      <c r="W155" s="3" t="s">
        <v>2369</v>
      </c>
    </row>
    <row r="156" spans="4:23" ht="47.25" x14ac:dyDescent="0.2">
      <c r="D156" s="3">
        <v>155</v>
      </c>
      <c r="E156" s="3" t="s">
        <v>495</v>
      </c>
      <c r="F156" s="3">
        <v>155</v>
      </c>
      <c r="G156" s="3" t="s">
        <v>576</v>
      </c>
      <c r="H156" s="3">
        <v>155</v>
      </c>
      <c r="I156" s="3" t="str">
        <f ca="1">"The shopkeep "&amp;VLOOKUP(RANDBETWEEN(1,119),Disposition,2)</f>
        <v>The shopkeep is tracking down a villain and vows to kill him/her/it.</v>
      </c>
      <c r="J156" s="3" t="s">
        <v>3015</v>
      </c>
      <c r="K156" s="14">
        <v>189</v>
      </c>
      <c r="L156" s="3" t="str">
        <f ca="1">VLOOKUP(RANDBETWEEN(1,6),Chess,2)</f>
        <v>a black bishop (non-magical)</v>
      </c>
      <c r="N156" s="3">
        <v>9</v>
      </c>
      <c r="O156" s="3" t="s">
        <v>2115</v>
      </c>
      <c r="P156" s="3">
        <v>122</v>
      </c>
      <c r="Q156" s="2" t="s">
        <v>1319</v>
      </c>
      <c r="R156" s="7">
        <v>86</v>
      </c>
      <c r="S156" s="3" t="s">
        <v>1240</v>
      </c>
      <c r="T156" s="3">
        <v>16</v>
      </c>
      <c r="U156" s="3" t="s">
        <v>2364</v>
      </c>
      <c r="V156" s="3" t="s">
        <v>2365</v>
      </c>
      <c r="W156" s="3" t="s">
        <v>2372</v>
      </c>
    </row>
    <row r="157" spans="4:23" ht="31.5" x14ac:dyDescent="0.2">
      <c r="D157" s="3">
        <v>156</v>
      </c>
      <c r="E157" s="3" t="s">
        <v>698</v>
      </c>
      <c r="F157" s="3">
        <v>156</v>
      </c>
      <c r="G157" s="3" t="str">
        <f ca="1">"A decaying body crawling with "&amp;VLOOKUP(RANDBETWEEN(24,30),Bugs,2)&amp;" lies just off the road."</f>
        <v>A decaying body crawling with ants lies just off the road.</v>
      </c>
      <c r="H157" s="3">
        <v>156</v>
      </c>
      <c r="I157" s="3" t="str">
        <f ca="1">"The shopkeep "&amp;VLOOKUP(RANDBETWEEN(1,40),wilderness,2)</f>
        <v>The shopkeep rounding up cattle.</v>
      </c>
      <c r="J157" s="3" t="s">
        <v>3015</v>
      </c>
      <c r="K157" s="14">
        <v>190</v>
      </c>
      <c r="L157" s="3" t="s">
        <v>2069</v>
      </c>
      <c r="N157" s="3">
        <v>10</v>
      </c>
      <c r="O157" s="3" t="s">
        <v>360</v>
      </c>
      <c r="P157" s="3">
        <v>123</v>
      </c>
      <c r="Q157" s="2" t="s">
        <v>1321</v>
      </c>
      <c r="R157" s="7">
        <v>87</v>
      </c>
      <c r="S157" s="3" t="s">
        <v>1241</v>
      </c>
      <c r="T157" s="3">
        <v>17</v>
      </c>
      <c r="U157" s="3" t="s">
        <v>2367</v>
      </c>
      <c r="V157" s="3" t="s">
        <v>2368</v>
      </c>
      <c r="W157" s="3" t="s">
        <v>2341</v>
      </c>
    </row>
    <row r="158" spans="4:23" ht="94.5" x14ac:dyDescent="0.2">
      <c r="D158" s="3">
        <v>157</v>
      </c>
      <c r="E158" s="3" t="s">
        <v>530</v>
      </c>
      <c r="F158" s="3">
        <v>157</v>
      </c>
      <c r="G158" s="8" t="s">
        <v>164</v>
      </c>
      <c r="H158" s="3">
        <v>157</v>
      </c>
      <c r="I158" s="3" t="str">
        <f ca="1">"The shopkeep "&amp;VLOOKUP(RANDBETWEEN(1,40),town,2)</f>
        <v>The shopkeep delivering mail.</v>
      </c>
      <c r="J158" s="3" t="s">
        <v>3015</v>
      </c>
      <c r="K158" s="14">
        <v>191</v>
      </c>
      <c r="L158" s="3" t="s">
        <v>1960</v>
      </c>
      <c r="N158" s="3">
        <v>11</v>
      </c>
      <c r="O158" s="3" t="s">
        <v>356</v>
      </c>
      <c r="P158" s="3">
        <v>124</v>
      </c>
      <c r="Q158" s="2" t="s">
        <v>1323</v>
      </c>
      <c r="R158" s="7">
        <v>88</v>
      </c>
      <c r="S158" s="3" t="s">
        <v>1242</v>
      </c>
      <c r="T158" s="3">
        <v>18</v>
      </c>
      <c r="U158" s="3" t="s">
        <v>2370</v>
      </c>
      <c r="V158" s="3" t="s">
        <v>2371</v>
      </c>
      <c r="W158" s="3" t="s">
        <v>2377</v>
      </c>
    </row>
    <row r="159" spans="4:23" x14ac:dyDescent="0.2">
      <c r="D159" s="3">
        <v>158</v>
      </c>
      <c r="E159" s="3" t="s">
        <v>699</v>
      </c>
      <c r="F159" s="3">
        <v>158</v>
      </c>
      <c r="G159" s="3" t="s">
        <v>404</v>
      </c>
      <c r="H159" s="3">
        <v>158</v>
      </c>
      <c r="I159" s="3" t="s">
        <v>246</v>
      </c>
      <c r="J159" s="3" t="s">
        <v>3016</v>
      </c>
      <c r="K159" s="14">
        <v>192</v>
      </c>
      <c r="L159" s="3" t="str">
        <f ca="1">"a bag with "&amp;RANDBETWEEN(3,36)&amp;" marbles"</f>
        <v>a bag with 28 marbles</v>
      </c>
      <c r="N159" s="3">
        <v>12</v>
      </c>
      <c r="O159" s="3" t="s">
        <v>2118</v>
      </c>
      <c r="P159" s="3">
        <v>125</v>
      </c>
      <c r="Q159" s="2" t="s">
        <v>1325</v>
      </c>
      <c r="R159" s="7">
        <v>89</v>
      </c>
      <c r="S159" s="3" t="s">
        <v>1243</v>
      </c>
      <c r="T159" s="3">
        <v>19</v>
      </c>
      <c r="U159" s="3" t="s">
        <v>2373</v>
      </c>
      <c r="V159" s="3" t="s">
        <v>2374</v>
      </c>
      <c r="W159" s="3" t="s">
        <v>2380</v>
      </c>
    </row>
    <row r="160" spans="4:23" ht="31.5" x14ac:dyDescent="0.2">
      <c r="D160" s="3">
        <v>159</v>
      </c>
      <c r="E160" s="3" t="str">
        <f ca="1">"An Indian woman "&amp;VLOOKUP(RANDBETWEEN(1,40),town,2)</f>
        <v>An Indian woman insulting ranchers.</v>
      </c>
      <c r="F160" s="3">
        <v>159</v>
      </c>
      <c r="G160" s="3" t="s">
        <v>62</v>
      </c>
      <c r="H160" s="3">
        <v>159</v>
      </c>
      <c r="I160" s="3" t="str">
        <f ca="1">"A "&amp;VLOOKUP(RANDBETWEEN(1,6),trait,2)&amp;"Shootist with a chip on his shoulder, ready and willing to fight at any percieved slight…"</f>
        <v>A smart Shootist with a chip on his shoulder, ready and willing to fight at any percieved slight…</v>
      </c>
      <c r="J160" s="3" t="s">
        <v>3016</v>
      </c>
      <c r="K160" s="14">
        <v>193</v>
      </c>
      <c r="L160" s="3" t="str">
        <f ca="1">"a(n) "&amp;VLOOKUP(RANDBETWEEN(1,5),FILL,2)&amp;" hip flask of "&amp;VLOOKUP(RANDBETWEEN(10,22),DRINKS,2)</f>
        <v>a(n) half full hip flask of Horseshoe Whiskey</v>
      </c>
      <c r="N160" s="3">
        <v>13</v>
      </c>
      <c r="O160" s="3" t="str">
        <f ca="1">VLOOKUP(RANDBETWEEN(1,7),animal,2)</f>
        <v>donkey</v>
      </c>
      <c r="P160" s="3">
        <v>126</v>
      </c>
      <c r="Q160" s="2" t="s">
        <v>1327</v>
      </c>
      <c r="R160" s="7">
        <v>90</v>
      </c>
      <c r="S160" s="3" t="s">
        <v>1244</v>
      </c>
      <c r="T160" s="3">
        <v>20</v>
      </c>
      <c r="U160" s="3" t="s">
        <v>2375</v>
      </c>
      <c r="V160" s="3" t="s">
        <v>2376</v>
      </c>
      <c r="W160" s="3" t="s">
        <v>2383</v>
      </c>
    </row>
    <row r="161" spans="4:23" ht="47.25" x14ac:dyDescent="0.2">
      <c r="D161" s="3">
        <v>160</v>
      </c>
      <c r="E161" s="1" t="str">
        <f ca="1">"An 'Informant' seems to know all about someone, something, or someplace and is willing to share it with the Posse… For a Price {$"&amp;(RANDBETWEEN(2,40)*0.5)&amp;"}."</f>
        <v>An 'Informant' seems to know all about someone, something, or someplace and is willing to share it with the Posse… For a Price {$20}.</v>
      </c>
      <c r="F161" s="3">
        <v>160</v>
      </c>
      <c r="G161" s="3" t="s">
        <v>204</v>
      </c>
      <c r="H161" s="3">
        <v>160</v>
      </c>
      <c r="I161" s="2" t="s">
        <v>427</v>
      </c>
      <c r="J161" s="2" t="s">
        <v>3016</v>
      </c>
      <c r="K161" s="14">
        <v>194</v>
      </c>
      <c r="L161" s="3" t="str">
        <f ca="1">RANDBETWEEN(2,20)&amp;" bobby pins"</f>
        <v>7 bobby pins</v>
      </c>
      <c r="N161" s="3">
        <v>14</v>
      </c>
      <c r="O161" s="3" t="s">
        <v>364</v>
      </c>
      <c r="P161" s="3">
        <v>127</v>
      </c>
      <c r="Q161" s="2" t="s">
        <v>1329</v>
      </c>
      <c r="R161" s="7">
        <v>91</v>
      </c>
      <c r="S161" s="3" t="s">
        <v>1245</v>
      </c>
      <c r="T161" s="3">
        <v>21</v>
      </c>
      <c r="U161" s="3" t="s">
        <v>2378</v>
      </c>
      <c r="V161" s="3" t="s">
        <v>2379</v>
      </c>
      <c r="W161" s="3" t="s">
        <v>2385</v>
      </c>
    </row>
    <row r="162" spans="4:23" ht="31.5" x14ac:dyDescent="0.2">
      <c r="D162" s="3">
        <v>161</v>
      </c>
      <c r="E162" s="3" t="s">
        <v>700</v>
      </c>
      <c r="F162" s="3">
        <v>161</v>
      </c>
      <c r="G162" s="3" t="s">
        <v>74</v>
      </c>
      <c r="H162" s="3">
        <v>161</v>
      </c>
      <c r="I162" s="3" t="str">
        <f ca="1">"A "&amp;VLOOKUP(RANDBETWEEN(1,2),Civil,2)&amp;" cavalry scout "&amp;VLOOKUP(RANDBETWEEN(1,40),town,2)</f>
        <v>A Union cavalry scout delivering mail.</v>
      </c>
      <c r="J162" s="3" t="s">
        <v>3016</v>
      </c>
      <c r="K162" s="14">
        <v>195</v>
      </c>
      <c r="L162" s="3" t="s">
        <v>2133</v>
      </c>
      <c r="N162" s="3">
        <v>15</v>
      </c>
      <c r="O162" s="3" t="s">
        <v>363</v>
      </c>
      <c r="P162" s="3">
        <v>128</v>
      </c>
      <c r="Q162" s="2" t="s">
        <v>1330</v>
      </c>
      <c r="R162" s="7">
        <v>92</v>
      </c>
      <c r="S162" s="3" t="s">
        <v>1246</v>
      </c>
      <c r="T162" s="3">
        <v>22</v>
      </c>
      <c r="U162" s="3" t="s">
        <v>2381</v>
      </c>
      <c r="V162" s="3" t="s">
        <v>2382</v>
      </c>
      <c r="W162" s="3" t="s">
        <v>2387</v>
      </c>
    </row>
    <row r="163" spans="4:23" ht="47.25" x14ac:dyDescent="0.2">
      <c r="D163" s="3">
        <v>162</v>
      </c>
      <c r="E163" s="3" t="str">
        <f ca="1">"An old battered suitcase lies quite purposely but casually placed on a gutter. If opened, it reveals $"&amp;RANDBETWEEN(100,1000)&amp;", a loaded revolver and a picture of the person to be killed."</f>
        <v>An old battered suitcase lies quite purposely but casually placed on a gutter. If opened, it reveals $609, a loaded revolver and a picture of the person to be killed.</v>
      </c>
      <c r="F163" s="3">
        <v>162</v>
      </c>
      <c r="G163" s="3" t="s">
        <v>21</v>
      </c>
      <c r="H163" s="3">
        <v>162</v>
      </c>
      <c r="I163" s="3" t="str">
        <f ca="1">"A "&amp;VLOOKUP(RANDBETWEEN(1,2),Civil,2)&amp;" cavalry scout "&amp;VLOOKUP(RANDBETWEEN(1,40),wilderness,2)</f>
        <v>A Union cavalry scout setting an ambush.</v>
      </c>
      <c r="J163" s="3" t="s">
        <v>3016</v>
      </c>
      <c r="K163" s="14">
        <v>196</v>
      </c>
      <c r="L163" s="3" t="s">
        <v>1961</v>
      </c>
      <c r="N163" s="3">
        <v>16</v>
      </c>
      <c r="O163" s="3" t="str">
        <f ca="1">VLOOKUP(RANDBETWEEN(1,20),critter,2)</f>
        <v>rabbit</v>
      </c>
      <c r="P163" s="3">
        <v>129</v>
      </c>
      <c r="Q163" s="2" t="s">
        <v>1332</v>
      </c>
      <c r="R163" s="7">
        <v>93</v>
      </c>
      <c r="S163" s="3" t="s">
        <v>1247</v>
      </c>
      <c r="T163" s="3">
        <v>23</v>
      </c>
      <c r="U163" s="3" t="s">
        <v>2384</v>
      </c>
      <c r="V163" s="3" t="s">
        <v>2382</v>
      </c>
      <c r="W163" s="3" t="s">
        <v>2389</v>
      </c>
    </row>
    <row r="164" spans="4:23" ht="31.5" x14ac:dyDescent="0.2">
      <c r="D164" s="3">
        <v>163</v>
      </c>
      <c r="E164" s="3" t="s">
        <v>453</v>
      </c>
      <c r="F164" s="3">
        <v>163</v>
      </c>
      <c r="G164" s="3" t="s">
        <v>249</v>
      </c>
      <c r="H164" s="3">
        <v>163</v>
      </c>
      <c r="I164" s="3" t="s">
        <v>834</v>
      </c>
      <c r="J164" s="3" t="s">
        <v>3016</v>
      </c>
      <c r="K164" s="14">
        <v>197</v>
      </c>
      <c r="L164" s="3" t="s">
        <v>1962</v>
      </c>
      <c r="N164" s="3">
        <v>17</v>
      </c>
      <c r="O164" s="3" t="s">
        <v>229</v>
      </c>
      <c r="P164" s="3">
        <v>130</v>
      </c>
      <c r="Q164" s="2" t="s">
        <v>1334</v>
      </c>
      <c r="R164" s="7">
        <v>94</v>
      </c>
      <c r="S164" s="3" t="s">
        <v>1248</v>
      </c>
      <c r="T164" s="3">
        <v>24</v>
      </c>
      <c r="U164" s="3" t="s">
        <v>2386</v>
      </c>
      <c r="V164" s="3" t="s">
        <v>2382</v>
      </c>
      <c r="W164" s="3" t="s">
        <v>2391</v>
      </c>
    </row>
    <row r="165" spans="4:23" ht="47.25" x14ac:dyDescent="0.2">
      <c r="D165" s="3">
        <v>164</v>
      </c>
      <c r="E165" s="3" t="s">
        <v>701</v>
      </c>
      <c r="F165" s="3">
        <v>164</v>
      </c>
      <c r="G165" s="1" t="str">
        <f ca="1">"A freight-wagon train "&amp;VLOOKUP(RANDBETWEEN(1,40),wilderness,2)</f>
        <v>A freight-wagon train delivering a parcel.</v>
      </c>
      <c r="H165" s="3">
        <v>164</v>
      </c>
      <c r="I165" s="3" t="s">
        <v>2708</v>
      </c>
      <c r="J165" s="3" t="s">
        <v>3016</v>
      </c>
      <c r="K165" s="14">
        <v>198</v>
      </c>
      <c r="L165" s="3" t="s">
        <v>1963</v>
      </c>
      <c r="N165" s="3">
        <v>18</v>
      </c>
      <c r="O165" s="3" t="s">
        <v>359</v>
      </c>
      <c r="P165" s="3">
        <v>131</v>
      </c>
      <c r="Q165" s="2" t="s">
        <v>1336</v>
      </c>
      <c r="R165" s="7">
        <v>95</v>
      </c>
      <c r="S165" s="3" t="s">
        <v>1249</v>
      </c>
      <c r="T165" s="3">
        <v>25</v>
      </c>
      <c r="U165" s="3" t="s">
        <v>2388</v>
      </c>
      <c r="V165" s="3" t="s">
        <v>2382</v>
      </c>
      <c r="W165" s="3" t="s">
        <v>2393</v>
      </c>
    </row>
    <row r="166" spans="4:23" ht="31.5" x14ac:dyDescent="0.2">
      <c r="D166" s="3">
        <v>165</v>
      </c>
      <c r="E166" s="3" t="s">
        <v>540</v>
      </c>
      <c r="F166" s="3">
        <v>165</v>
      </c>
      <c r="G166" s="3" t="s">
        <v>592</v>
      </c>
      <c r="H166" s="3">
        <v>165</v>
      </c>
      <c r="I166" s="3" t="str">
        <f ca="1">"A craftsman "&amp;VLOOKUP(RANDBETWEEN(1,40),town,2)</f>
        <v>A craftsman skipping out on a wedding.</v>
      </c>
      <c r="J166" s="3" t="s">
        <v>3016</v>
      </c>
      <c r="K166" s="14">
        <v>199</v>
      </c>
      <c r="L166" s="3" t="s">
        <v>2014</v>
      </c>
      <c r="N166" s="3">
        <v>19</v>
      </c>
      <c r="O166" s="3" t="s">
        <v>2117</v>
      </c>
      <c r="P166" s="3">
        <v>132</v>
      </c>
      <c r="Q166" s="2" t="s">
        <v>1338</v>
      </c>
      <c r="R166" s="7">
        <v>96</v>
      </c>
      <c r="S166" s="3" t="s">
        <v>1250</v>
      </c>
      <c r="T166" s="3">
        <v>26</v>
      </c>
      <c r="U166" s="3" t="s">
        <v>2390</v>
      </c>
      <c r="V166" s="3" t="s">
        <v>2382</v>
      </c>
      <c r="W166" s="3" t="s">
        <v>2395</v>
      </c>
    </row>
    <row r="167" spans="4:23" ht="47.25" x14ac:dyDescent="0.2">
      <c r="D167" s="3">
        <v>166</v>
      </c>
      <c r="E167" s="3" t="s">
        <v>644</v>
      </c>
      <c r="F167" s="3">
        <v>166</v>
      </c>
      <c r="G167" s="3" t="s">
        <v>582</v>
      </c>
      <c r="H167" s="3">
        <v>166</v>
      </c>
      <c r="I167" s="3" t="s">
        <v>507</v>
      </c>
      <c r="J167" s="3" t="s">
        <v>3016</v>
      </c>
      <c r="K167" s="14">
        <v>200</v>
      </c>
      <c r="L167" s="3" t="s">
        <v>2016</v>
      </c>
      <c r="N167" s="3">
        <v>20</v>
      </c>
      <c r="O167" s="3" t="s">
        <v>357</v>
      </c>
      <c r="P167" s="3">
        <v>133</v>
      </c>
      <c r="Q167" s="2" t="s">
        <v>1340</v>
      </c>
      <c r="R167" s="7">
        <v>97</v>
      </c>
      <c r="S167" s="3" t="s">
        <v>2300</v>
      </c>
      <c r="T167" s="3">
        <v>27</v>
      </c>
      <c r="U167" s="3" t="s">
        <v>2392</v>
      </c>
      <c r="V167" s="3" t="s">
        <v>2382</v>
      </c>
      <c r="W167" s="3" t="s">
        <v>2359</v>
      </c>
    </row>
    <row r="168" spans="4:23" ht="63" x14ac:dyDescent="0.2">
      <c r="D168" s="3">
        <v>167</v>
      </c>
      <c r="E168" s="3" t="s">
        <v>702</v>
      </c>
      <c r="F168" s="3">
        <v>167</v>
      </c>
      <c r="G168" s="3" t="s">
        <v>44</v>
      </c>
      <c r="H168" s="3">
        <v>167</v>
      </c>
      <c r="I168" s="3" t="str">
        <f ca="1">"A dentist "&amp;VLOOKUP(RANDBETWEEN(1,40),town,2)</f>
        <v>A dentist searching for "undesirables".</v>
      </c>
      <c r="J168" s="3" t="s">
        <v>3016</v>
      </c>
      <c r="K168" s="14">
        <v>201</v>
      </c>
      <c r="L168" s="3" t="s">
        <v>2017</v>
      </c>
      <c r="N168" s="3">
        <v>21</v>
      </c>
      <c r="O168" s="3" t="s">
        <v>401</v>
      </c>
      <c r="P168" s="3">
        <v>134</v>
      </c>
      <c r="Q168" s="2" t="s">
        <v>1342</v>
      </c>
      <c r="R168" s="7">
        <v>98</v>
      </c>
      <c r="S168" s="3" t="s">
        <v>1252</v>
      </c>
      <c r="T168" s="3">
        <v>28</v>
      </c>
      <c r="U168" s="3" t="s">
        <v>2394</v>
      </c>
      <c r="V168" s="3" t="s">
        <v>2382</v>
      </c>
      <c r="W168" s="3" t="s">
        <v>2398</v>
      </c>
    </row>
    <row r="169" spans="4:23" ht="31.5" x14ac:dyDescent="0.2">
      <c r="D169" s="3">
        <v>168</v>
      </c>
      <c r="E169" s="3" t="s">
        <v>444</v>
      </c>
      <c r="F169" s="3">
        <v>168</v>
      </c>
      <c r="G169" s="3" t="s">
        <v>411</v>
      </c>
      <c r="H169" s="3">
        <v>168</v>
      </c>
      <c r="I169" s="3" t="s">
        <v>836</v>
      </c>
      <c r="J169" s="3" t="s">
        <v>3016</v>
      </c>
      <c r="K169" s="14">
        <v>202</v>
      </c>
      <c r="L169" s="3" t="str">
        <f ca="1">"Dr. Dread Secret Encoder Ring "&amp;VLOOKUP(RANDBETWEEN(1,10),MAGIC,2)</f>
        <v>Dr. Dread Secret Encoder Ring (non-magical)</v>
      </c>
      <c r="N169" s="3">
        <v>22</v>
      </c>
      <c r="O169" s="3" t="s">
        <v>95</v>
      </c>
      <c r="P169" s="3">
        <v>135</v>
      </c>
      <c r="Q169" s="2" t="s">
        <v>1344</v>
      </c>
      <c r="R169" s="7">
        <v>99</v>
      </c>
      <c r="S169" s="3" t="s">
        <v>1254</v>
      </c>
      <c r="T169" s="3">
        <v>29</v>
      </c>
      <c r="U169" s="3" t="s">
        <v>2396</v>
      </c>
      <c r="V169" s="3" t="s">
        <v>2382</v>
      </c>
      <c r="W169" s="3" t="s">
        <v>2400</v>
      </c>
    </row>
    <row r="170" spans="4:23" ht="31.5" x14ac:dyDescent="0.2">
      <c r="D170" s="3">
        <v>169</v>
      </c>
      <c r="E170" s="3" t="s">
        <v>703</v>
      </c>
      <c r="F170" s="3">
        <v>169</v>
      </c>
      <c r="G170" s="3" t="str">
        <f ca="1">"A "&amp;VLOOKUP(RANDBETWEEN(1,20),critter,2)&amp;" scurries away…"</f>
        <v>A raccoon scurries away…</v>
      </c>
      <c r="H170" s="3">
        <v>169</v>
      </c>
      <c r="I170" s="3" t="str">
        <f ca="1">"A deputy sheriff "&amp;VLOOKUP(RANDBETWEEN(1,40),town,2)</f>
        <v>A deputy sheriff lynching someone.</v>
      </c>
      <c r="J170" s="3" t="s">
        <v>3016</v>
      </c>
      <c r="K170" s="14">
        <v>203</v>
      </c>
      <c r="L170" s="3" t="s">
        <v>2018</v>
      </c>
      <c r="N170" s="3">
        <v>23</v>
      </c>
      <c r="O170" s="3" t="s">
        <v>23</v>
      </c>
      <c r="P170" s="3">
        <v>136</v>
      </c>
      <c r="Q170" s="2" t="s">
        <v>1346</v>
      </c>
      <c r="R170" s="7">
        <v>100</v>
      </c>
      <c r="S170" s="3" t="s">
        <v>1256</v>
      </c>
      <c r="T170" s="3">
        <v>30</v>
      </c>
      <c r="U170" s="3" t="s">
        <v>2397</v>
      </c>
      <c r="V170" s="3" t="s">
        <v>2382</v>
      </c>
      <c r="W170" s="3" t="s">
        <v>2402</v>
      </c>
    </row>
    <row r="171" spans="4:23" ht="47.25" x14ac:dyDescent="0.2">
      <c r="D171" s="3">
        <v>170</v>
      </c>
      <c r="E171" s="3" t="s">
        <v>745</v>
      </c>
      <c r="F171" s="3">
        <v>170</v>
      </c>
      <c r="G171" s="3" t="s">
        <v>608</v>
      </c>
      <c r="H171" s="3">
        <v>170</v>
      </c>
      <c r="I171" s="3" t="str">
        <f ca="1">"A detective "&amp;VLOOKUP(RANDBETWEEN(1,40),town,2)</f>
        <v>A detective herding cattle through town.</v>
      </c>
      <c r="J171" s="3" t="s">
        <v>3016</v>
      </c>
      <c r="K171" s="14">
        <v>204</v>
      </c>
      <c r="L171" s="3" t="str">
        <f ca="1">RANDBETWEEN(2,17)&amp;" fake flowers"</f>
        <v>3 fake flowers</v>
      </c>
      <c r="N171" s="3">
        <v>24</v>
      </c>
      <c r="O171" s="3" t="s">
        <v>55</v>
      </c>
      <c r="P171" s="3">
        <v>137</v>
      </c>
      <c r="Q171" s="2" t="s">
        <v>1348</v>
      </c>
      <c r="T171" s="3">
        <v>31</v>
      </c>
      <c r="U171" s="3" t="s">
        <v>2399</v>
      </c>
      <c r="V171" s="3" t="s">
        <v>2382</v>
      </c>
      <c r="W171" s="3" t="s">
        <v>2404</v>
      </c>
    </row>
    <row r="172" spans="4:23" ht="31.5" x14ac:dyDescent="0.2">
      <c r="D172" s="3">
        <v>171</v>
      </c>
      <c r="E172" s="3" t="s">
        <v>1135</v>
      </c>
      <c r="F172" s="3">
        <v>171</v>
      </c>
      <c r="G172" s="3" t="str">
        <f ca="1">"A grove of dead trees can be seen to the "&amp;VLOOKUP(RANDBETWEEN(1,4),Compas,2)&amp;"."</f>
        <v>A grove of dead trees can be seen to the west.</v>
      </c>
      <c r="H172" s="3">
        <v>171</v>
      </c>
      <c r="I172" s="1" t="str">
        <f ca="1">"A doctor "&amp;VLOOKUP(RANDBETWEEN(1,40),town,2)</f>
        <v>A doctor searching for "undesirables".</v>
      </c>
      <c r="J172" s="1" t="s">
        <v>3016</v>
      </c>
      <c r="K172" s="14">
        <v>205</v>
      </c>
      <c r="L172" s="3" t="s">
        <v>2019</v>
      </c>
      <c r="N172" s="3">
        <v>25</v>
      </c>
      <c r="O172" s="3" t="s">
        <v>366</v>
      </c>
      <c r="P172" s="3">
        <v>138</v>
      </c>
      <c r="Q172" s="2" t="s">
        <v>1350</v>
      </c>
      <c r="R172" s="7"/>
      <c r="S172" s="22" t="s">
        <v>1259</v>
      </c>
      <c r="T172" s="3">
        <v>32</v>
      </c>
      <c r="U172" s="3" t="s">
        <v>2401</v>
      </c>
      <c r="V172" s="3" t="s">
        <v>2382</v>
      </c>
      <c r="W172" s="3" t="s">
        <v>2406</v>
      </c>
    </row>
    <row r="173" spans="4:23" ht="78.75" x14ac:dyDescent="0.2">
      <c r="D173" s="3">
        <v>172</v>
      </c>
      <c r="E173" s="3" t="s">
        <v>704</v>
      </c>
      <c r="F173" s="3">
        <v>172</v>
      </c>
      <c r="G173" s="2" t="s">
        <v>0</v>
      </c>
      <c r="H173" s="3">
        <v>172</v>
      </c>
      <c r="I173" s="3" t="s">
        <v>204</v>
      </c>
      <c r="J173" s="3" t="s">
        <v>3016</v>
      </c>
      <c r="K173" s="14">
        <v>206</v>
      </c>
      <c r="L173" s="3" t="s">
        <v>2020</v>
      </c>
      <c r="N173" s="3">
        <v>26</v>
      </c>
      <c r="O173" s="3" t="s">
        <v>367</v>
      </c>
      <c r="P173" s="3">
        <v>139</v>
      </c>
      <c r="Q173" s="2" t="s">
        <v>1352</v>
      </c>
      <c r="R173" s="7">
        <v>1</v>
      </c>
      <c r="S173" s="3" t="s">
        <v>1261</v>
      </c>
      <c r="T173" s="3">
        <v>33</v>
      </c>
      <c r="U173" s="3" t="s">
        <v>2403</v>
      </c>
      <c r="V173" s="3" t="s">
        <v>2382</v>
      </c>
      <c r="W173" s="3" t="s">
        <v>2408</v>
      </c>
    </row>
    <row r="174" spans="4:23" ht="47.25" x14ac:dyDescent="0.2">
      <c r="D174" s="3">
        <v>173</v>
      </c>
      <c r="E174" s="3" t="s">
        <v>705</v>
      </c>
      <c r="F174" s="3">
        <v>173</v>
      </c>
      <c r="G174" s="3" t="s">
        <v>579</v>
      </c>
      <c r="H174" s="3">
        <v>173</v>
      </c>
      <c r="I174" s="3" t="s">
        <v>21</v>
      </c>
      <c r="J174" s="3" t="s">
        <v>3016</v>
      </c>
      <c r="K174" s="14">
        <v>207</v>
      </c>
      <c r="L174" s="3" t="s">
        <v>2070</v>
      </c>
      <c r="N174" s="3">
        <v>27</v>
      </c>
      <c r="O174" s="3" t="s">
        <v>361</v>
      </c>
      <c r="P174" s="3">
        <v>140</v>
      </c>
      <c r="Q174" s="2" t="s">
        <v>1354</v>
      </c>
      <c r="R174" s="7">
        <v>2</v>
      </c>
      <c r="S174" s="3" t="s">
        <v>1263</v>
      </c>
      <c r="T174" s="3">
        <v>34</v>
      </c>
      <c r="U174" s="3" t="s">
        <v>2405</v>
      </c>
      <c r="V174" s="3" t="s">
        <v>2382</v>
      </c>
      <c r="W174" s="3" t="s">
        <v>2410</v>
      </c>
    </row>
    <row r="175" spans="4:23" ht="31.5" x14ac:dyDescent="0.2">
      <c r="D175" s="3">
        <v>174</v>
      </c>
      <c r="E175" s="3" t="s">
        <v>706</v>
      </c>
      <c r="F175" s="3">
        <v>174</v>
      </c>
      <c r="G175" s="3" t="s">
        <v>153</v>
      </c>
      <c r="H175" s="3">
        <v>174</v>
      </c>
      <c r="I175" s="3" t="s">
        <v>240</v>
      </c>
      <c r="J175" s="3" t="s">
        <v>3016</v>
      </c>
      <c r="K175" s="14">
        <v>208</v>
      </c>
      <c r="L175" s="3" t="s">
        <v>2071</v>
      </c>
      <c r="N175" s="3">
        <v>28</v>
      </c>
      <c r="O175" s="3" t="s">
        <v>2119</v>
      </c>
      <c r="P175" s="3">
        <v>141</v>
      </c>
      <c r="Q175" s="2" t="s">
        <v>1356</v>
      </c>
      <c r="R175" s="7">
        <v>3</v>
      </c>
      <c r="S175" s="3" t="s">
        <v>1265</v>
      </c>
      <c r="T175" s="3">
        <v>35</v>
      </c>
      <c r="U175" s="3" t="s">
        <v>2407</v>
      </c>
      <c r="V175" s="3" t="s">
        <v>2382</v>
      </c>
      <c r="W175" s="3" t="s">
        <v>2412</v>
      </c>
    </row>
    <row r="176" spans="4:23" ht="31.5" x14ac:dyDescent="0.2">
      <c r="D176" s="3">
        <v>175</v>
      </c>
      <c r="E176" s="3" t="s">
        <v>707</v>
      </c>
      <c r="F176" s="3">
        <v>175</v>
      </c>
      <c r="G176" s="3" t="s">
        <v>155</v>
      </c>
      <c r="H176" s="3">
        <v>175</v>
      </c>
      <c r="I176" s="3" t="str">
        <f ca="1">"A granger "&amp;VLOOKUP(RANDBETWEEN(1,40),town,2)</f>
        <v>A granger skipping out on a wedding.</v>
      </c>
      <c r="J176" s="3" t="s">
        <v>3016</v>
      </c>
      <c r="K176" s="14">
        <v>209</v>
      </c>
      <c r="L176" s="3" t="s">
        <v>2072</v>
      </c>
      <c r="N176" s="3">
        <v>29</v>
      </c>
      <c r="O176" s="3" t="s">
        <v>2120</v>
      </c>
      <c r="P176" s="3">
        <v>142</v>
      </c>
      <c r="Q176" s="2" t="s">
        <v>1358</v>
      </c>
      <c r="R176" s="7">
        <v>4</v>
      </c>
      <c r="S176" s="3" t="s">
        <v>1267</v>
      </c>
      <c r="T176" s="3">
        <v>36</v>
      </c>
      <c r="U176" s="3" t="s">
        <v>2409</v>
      </c>
      <c r="V176" s="3" t="s">
        <v>2382</v>
      </c>
      <c r="W176" s="3" t="s">
        <v>2414</v>
      </c>
    </row>
    <row r="177" spans="4:23" ht="31.5" x14ac:dyDescent="0.2">
      <c r="D177" s="3">
        <v>176</v>
      </c>
      <c r="E177" s="3" t="s">
        <v>501</v>
      </c>
      <c r="F177" s="3">
        <v>176</v>
      </c>
      <c r="G177" s="3" t="str">
        <f ca="1">"A Hellfire Preacher with a flock of "&amp;RANDBETWEEN(1,6)&amp;"following him."</f>
        <v>A Hellfire Preacher with a flock of 6following him.</v>
      </c>
      <c r="H177" s="3">
        <v>176</v>
      </c>
      <c r="I177" s="3" t="str">
        <f ca="1">"A Hellfire Preacher with a flock of "&amp;RANDBETWEEN(1,6)&amp;" following him."</f>
        <v>A Hellfire Preacher with a flock of 4 following him.</v>
      </c>
      <c r="J177" s="3" t="s">
        <v>3016</v>
      </c>
      <c r="K177" s="14">
        <v>210</v>
      </c>
      <c r="L177" s="3" t="s">
        <v>2021</v>
      </c>
      <c r="N177" s="3">
        <v>30</v>
      </c>
      <c r="O177" s="3" t="s">
        <v>93</v>
      </c>
      <c r="P177" s="3">
        <v>143</v>
      </c>
      <c r="Q177" s="2" t="s">
        <v>1360</v>
      </c>
      <c r="R177" s="7">
        <v>5</v>
      </c>
      <c r="S177" s="3" t="s">
        <v>1269</v>
      </c>
      <c r="T177" s="3">
        <v>37</v>
      </c>
      <c r="U177" s="3" t="s">
        <v>2411</v>
      </c>
      <c r="V177" s="3" t="s">
        <v>2382</v>
      </c>
      <c r="W177" s="3" t="s">
        <v>2416</v>
      </c>
    </row>
    <row r="178" spans="4:23" ht="47.25" x14ac:dyDescent="0.2">
      <c r="D178" s="3">
        <v>177</v>
      </c>
      <c r="E178" s="3" t="s">
        <v>523</v>
      </c>
      <c r="F178" s="3">
        <v>177</v>
      </c>
      <c r="G178" s="3" t="s">
        <v>620</v>
      </c>
      <c r="H178" s="3">
        <v>177</v>
      </c>
      <c r="I178" s="1" t="str">
        <f ca="1">"A lawyer "&amp;VLOOKUP(RANDBETWEEN(1,40),wilderness,2)</f>
        <v>A lawyer dying of thirst.</v>
      </c>
      <c r="J178" s="1" t="s">
        <v>3016</v>
      </c>
      <c r="K178" s="14">
        <v>211</v>
      </c>
      <c r="L178" s="3" t="s">
        <v>2023</v>
      </c>
      <c r="P178" s="3">
        <v>144</v>
      </c>
      <c r="Q178" s="2" t="s">
        <v>1362</v>
      </c>
      <c r="R178" s="7">
        <v>6</v>
      </c>
      <c r="S178" s="3" t="s">
        <v>1271</v>
      </c>
      <c r="T178" s="3">
        <v>38</v>
      </c>
      <c r="U178" s="3" t="s">
        <v>2413</v>
      </c>
      <c r="V178" s="3" t="s">
        <v>2382</v>
      </c>
      <c r="W178" s="3" t="s">
        <v>2418</v>
      </c>
    </row>
    <row r="179" spans="4:23" ht="31.5" x14ac:dyDescent="0.2">
      <c r="D179" s="3">
        <v>178</v>
      </c>
      <c r="E179" s="3" t="s">
        <v>708</v>
      </c>
      <c r="F179" s="3">
        <v>178</v>
      </c>
      <c r="G179" s="3" t="s">
        <v>588</v>
      </c>
      <c r="H179" s="3">
        <v>178</v>
      </c>
      <c r="I179" s="1" t="str">
        <f ca="1">"A lawyer "&amp;VLOOKUP(RANDBETWEEN(1,40),town,2)</f>
        <v>A lawyer touting a champion boxer: Johnny McGowan.</v>
      </c>
      <c r="J179" s="1" t="s">
        <v>3016</v>
      </c>
      <c r="K179" s="14">
        <v>212</v>
      </c>
      <c r="L179" s="3" t="s">
        <v>2024</v>
      </c>
      <c r="O179" s="22" t="s">
        <v>924</v>
      </c>
      <c r="P179" s="3">
        <v>145</v>
      </c>
      <c r="Q179" s="2" t="s">
        <v>1364</v>
      </c>
      <c r="R179" s="7">
        <v>7</v>
      </c>
      <c r="S179" s="3" t="s">
        <v>1273</v>
      </c>
      <c r="T179" s="3">
        <v>39</v>
      </c>
      <c r="U179" s="3" t="s">
        <v>2415</v>
      </c>
      <c r="V179" s="3" t="s">
        <v>2382</v>
      </c>
      <c r="W179" s="3" t="s">
        <v>2420</v>
      </c>
    </row>
    <row r="180" spans="4:23" ht="31.5" x14ac:dyDescent="0.2">
      <c r="D180" s="3">
        <v>179</v>
      </c>
      <c r="E180" s="3" t="s">
        <v>709</v>
      </c>
      <c r="F180" s="3">
        <v>179</v>
      </c>
      <c r="G180" s="3" t="s">
        <v>756</v>
      </c>
      <c r="H180" s="3">
        <v>179</v>
      </c>
      <c r="I180" s="3" t="s">
        <v>245</v>
      </c>
      <c r="J180" s="3" t="s">
        <v>3016</v>
      </c>
      <c r="K180" s="14">
        <v>213</v>
      </c>
      <c r="L180" s="3" t="s">
        <v>2025</v>
      </c>
      <c r="N180" s="3">
        <v>1</v>
      </c>
      <c r="O180" s="3" t="str">
        <f ca="1">VLOOKUP(RANDBETWEEN(1,3),Guns,2)</f>
        <v>rifles</v>
      </c>
      <c r="P180" s="3">
        <v>146</v>
      </c>
      <c r="Q180" s="2" t="s">
        <v>1366</v>
      </c>
      <c r="R180" s="7">
        <v>8</v>
      </c>
      <c r="S180" s="7" t="s">
        <v>1275</v>
      </c>
      <c r="T180" s="3">
        <v>40</v>
      </c>
      <c r="U180" s="3" t="s">
        <v>2417</v>
      </c>
      <c r="V180" s="3" t="s">
        <v>2382</v>
      </c>
      <c r="W180" s="3" t="s">
        <v>2422</v>
      </c>
    </row>
    <row r="181" spans="4:23" ht="31.5" x14ac:dyDescent="0.2">
      <c r="D181" s="3">
        <v>180</v>
      </c>
      <c r="E181" s="3" t="s">
        <v>710</v>
      </c>
      <c r="F181" s="3">
        <v>180</v>
      </c>
      <c r="G181" s="3" t="s">
        <v>303</v>
      </c>
      <c r="H181" s="3">
        <v>180</v>
      </c>
      <c r="I181" s="3" t="s">
        <v>210</v>
      </c>
      <c r="J181" s="3" t="s">
        <v>3016</v>
      </c>
      <c r="K181" s="14">
        <v>214</v>
      </c>
      <c r="L181" s="3" t="s">
        <v>2026</v>
      </c>
      <c r="N181" s="3">
        <v>2</v>
      </c>
      <c r="O181" s="3" t="s">
        <v>375</v>
      </c>
      <c r="P181" s="3">
        <v>147</v>
      </c>
      <c r="Q181" s="2" t="s">
        <v>1368</v>
      </c>
      <c r="R181" s="7">
        <v>9</v>
      </c>
      <c r="S181" s="3" t="s">
        <v>1277</v>
      </c>
      <c r="T181" s="3">
        <v>41</v>
      </c>
      <c r="U181" s="3" t="s">
        <v>2419</v>
      </c>
      <c r="V181" s="3" t="s">
        <v>2382</v>
      </c>
      <c r="W181" s="3" t="s">
        <v>2424</v>
      </c>
    </row>
    <row r="182" spans="4:23" ht="31.5" x14ac:dyDescent="0.2">
      <c r="D182" s="3">
        <v>181</v>
      </c>
      <c r="E182" s="3" t="s">
        <v>711</v>
      </c>
      <c r="F182" s="3">
        <v>181</v>
      </c>
      <c r="G182" s="3" t="s">
        <v>354</v>
      </c>
      <c r="H182" s="3">
        <v>181</v>
      </c>
      <c r="I182" s="3" t="s">
        <v>341</v>
      </c>
      <c r="J182" s="3" t="s">
        <v>3016</v>
      </c>
      <c r="K182" s="14">
        <v>215</v>
      </c>
      <c r="L182" s="3" t="s">
        <v>2013</v>
      </c>
      <c r="N182" s="3">
        <v>3</v>
      </c>
      <c r="O182" s="3" t="s">
        <v>374</v>
      </c>
      <c r="P182" s="3">
        <v>148</v>
      </c>
      <c r="Q182" s="2" t="s">
        <v>1370</v>
      </c>
      <c r="R182" s="7">
        <v>10</v>
      </c>
      <c r="S182" s="7" t="s">
        <v>1279</v>
      </c>
      <c r="T182" s="3">
        <v>42</v>
      </c>
      <c r="U182" s="3" t="s">
        <v>2421</v>
      </c>
      <c r="V182" s="3" t="s">
        <v>2382</v>
      </c>
      <c r="W182" s="3" t="s">
        <v>2426</v>
      </c>
    </row>
    <row r="183" spans="4:23" ht="31.5" x14ac:dyDescent="0.2">
      <c r="D183" s="3">
        <v>182</v>
      </c>
      <c r="E183" s="3" t="s">
        <v>712</v>
      </c>
      <c r="F183" s="3">
        <v>182</v>
      </c>
      <c r="G183" s="3" t="s">
        <v>407</v>
      </c>
      <c r="H183" s="3">
        <v>182</v>
      </c>
      <c r="I183" s="3" t="str">
        <f ca="1">"A lost "&amp;RANDBETWEEN(5,9)&amp;" year old child, dusty and frightened wanders, cryin' for his mama."</f>
        <v>A lost 5 year old child, dusty and frightened wanders, cryin' for his mama.</v>
      </c>
      <c r="J183" s="3" t="s">
        <v>3016</v>
      </c>
      <c r="K183" s="14">
        <v>216</v>
      </c>
      <c r="L183" s="3" t="s">
        <v>2073</v>
      </c>
      <c r="N183" s="3">
        <v>4</v>
      </c>
      <c r="O183" s="3" t="s">
        <v>376</v>
      </c>
      <c r="P183" s="3">
        <v>149</v>
      </c>
      <c r="Q183" s="2" t="s">
        <v>1371</v>
      </c>
      <c r="R183" s="7"/>
      <c r="T183" s="3">
        <v>43</v>
      </c>
      <c r="U183" s="3" t="s">
        <v>2423</v>
      </c>
      <c r="V183" s="3" t="s">
        <v>2382</v>
      </c>
      <c r="W183" s="3" t="s">
        <v>2428</v>
      </c>
    </row>
    <row r="184" spans="4:23" ht="31.5" x14ac:dyDescent="0.2">
      <c r="D184" s="3">
        <v>183</v>
      </c>
      <c r="E184" s="3" t="s">
        <v>438</v>
      </c>
      <c r="F184" s="3">
        <v>183</v>
      </c>
      <c r="G184" s="3" t="s">
        <v>603</v>
      </c>
      <c r="H184" s="3">
        <v>183</v>
      </c>
      <c r="I184" s="1" t="s">
        <v>80</v>
      </c>
      <c r="J184" s="1" t="s">
        <v>3016</v>
      </c>
      <c r="K184" s="14">
        <v>217</v>
      </c>
      <c r="L184" s="3" t="str">
        <f ca="1">"a Dime Novel: "&amp;VLOOKUP(RANDBETWEEN(1,100),DIME,2)</f>
        <v xml:space="preserve">a Dime Novel: Night Train </v>
      </c>
      <c r="N184" s="3">
        <v>5</v>
      </c>
      <c r="O184" s="3" t="s">
        <v>377</v>
      </c>
      <c r="P184" s="3">
        <v>150</v>
      </c>
      <c r="Q184" s="2" t="s">
        <v>1375</v>
      </c>
      <c r="T184" s="3">
        <v>44</v>
      </c>
      <c r="U184" s="3" t="s">
        <v>2425</v>
      </c>
      <c r="V184" s="3" t="s">
        <v>2382</v>
      </c>
      <c r="W184" s="3" t="s">
        <v>2382</v>
      </c>
    </row>
    <row r="185" spans="4:23" ht="94.5" x14ac:dyDescent="0.2">
      <c r="D185" s="3">
        <v>184</v>
      </c>
      <c r="E185" s="3" t="s">
        <v>497</v>
      </c>
      <c r="F185" s="3">
        <v>184</v>
      </c>
      <c r="G185" s="3" t="s">
        <v>56</v>
      </c>
      <c r="H185" s="3">
        <v>184</v>
      </c>
      <c r="I185" s="3" t="s">
        <v>565</v>
      </c>
      <c r="J185" s="3" t="s">
        <v>3016</v>
      </c>
      <c r="K185" s="14">
        <v>218</v>
      </c>
      <c r="L185" s="3" t="str">
        <f ca="1">"a Dime Novel: "&amp;VLOOKUP(RANDBETWEEN(1,100),DIME,2)</f>
        <v xml:space="preserve">a Dime Novel: Isaac Stone's Bodacious Odyssey, Volume 2, Issue 9 </v>
      </c>
      <c r="N185" s="3">
        <v>6</v>
      </c>
      <c r="O185" s="3" t="s">
        <v>378</v>
      </c>
      <c r="P185" s="3">
        <v>151</v>
      </c>
      <c r="Q185" s="2" t="s">
        <v>1376</v>
      </c>
      <c r="T185" s="3">
        <v>45</v>
      </c>
      <c r="U185" s="3" t="s">
        <v>2427</v>
      </c>
      <c r="V185" s="3" t="s">
        <v>2382</v>
      </c>
      <c r="W185" s="3" t="s">
        <v>2382</v>
      </c>
    </row>
    <row r="186" spans="4:23" ht="31.5" x14ac:dyDescent="0.2">
      <c r="D186" s="3">
        <v>185</v>
      </c>
      <c r="E186" s="3" t="s">
        <v>559</v>
      </c>
      <c r="F186" s="3">
        <v>185</v>
      </c>
      <c r="G186" s="3" t="s">
        <v>275</v>
      </c>
      <c r="H186" s="3">
        <v>185</v>
      </c>
      <c r="I186" s="3" t="str">
        <f ca="1">"A miner "&amp;VLOOKUP(RANDBETWEEN(1,40),town,2)</f>
        <v>A miner herding cattle through town.</v>
      </c>
      <c r="J186" s="3" t="s">
        <v>3016</v>
      </c>
      <c r="K186" s="14">
        <v>219</v>
      </c>
      <c r="L186" s="3" t="str">
        <f ca="1">"a Dime Novel: "&amp;VLOOKUP(RANDBETWEEN(1,100),DIME,2)</f>
        <v>a Dime Novel: The Boy Prospector</v>
      </c>
      <c r="N186" s="3">
        <v>7</v>
      </c>
      <c r="O186" s="3" t="s">
        <v>379</v>
      </c>
      <c r="P186" s="3">
        <v>152</v>
      </c>
      <c r="Q186" s="2" t="s">
        <v>1377</v>
      </c>
      <c r="T186" s="3">
        <v>46</v>
      </c>
      <c r="U186" s="3" t="s">
        <v>2429</v>
      </c>
      <c r="V186" s="3" t="s">
        <v>2382</v>
      </c>
    </row>
    <row r="187" spans="4:23" ht="31.5" x14ac:dyDescent="0.2">
      <c r="D187" s="3">
        <v>186</v>
      </c>
      <c r="E187" s="3" t="s">
        <v>518</v>
      </c>
      <c r="F187" s="3">
        <v>186</v>
      </c>
      <c r="G187" s="3" t="str">
        <f ca="1">"A large swarm of "&amp;VLOOKUP(RANDBETWEEN(1,30),Bugs,2)&amp;"scurries/buzzes around the Posse…"</f>
        <v>A large swarm of hornetsscurries/buzzes around the Posse…</v>
      </c>
      <c r="H187" s="3">
        <v>186</v>
      </c>
      <c r="I187" s="1" t="str">
        <f ca="1">"A miner "&amp;VLOOKUP(RANDBETWEEN(1,40),wilderness,2)</f>
        <v>A miner tearing down a fence.</v>
      </c>
      <c r="J187" s="1" t="s">
        <v>3016</v>
      </c>
      <c r="K187" s="14">
        <v>220</v>
      </c>
      <c r="L187" s="3" t="str">
        <f ca="1">"a Dime Novel: "&amp;VLOOKUP(RANDBETWEEN(1,100),DIME,2)</f>
        <v>a Dime Novel: Deeds of Daring and Romantic Incidents in the Life if Wm. F. Cody</v>
      </c>
      <c r="N187" s="3">
        <v>8</v>
      </c>
      <c r="O187" s="3" t="s">
        <v>381</v>
      </c>
      <c r="P187" s="3">
        <v>153</v>
      </c>
      <c r="Q187" s="2" t="s">
        <v>1378</v>
      </c>
      <c r="T187" s="3">
        <v>47</v>
      </c>
      <c r="U187" s="3" t="s">
        <v>2430</v>
      </c>
      <c r="V187" s="3" t="s">
        <v>2382</v>
      </c>
    </row>
    <row r="188" spans="4:23" ht="47.25" x14ac:dyDescent="0.2">
      <c r="D188" s="3">
        <v>187</v>
      </c>
      <c r="E188" s="3" t="s">
        <v>527</v>
      </c>
      <c r="F188" s="3">
        <v>187</v>
      </c>
      <c r="G188" s="3" t="s">
        <v>441</v>
      </c>
      <c r="H188" s="3">
        <v>187</v>
      </c>
      <c r="I188" s="3" t="str">
        <f ca="1">"A mugger "&amp;VLOOKUP(RANDBETWEEN(1,40),town,2)</f>
        <v>A mugger putting up a building.</v>
      </c>
      <c r="J188" s="3" t="s">
        <v>3016</v>
      </c>
      <c r="K188" s="14">
        <v>221</v>
      </c>
      <c r="L188" s="3" t="str">
        <f ca="1">"a calling card reading: "&amp;VLOOKUP(RANDBETWEEN(179,233),NAME,2)&amp;" "&amp;VLOOKUP(RANDBETWEEN(1,178),NAME,2)&amp;", "&amp;VLOOKUP(RANDBETWEEN(1,100),profession,2)&amp;", "&amp;RANDBETWEEN(1000,4000)&amp;" "&amp;VLOOKUP(RANDBETWEEN(45,48),Place,2)</f>
        <v>a calling card reading: Anna Zarate, Sorcerer, 1807 Main Street</v>
      </c>
      <c r="N188" s="3">
        <v>9</v>
      </c>
      <c r="O188" s="3" t="s">
        <v>380</v>
      </c>
      <c r="P188" s="3">
        <v>154</v>
      </c>
      <c r="Q188" s="2" t="s">
        <v>1380</v>
      </c>
      <c r="T188" s="3">
        <v>48</v>
      </c>
      <c r="U188" s="3" t="s">
        <v>2431</v>
      </c>
      <c r="V188" s="3" t="s">
        <v>2382</v>
      </c>
    </row>
    <row r="189" spans="4:23" ht="31.5" x14ac:dyDescent="0.2">
      <c r="D189" s="3">
        <v>188</v>
      </c>
      <c r="E189" s="3" t="s">
        <v>713</v>
      </c>
      <c r="F189" s="3">
        <v>188</v>
      </c>
      <c r="G189" s="3" t="s">
        <v>749</v>
      </c>
      <c r="H189" s="3">
        <v>188</v>
      </c>
      <c r="I189" s="3" t="str">
        <f ca="1">"A novelist "&amp;VLOOKUP(RANDBETWEEN(1,40),town,2)</f>
        <v>A novelist insulting ranchers.</v>
      </c>
      <c r="J189" s="3" t="s">
        <v>3016</v>
      </c>
      <c r="K189" s="14">
        <v>222</v>
      </c>
      <c r="L189" s="3" t="str">
        <f ca="1">"a calling card reading: "&amp;VLOOKUP(RANDBETWEEN(179,233),NAME,2)&amp;" "&amp;VLOOKUP(RANDBETWEEN(1,178),NAME,2)&amp;", "&amp;VLOOKUP(RANDBETWEEN(1,100),profession,2)&amp;", "&amp;RANDBETWEEN(100,400)&amp;" "&amp;VLOOKUP(RANDBETWEEN(1,233),NAME,2)&amp;" "&amp;VLOOKUP(RANDBETWEEN(1,10),STREET,2)</f>
        <v>a calling card reading: Fortier McElroy, Butcher, 255 Kessler Drive</v>
      </c>
      <c r="N189" s="3">
        <v>10</v>
      </c>
      <c r="O189" s="3" t="s">
        <v>382</v>
      </c>
      <c r="P189" s="3">
        <v>155</v>
      </c>
      <c r="Q189" s="2" t="s">
        <v>1382</v>
      </c>
      <c r="T189" s="3">
        <v>49</v>
      </c>
      <c r="U189" s="3" t="s">
        <v>2432</v>
      </c>
      <c r="V189" s="3" t="s">
        <v>2382</v>
      </c>
    </row>
    <row r="190" spans="4:23" ht="31.5" x14ac:dyDescent="0.2">
      <c r="D190" s="3">
        <v>189</v>
      </c>
      <c r="E190" s="3" t="s">
        <v>714</v>
      </c>
      <c r="F190" s="3">
        <v>189</v>
      </c>
      <c r="G190" s="3" t="s">
        <v>245</v>
      </c>
      <c r="H190" s="3">
        <v>189</v>
      </c>
      <c r="I190" s="3" t="str">
        <f ca="1">"A nun "&amp;VLOOKUP(RANDBETWEEN(1,40),town,2)</f>
        <v>A nun skipping out on a wedding.</v>
      </c>
      <c r="J190" s="3" t="s">
        <v>3016</v>
      </c>
      <c r="K190" s="14">
        <v>223</v>
      </c>
      <c r="L190" s="3" t="str">
        <f ca="1">"a calling card reading: "&amp;VLOOKUP(RANDBETWEEN(179,233),NAME,2)&amp;" "&amp;VLOOKUP(RANDBETWEEN(1,178),NAME,2)&amp;", "&amp;VLOOKUP(RANDBETWEEN(1,100),profession,2)&amp;", "&amp;RANDBETWEEN(20,100)&amp;" "&amp;VLOOKUP(RANDBETWEEN(45,48),Place,2)</f>
        <v>a calling card reading: Flynn Lovett, Marshal, 55 Mulberry Street</v>
      </c>
      <c r="N190" s="3">
        <v>11</v>
      </c>
      <c r="O190" s="3" t="s">
        <v>383</v>
      </c>
      <c r="P190" s="3">
        <v>156</v>
      </c>
      <c r="Q190" s="2" t="s">
        <v>1384</v>
      </c>
      <c r="S190" s="22" t="s">
        <v>1291</v>
      </c>
      <c r="T190" s="3">
        <v>50</v>
      </c>
      <c r="U190" s="3" t="s">
        <v>2433</v>
      </c>
      <c r="V190" s="3" t="s">
        <v>2382</v>
      </c>
    </row>
    <row r="191" spans="4:23" ht="31.5" x14ac:dyDescent="0.2">
      <c r="D191" s="3">
        <v>190</v>
      </c>
      <c r="E191" s="3" t="s">
        <v>463</v>
      </c>
      <c r="F191" s="3">
        <v>190</v>
      </c>
      <c r="G191" s="3" t="s">
        <v>12</v>
      </c>
      <c r="H191" s="3">
        <v>190</v>
      </c>
      <c r="I191" s="3" t="s">
        <v>675</v>
      </c>
      <c r="J191" s="3" t="s">
        <v>3016</v>
      </c>
      <c r="K191" s="14">
        <v>224</v>
      </c>
      <c r="L191" s="3" t="str">
        <f ca="1">"a photograph of a "&amp;VLOOKUP(RANDBETWEEN(1,2),sex,2)&amp;" wearing a fancy "&amp;VLOOKUP(RANDBETWEEN(1,10),HATS,2)</f>
        <v>a photograph of a woman wearing a fancy a top hat</v>
      </c>
      <c r="N191" s="3">
        <v>12</v>
      </c>
      <c r="O191" s="3" t="s">
        <v>384</v>
      </c>
      <c r="P191" s="3">
        <v>157</v>
      </c>
      <c r="Q191" s="2" t="s">
        <v>1386</v>
      </c>
      <c r="R191" s="3">
        <v>1</v>
      </c>
      <c r="S191" s="3" t="s">
        <v>1293</v>
      </c>
      <c r="T191" s="3">
        <v>51</v>
      </c>
      <c r="U191" s="3" t="s">
        <v>2434</v>
      </c>
      <c r="V191" s="3" t="s">
        <v>2382</v>
      </c>
    </row>
    <row r="192" spans="4:23" ht="31.5" x14ac:dyDescent="0.2">
      <c r="D192" s="3">
        <v>191</v>
      </c>
      <c r="E192" s="3" t="s">
        <v>539</v>
      </c>
      <c r="F192" s="3">
        <v>191</v>
      </c>
      <c r="G192" s="3" t="s">
        <v>210</v>
      </c>
      <c r="H192" s="3">
        <v>191</v>
      </c>
      <c r="I192" s="3" t="s">
        <v>839</v>
      </c>
      <c r="J192" s="3" t="s">
        <v>3016</v>
      </c>
      <c r="K192" s="14">
        <v>225</v>
      </c>
      <c r="L192" s="3" t="str">
        <f ca="1">"a photograph of a nude "&amp;VLOOKUP(RANDBETWEEN(1,2),sex,2)&amp;" with the face blacked out, marked "&amp;VLOOKUP(RANDBETWEEN(1,233),NAME,2)</f>
        <v>a photograph of a nude man with the face blacked out, marked Stuart</v>
      </c>
      <c r="N192" s="3">
        <v>13</v>
      </c>
      <c r="O192" s="3" t="s">
        <v>385</v>
      </c>
      <c r="P192" s="3">
        <v>158</v>
      </c>
      <c r="Q192" s="2" t="s">
        <v>1388</v>
      </c>
      <c r="R192" s="3">
        <v>2</v>
      </c>
      <c r="S192" s="3" t="s">
        <v>2993</v>
      </c>
      <c r="T192" s="3">
        <v>52</v>
      </c>
      <c r="U192" s="3" t="s">
        <v>2435</v>
      </c>
      <c r="V192" s="3" t="s">
        <v>2382</v>
      </c>
    </row>
    <row r="193" spans="4:22" ht="94.5" x14ac:dyDescent="0.2">
      <c r="D193" s="3">
        <v>192</v>
      </c>
      <c r="E193" s="3" t="s">
        <v>992</v>
      </c>
      <c r="F193" s="3">
        <v>192</v>
      </c>
      <c r="G193" s="3" t="str">
        <f ca="1">"A lone "&amp;VLOOKUP(RANDBETWEEN(1,12),trait,2)&amp;VLOOKUP(RANDBETWEEN(1,9),animal,2)&amp;" wanders the tundra. This animal was obviously owned and trained by someone, but who?"</f>
        <v>A lone smart mule wanders the tundra. This animal was obviously owned and trained by someone, but who?</v>
      </c>
      <c r="H193" s="3">
        <v>192</v>
      </c>
      <c r="I193" s="3" t="s">
        <v>496</v>
      </c>
      <c r="J193" s="3" t="s">
        <v>3016</v>
      </c>
      <c r="K193" s="14">
        <v>226</v>
      </c>
      <c r="L193" s="3" t="str">
        <f ca="1">"a photograph of a "&amp;VLOOKUP(RANDBETWEEN(1,9),animal,2)</f>
        <v>a photograph of a horse</v>
      </c>
      <c r="N193" s="3">
        <v>14</v>
      </c>
      <c r="O193" s="3" t="s">
        <v>386</v>
      </c>
      <c r="P193" s="3">
        <v>159</v>
      </c>
      <c r="Q193" s="2" t="s">
        <v>1390</v>
      </c>
      <c r="R193" s="3">
        <v>3</v>
      </c>
      <c r="S193" s="3" t="s">
        <v>1296</v>
      </c>
      <c r="T193" s="3">
        <v>53</v>
      </c>
      <c r="U193" s="3" t="s">
        <v>2436</v>
      </c>
      <c r="V193" s="3" t="s">
        <v>2382</v>
      </c>
    </row>
    <row r="194" spans="4:22" ht="63" x14ac:dyDescent="0.2">
      <c r="D194" s="3">
        <v>193</v>
      </c>
      <c r="E194" s="3" t="s">
        <v>2738</v>
      </c>
      <c r="F194" s="3">
        <v>193</v>
      </c>
      <c r="G194" s="3" t="s">
        <v>216</v>
      </c>
      <c r="H194" s="3">
        <v>193</v>
      </c>
      <c r="I194" s="1" t="str">
        <f ca="1">"A photographer "&amp;VLOOKUP(RANDBETWEEN(1,40),wilderness,2)</f>
        <v>A photographer rounding up cattle.</v>
      </c>
      <c r="J194" s="1" t="s">
        <v>3016</v>
      </c>
      <c r="K194" s="14">
        <v>227</v>
      </c>
      <c r="L194" s="3" t="str">
        <f ca="1">"a photograph of a "&amp;VLOOKUP(RANDBETWEEN(1,20),critter,2)</f>
        <v>a photograph of a squirrel</v>
      </c>
      <c r="N194" s="3">
        <v>15</v>
      </c>
      <c r="O194" s="3" t="s">
        <v>387</v>
      </c>
      <c r="P194" s="3">
        <v>160</v>
      </c>
      <c r="Q194" s="2" t="s">
        <v>1392</v>
      </c>
      <c r="R194" s="3">
        <v>4</v>
      </c>
      <c r="S194" s="3" t="s">
        <v>1298</v>
      </c>
      <c r="T194" s="3">
        <v>54</v>
      </c>
      <c r="U194" s="3" t="s">
        <v>2437</v>
      </c>
      <c r="V194" s="3" t="s">
        <v>2382</v>
      </c>
    </row>
    <row r="195" spans="4:22" ht="31.5" x14ac:dyDescent="0.2">
      <c r="D195" s="3">
        <v>194</v>
      </c>
      <c r="E195" s="3" t="s">
        <v>524</v>
      </c>
      <c r="F195" s="3">
        <v>194</v>
      </c>
      <c r="G195" s="3" t="s">
        <v>341</v>
      </c>
      <c r="H195" s="3">
        <v>194</v>
      </c>
      <c r="I195" s="3" t="str">
        <f ca="1">"A Pony Express Rider thunders past heading "&amp;VLOOKUP(RANDBETWEEN(1,4),Compas,2)&amp;"."</f>
        <v>A Pony Express Rider thunders past heading north.</v>
      </c>
      <c r="J195" s="3" t="s">
        <v>3016</v>
      </c>
      <c r="K195" s="14">
        <v>228</v>
      </c>
      <c r="L195" s="3" t="s">
        <v>1949</v>
      </c>
      <c r="N195" s="3">
        <v>16</v>
      </c>
      <c r="O195" s="3" t="s">
        <v>388</v>
      </c>
      <c r="P195" s="3">
        <v>161</v>
      </c>
      <c r="Q195" s="2" t="s">
        <v>1394</v>
      </c>
      <c r="R195" s="3">
        <v>5</v>
      </c>
      <c r="S195" s="3" t="s">
        <v>1300</v>
      </c>
      <c r="T195" s="3">
        <v>55</v>
      </c>
      <c r="U195" s="3" t="s">
        <v>2438</v>
      </c>
      <c r="V195" s="3" t="s">
        <v>2382</v>
      </c>
    </row>
    <row r="196" spans="4:22" ht="31.5" x14ac:dyDescent="0.2">
      <c r="D196" s="3">
        <v>195</v>
      </c>
      <c r="E196" s="3" t="s">
        <v>554</v>
      </c>
      <c r="F196" s="3">
        <v>195</v>
      </c>
      <c r="G196" s="3" t="str">
        <f ca="1">"A lost "&amp;RANDBETWEEN(5,9)&amp;" year old child, dusty and frightened wanders, cryin' for his mama."</f>
        <v>A lost 8 year old child, dusty and frightened wanders, cryin' for his mama.</v>
      </c>
      <c r="H196" s="3">
        <v>195</v>
      </c>
      <c r="I196" s="3" t="str">
        <f ca="1">"A preacher "&amp;VLOOKUP(RANDBETWEEN(1,40),town,2)</f>
        <v>A preacher bringing in oar for assaying.</v>
      </c>
      <c r="J196" s="3" t="s">
        <v>3016</v>
      </c>
      <c r="K196" s="14">
        <v>229</v>
      </c>
      <c r="L196" s="3" t="str">
        <f ca="1">VLOOKUP(RANDBETWEEN(1,40),NEWS,2)</f>
        <v>a copy of Around The Corner newspaper, dated: June 7, 1868</v>
      </c>
      <c r="N196" s="3">
        <v>17</v>
      </c>
      <c r="O196" s="3" t="s">
        <v>389</v>
      </c>
      <c r="P196" s="3">
        <v>162</v>
      </c>
      <c r="Q196" s="2" t="s">
        <v>1396</v>
      </c>
      <c r="R196" s="3">
        <v>6</v>
      </c>
      <c r="S196" s="3" t="s">
        <v>1302</v>
      </c>
      <c r="T196" s="3">
        <v>56</v>
      </c>
      <c r="U196" s="3" t="s">
        <v>2439</v>
      </c>
      <c r="V196" s="3" t="s">
        <v>2382</v>
      </c>
    </row>
    <row r="197" spans="4:22" ht="78.75" x14ac:dyDescent="0.2">
      <c r="D197" s="3">
        <v>196</v>
      </c>
      <c r="E197" s="3" t="s">
        <v>522</v>
      </c>
      <c r="F197" s="3">
        <v>196</v>
      </c>
      <c r="G197" s="3" t="s">
        <v>156</v>
      </c>
      <c r="H197" s="3">
        <v>196</v>
      </c>
      <c r="I197" s="3" t="str">
        <f ca="1">"A preacher "&amp;VLOOKUP(RANDBETWEEN(1,40),wilderness,2)</f>
        <v>A preacher transporting prisoners.</v>
      </c>
      <c r="J197" s="3" t="s">
        <v>3016</v>
      </c>
      <c r="K197" s="14">
        <v>230</v>
      </c>
      <c r="L197" s="3" t="str">
        <f ca="1">VLOOKUP(RANDBETWEEN(1,40),NEWS,2)</f>
        <v>a copy of The Tombstone Epitaph, dated: March 24, 1875</v>
      </c>
      <c r="N197" s="3">
        <v>18</v>
      </c>
      <c r="O197" s="3" t="s">
        <v>390</v>
      </c>
      <c r="P197" s="3">
        <v>163</v>
      </c>
      <c r="Q197" s="2" t="s">
        <v>1398</v>
      </c>
      <c r="R197" s="3">
        <v>7</v>
      </c>
      <c r="S197" s="3" t="s">
        <v>1304</v>
      </c>
      <c r="T197" s="3">
        <v>57</v>
      </c>
      <c r="U197" s="3" t="s">
        <v>2440</v>
      </c>
      <c r="V197" s="3" t="s">
        <v>2382</v>
      </c>
    </row>
    <row r="198" spans="4:22" ht="31.5" x14ac:dyDescent="0.2">
      <c r="D198" s="3">
        <v>197</v>
      </c>
      <c r="E198" s="3" t="s">
        <v>555</v>
      </c>
      <c r="F198" s="3">
        <v>197</v>
      </c>
      <c r="G198" s="3" t="s">
        <v>619</v>
      </c>
      <c r="H198" s="3">
        <v>197</v>
      </c>
      <c r="I198" s="3" t="str">
        <f ca="1">"A railroad executive "&amp;VLOOKUP(RANDBETWEEN(1,40),town,2)</f>
        <v>A railroad executive heading out of town.</v>
      </c>
      <c r="J198" s="3" t="s">
        <v>3016</v>
      </c>
      <c r="K198" s="14">
        <v>231</v>
      </c>
      <c r="L198" s="3" t="str">
        <f ca="1">"a book: "&amp;VLOOKUP(RANDBETWEEN(1,4413),BOOK,2)</f>
        <v>a book: Sketches New and Old, by Mark Twain {1875}</v>
      </c>
      <c r="N198" s="3">
        <v>19</v>
      </c>
      <c r="O198" s="3" t="s">
        <v>391</v>
      </c>
      <c r="P198" s="3">
        <v>164</v>
      </c>
      <c r="Q198" s="2" t="s">
        <v>1400</v>
      </c>
      <c r="R198" s="3">
        <v>8</v>
      </c>
      <c r="S198" s="3" t="s">
        <v>1306</v>
      </c>
      <c r="T198" s="3">
        <v>58</v>
      </c>
      <c r="U198" s="3" t="s">
        <v>2441</v>
      </c>
      <c r="V198" s="3" t="s">
        <v>2382</v>
      </c>
    </row>
    <row r="199" spans="4:22" ht="63" x14ac:dyDescent="0.2">
      <c r="D199" s="3">
        <v>198</v>
      </c>
      <c r="E199" s="3" t="s">
        <v>549</v>
      </c>
      <c r="F199" s="3">
        <v>198</v>
      </c>
      <c r="G199" s="3" t="s">
        <v>261</v>
      </c>
      <c r="H199" s="3">
        <v>198</v>
      </c>
      <c r="I199" s="3" t="str">
        <f ca="1">"A rancher "&amp;VLOOKUP(RANDBETWEEN(1,40),wilderness,2)</f>
        <v>A rancher planning a crime.</v>
      </c>
      <c r="J199" s="3" t="s">
        <v>3016</v>
      </c>
      <c r="K199" s="14">
        <v>232</v>
      </c>
      <c r="L199" s="3" t="str">
        <f ca="1">"a book: "&amp;VLOOKUP(RANDBETWEEN(1,4413),BOOK,2)</f>
        <v>a book: Fathers and Sons, by Ivan Turgenev {1862}</v>
      </c>
      <c r="N199" s="3">
        <v>20</v>
      </c>
      <c r="O199" s="3" t="s">
        <v>392</v>
      </c>
      <c r="P199" s="3">
        <v>165</v>
      </c>
      <c r="Q199" s="2" t="s">
        <v>1402</v>
      </c>
      <c r="R199" s="3">
        <v>9</v>
      </c>
      <c r="S199" s="3" t="s">
        <v>2994</v>
      </c>
      <c r="T199" s="3">
        <v>59</v>
      </c>
      <c r="U199" s="3" t="s">
        <v>2442</v>
      </c>
      <c r="V199" s="3" t="s">
        <v>2382</v>
      </c>
    </row>
    <row r="200" spans="4:22" ht="47.25" x14ac:dyDescent="0.2">
      <c r="D200" s="3">
        <v>199</v>
      </c>
      <c r="E200" s="3" t="s">
        <v>715</v>
      </c>
      <c r="F200" s="3">
        <v>199</v>
      </c>
      <c r="G200" s="3" t="s">
        <v>60</v>
      </c>
      <c r="H200" s="3">
        <v>199</v>
      </c>
      <c r="I200" s="1" t="str">
        <f ca="1">"A reporter "&amp;VLOOKUP(RANDBETWEEN(1,40),wilderness,2)</f>
        <v>A reporter hunting wolf.</v>
      </c>
      <c r="J200" s="1" t="s">
        <v>3016</v>
      </c>
      <c r="K200" s="14">
        <v>233</v>
      </c>
      <c r="L200" s="3" t="str">
        <f ca="1">"a book: "&amp;VLOOKUP(RANDBETWEEN(1,4413),BOOK,2)</f>
        <v>a book: Ivanhoe, by Walter Scott {1819}: Character may gain a +2 to their Occult, but must succeed a Gut Checks at a -4, failure means they must roll on the Scart Table.</v>
      </c>
      <c r="P200" s="3">
        <v>166</v>
      </c>
      <c r="Q200" s="2" t="s">
        <v>1404</v>
      </c>
      <c r="R200" s="3">
        <v>10</v>
      </c>
      <c r="S200" s="3" t="s">
        <v>1309</v>
      </c>
      <c r="T200" s="3">
        <v>60</v>
      </c>
      <c r="U200" s="3" t="s">
        <v>2443</v>
      </c>
      <c r="V200" s="3" t="s">
        <v>2382</v>
      </c>
    </row>
    <row r="201" spans="4:22" x14ac:dyDescent="0.2">
      <c r="D201" s="3">
        <v>200</v>
      </c>
      <c r="E201" s="3" t="s">
        <v>716</v>
      </c>
      <c r="F201" s="3">
        <v>200</v>
      </c>
      <c r="G201" s="3" t="s">
        <v>405</v>
      </c>
      <c r="H201" s="3">
        <v>200</v>
      </c>
      <c r="I201" s="1" t="str">
        <f ca="1">"A reporter "&amp;VLOOKUP(RANDBETWEEN(1,40),town,2)</f>
        <v>A reporter skipping out on a wedding.</v>
      </c>
      <c r="J201" s="1" t="s">
        <v>3016</v>
      </c>
      <c r="K201" s="14">
        <v>234</v>
      </c>
      <c r="L201" s="3" t="str">
        <f ca="1">"a book: "&amp;VLOOKUP(RANDBETWEEN(1,4413),BOOK,2)</f>
        <v>a book: Mark Twain's Burlesque Autobiography and First Romance, by Mark Twain {1871}</v>
      </c>
      <c r="O201" s="22" t="s">
        <v>925</v>
      </c>
      <c r="P201" s="3">
        <v>167</v>
      </c>
      <c r="Q201" s="2" t="s">
        <v>1406</v>
      </c>
      <c r="R201" s="3">
        <v>11</v>
      </c>
      <c r="S201" s="3" t="s">
        <v>2995</v>
      </c>
      <c r="T201" s="3">
        <v>61</v>
      </c>
      <c r="U201" s="3" t="s">
        <v>2444</v>
      </c>
      <c r="V201" s="3" t="s">
        <v>2382</v>
      </c>
    </row>
    <row r="202" spans="4:22" ht="31.5" x14ac:dyDescent="0.2">
      <c r="D202" s="3">
        <v>201</v>
      </c>
      <c r="E202" s="3" t="s">
        <v>536</v>
      </c>
      <c r="F202" s="3">
        <v>201</v>
      </c>
      <c r="G202" s="3" t="s">
        <v>584</v>
      </c>
      <c r="H202" s="3">
        <v>201</v>
      </c>
      <c r="I202" s="3" t="str">
        <f ca="1">"An Indian "&amp;VLOOKUP(RANDBETWEEN(1,40),town,2)</f>
        <v>An Indian looking for work.</v>
      </c>
      <c r="J202" s="3" t="s">
        <v>3016</v>
      </c>
      <c r="K202" s="14">
        <v>235</v>
      </c>
      <c r="L202" s="3" t="str">
        <f ca="1">VLOOKUP(RANDBETWEEN(1,40),MAGAZINE,2)</f>
        <v>A(n) September 1860 copy of The Strand Magazine.</v>
      </c>
      <c r="N202" s="3">
        <v>1</v>
      </c>
      <c r="O202" s="3" t="str">
        <f ca="1">"meat pies {$0"&amp;VLOOKUP(RANDBETWEEN(2,101),CHANGE,2)&amp;"}"</f>
        <v>meat pies {$0.79}</v>
      </c>
      <c r="P202" s="3">
        <v>168</v>
      </c>
      <c r="Q202" s="2" t="s">
        <v>1408</v>
      </c>
      <c r="R202" s="3">
        <v>12</v>
      </c>
      <c r="S202" s="3" t="s">
        <v>1312</v>
      </c>
      <c r="T202" s="3">
        <v>62</v>
      </c>
      <c r="U202" s="3" t="s">
        <v>2445</v>
      </c>
      <c r="V202" s="3" t="s">
        <v>2382</v>
      </c>
    </row>
    <row r="203" spans="4:22" ht="63" x14ac:dyDescent="0.2">
      <c r="D203" s="3">
        <v>202</v>
      </c>
      <c r="E203" s="3" t="s">
        <v>717</v>
      </c>
      <c r="F203" s="3">
        <v>202</v>
      </c>
      <c r="G203" s="8" t="str">
        <f ca="1">"A mysterious rain of "&amp;VLOOKUP(RANDBETWEEN(1,10),fish,2)&amp;":  The players will bash their brains out trying to figure the significance.  Enterprising players with food preservation skills may turn this into a money making opportunity…"</f>
        <v>A mysterious rain of crawfish:  The players will bash their brains out trying to figure the significance.  Enterprising players with food preservation skills may turn this into a money making opportunity…</v>
      </c>
      <c r="H203" s="3">
        <v>202</v>
      </c>
      <c r="I203" s="3" t="str">
        <f ca="1">"An Indian "&amp;VLOOKUP(RANDBETWEEN(1,40),wilderness,2)</f>
        <v>An Indian transporting prisoners.</v>
      </c>
      <c r="J203" s="3" t="s">
        <v>3016</v>
      </c>
      <c r="K203" s="14">
        <v>236</v>
      </c>
      <c r="L203" s="3" t="str">
        <f ca="1">VLOOKUP(RANDBETWEEN(1,40),MAGAZINE,2)</f>
        <v>A(n) November 1873 copy of McCall's Democratic Digest Magazine.</v>
      </c>
      <c r="N203" s="3">
        <v>2</v>
      </c>
      <c r="O203" s="3" t="str">
        <f ca="1">"holy water {$"&amp;(RANDBETWEEN(0,5)&amp;VLOOKUP(RANDBETWEEN(1,100),CHANGE,2)&amp;"}")</f>
        <v>holy water {$0.45}</v>
      </c>
      <c r="P203" s="3">
        <v>169</v>
      </c>
      <c r="Q203" s="2" t="s">
        <v>1410</v>
      </c>
      <c r="R203" s="3">
        <v>13</v>
      </c>
      <c r="S203" s="3" t="s">
        <v>1314</v>
      </c>
      <c r="T203" s="3">
        <v>63</v>
      </c>
      <c r="U203" s="3" t="s">
        <v>2446</v>
      </c>
      <c r="V203" s="3" t="s">
        <v>2382</v>
      </c>
    </row>
    <row r="204" spans="4:22" ht="31.5" x14ac:dyDescent="0.2">
      <c r="D204" s="3">
        <v>203</v>
      </c>
      <c r="E204" s="3" t="s">
        <v>457</v>
      </c>
      <c r="F204" s="3">
        <v>203</v>
      </c>
      <c r="G204" s="3" t="s">
        <v>443</v>
      </c>
      <c r="H204" s="3">
        <v>203</v>
      </c>
      <c r="I204" s="3" t="s">
        <v>679</v>
      </c>
      <c r="J204" s="3" t="s">
        <v>3016</v>
      </c>
      <c r="K204" s="14">
        <v>237</v>
      </c>
      <c r="L204" s="3" t="str">
        <f ca="1">VLOOKUP(RANDBETWEEN(1,40),MAGAZINE,2)</f>
        <v>A(n) February 1866 copy of Roanoke Religious Correspondent Magazine.</v>
      </c>
      <c r="N204" s="3">
        <v>3</v>
      </c>
      <c r="O204" s="3" t="str">
        <f ca="1">"whisky {$0"&amp;VLOOKUP(RANDBETWEEN(6,51),CHANGE,2)&amp;"}"</f>
        <v>whisky {$0.21}</v>
      </c>
      <c r="P204" s="3">
        <v>170</v>
      </c>
      <c r="Q204" s="2" t="s">
        <v>1412</v>
      </c>
      <c r="R204" s="3">
        <v>14</v>
      </c>
      <c r="S204" s="3" t="s">
        <v>1316</v>
      </c>
      <c r="T204" s="3">
        <v>64</v>
      </c>
      <c r="U204" s="3" t="s">
        <v>2447</v>
      </c>
      <c r="V204" s="3" t="s">
        <v>2382</v>
      </c>
    </row>
    <row r="205" spans="4:22" ht="47.25" x14ac:dyDescent="0.2">
      <c r="D205" s="3">
        <v>204</v>
      </c>
      <c r="E205" s="3" t="s">
        <v>266</v>
      </c>
      <c r="F205" s="3">
        <v>204</v>
      </c>
      <c r="G205" s="3" t="s">
        <v>339</v>
      </c>
      <c r="H205" s="3">
        <v>204</v>
      </c>
      <c r="I205" s="1" t="str">
        <f ca="1">"A sheepherder "&amp;VLOOKUP(RANDBETWEEN(1,40),wilderness,2)</f>
        <v>A sheepherder looking for a missing person.</v>
      </c>
      <c r="J205" s="1" t="s">
        <v>3016</v>
      </c>
      <c r="K205" s="14">
        <v>238</v>
      </c>
      <c r="L205" s="3" t="str">
        <f ca="1">VLOOKUP(RANDBETWEEN(1,40),MAGAZINE,2)</f>
        <v>A(n) March 1854 Sears &amp; Robuck Catalogue.</v>
      </c>
      <c r="N205" s="3">
        <v>4</v>
      </c>
      <c r="O205" s="3" t="str">
        <f ca="1">"beer {$0"&amp;VLOOKUP(RANDBETWEEN(6,21),CHANGE,2)&amp;"}"</f>
        <v>beer {$0.08}</v>
      </c>
      <c r="P205" s="3">
        <v>171</v>
      </c>
      <c r="Q205" s="2" t="s">
        <v>1414</v>
      </c>
      <c r="R205" s="3">
        <v>15</v>
      </c>
      <c r="S205" s="3" t="s">
        <v>1318</v>
      </c>
      <c r="T205" s="3">
        <v>65</v>
      </c>
      <c r="U205" s="3" t="s">
        <v>2448</v>
      </c>
      <c r="V205" s="3" t="s">
        <v>2382</v>
      </c>
    </row>
    <row r="206" spans="4:22" ht="78.75" x14ac:dyDescent="0.2">
      <c r="D206" s="3">
        <v>205</v>
      </c>
      <c r="E206" s="3" t="s">
        <v>467</v>
      </c>
      <c r="F206" s="3">
        <v>205</v>
      </c>
      <c r="G206" s="3" t="str">
        <f ca="1">"A pair of small "&amp;VLOOKUP(RANDBETWEEN(1,20),critter,2)&amp;"s harass the Posse"</f>
        <v>A pair of small mouses harass the Posse</v>
      </c>
      <c r="H206" s="3">
        <v>205</v>
      </c>
      <c r="I206" s="1" t="str">
        <f ca="1">"A sheepherder "&amp;VLOOKUP(RANDBETWEEN(1,40),town,2)</f>
        <v>A sheepherder rounding up truants.</v>
      </c>
      <c r="J206" s="1" t="s">
        <v>3016</v>
      </c>
      <c r="K206" s="14">
        <v>239</v>
      </c>
      <c r="L206" s="3" t="str">
        <f ca="1">"a stack of books: "&amp;VLOOKUP(RANDBETWEEN(1,4413),BOOK,2)&amp;", "&amp;VLOOKUP(RANDBETWEEN(1,4413),BOOK,2)&amp;", "&amp;VLOOKUP(RANDBETWEEN(1,4413),BOOK,2)&amp;" and "&amp;VLOOKUP(RANDBETWEEN(1,4413),BOOK,2)</f>
        <v>a stack of books: Old Times on the Mississippi, by Mark Twain {1876}, Ivanhoe, by Walter Scott {1819}: Character may gain a +2 to their Occult, but must succeed a Gut Checks at a -4, failure means they must roll on the Scart Table., Pride and Prejudice, by Jane Austen {1813} and Agnes Grey, by Anne Brontë {1847}</v>
      </c>
      <c r="N206" s="3">
        <v>5</v>
      </c>
      <c r="O206" s="3" t="str">
        <f ca="1">"hot corn {$0"&amp;VLOOKUP(RANDBETWEEN(2,101),CHANGE,2)&amp;"}"</f>
        <v>hot corn {$0.04}</v>
      </c>
      <c r="P206" s="3">
        <v>172</v>
      </c>
      <c r="Q206" s="2" t="s">
        <v>1416</v>
      </c>
      <c r="R206" s="3">
        <v>16</v>
      </c>
      <c r="S206" s="3" t="s">
        <v>1320</v>
      </c>
      <c r="T206" s="3">
        <v>66</v>
      </c>
      <c r="U206" s="3" t="s">
        <v>2449</v>
      </c>
      <c r="V206" s="3" t="s">
        <v>2382</v>
      </c>
    </row>
    <row r="207" spans="4:22" ht="63" x14ac:dyDescent="0.2">
      <c r="D207" s="3">
        <v>206</v>
      </c>
      <c r="E207" s="3" t="s">
        <v>560</v>
      </c>
      <c r="F207" s="3">
        <v>206</v>
      </c>
      <c r="G207" s="3" t="s">
        <v>272</v>
      </c>
      <c r="H207" s="3">
        <v>206</v>
      </c>
      <c r="I207" s="3" t="str">
        <f ca="1">"A stage driver "&amp;VLOOKUP(RANDBETWEEN(1,40),town,2)</f>
        <v>A stage driver insulting ranchers.</v>
      </c>
      <c r="J207" s="3" t="s">
        <v>3016</v>
      </c>
      <c r="K207" s="14">
        <v>240</v>
      </c>
      <c r="L207" s="3" t="str">
        <f ca="1">"a stack of reading materal: "&amp;VLOOKUP(RANDBETWEEN(1,4413),BOOK,2)&amp;", "&amp;VLOOKUP(RANDBETWEEN(1,40),MAGAZINE,2)&amp;", "&amp;VLOOKUP(RANDBETWEEN(1,40),NEWS,2)&amp;" and a Dime Novel: "&amp;VLOOKUP(RANDBETWEEN(1,100),DIME,2)</f>
        <v xml:space="preserve">a stack of reading materal: A Clockwork Man and Other Abomanations of Science, by F. Alexander {1871}, A(n) March 1854 Sears &amp; Robuck Catalogue., a copy of the Houston Times newspaper, dated: July 1, 1878 and a Dime Novel: Adios, A-Mi-Go </v>
      </c>
      <c r="N207" s="3">
        <v>6</v>
      </c>
      <c r="O207" s="3" t="str">
        <f ca="1">"popcorn {$0"&amp;VLOOKUP(RANDBETWEEN(2,6),CHANGE,2)&amp;"}"</f>
        <v>popcorn {$0.03}</v>
      </c>
      <c r="P207" s="3">
        <v>173</v>
      </c>
      <c r="Q207" s="2" t="s">
        <v>1418</v>
      </c>
      <c r="R207" s="3">
        <v>17</v>
      </c>
      <c r="S207" s="3" t="s">
        <v>1322</v>
      </c>
      <c r="T207" s="3">
        <v>67</v>
      </c>
      <c r="U207" s="3" t="str">
        <f ca="1">VLOOKUP(RANDBETWEEN(1,233),NAME,2)</f>
        <v>Barclay</v>
      </c>
    </row>
    <row r="208" spans="4:22" ht="78.75" x14ac:dyDescent="0.2">
      <c r="D208" s="3">
        <v>207</v>
      </c>
      <c r="E208" s="3" t="s">
        <v>338</v>
      </c>
      <c r="F208" s="3">
        <v>207</v>
      </c>
      <c r="G208" s="3" t="s">
        <v>67</v>
      </c>
      <c r="H208" s="3">
        <v>207</v>
      </c>
      <c r="I208" s="3" t="str">
        <f ca="1">"A stage driver "&amp;VLOOKUP(RANDBETWEEN(1,40),wilderness,2)</f>
        <v>A stage driver transporting prisoners.</v>
      </c>
      <c r="J208" s="3" t="s">
        <v>3016</v>
      </c>
      <c r="K208" s="14">
        <v>241</v>
      </c>
      <c r="L208" s="3" t="str">
        <f ca="1">"a stack of reading materal: "&amp;VLOOKUP(RANDBETWEEN(1,4413),BOOK,2)&amp;", "&amp;VLOOKUP(RANDBETWEEN(1,40),MAGAZINE,2)&amp;", "&amp;VLOOKUP(RANDBETWEEN(1,40),NEWS,2)&amp;" and a Dime Novel: "&amp;VLOOKUP(RANDBETWEEN(1,100),DIME,2)</f>
        <v>a stack of reading materal: The Great Revolution in Pitcairn, by Mark Twain {1879}, A(n) October 1871 copy of American Boy's Magazine {children's magazine}., a copy of the Kansas City Press newspaper, dated: March 24, 1867 and a Dime Novel: The Phantom Horseman</v>
      </c>
      <c r="N208" s="3">
        <v>7</v>
      </c>
      <c r="O208" s="3" t="str">
        <f ca="1">"cooking ware {$0"&amp;VLOOKUP(RANDBETWEEN(2,101),CHANGE,2)&amp;"}"</f>
        <v>cooking ware {$0.82}</v>
      </c>
      <c r="P208" s="3">
        <v>174</v>
      </c>
      <c r="Q208" s="2" t="s">
        <v>1420</v>
      </c>
      <c r="R208" s="3">
        <v>18</v>
      </c>
      <c r="S208" s="3" t="s">
        <v>1324</v>
      </c>
      <c r="T208" s="3">
        <v>68</v>
      </c>
      <c r="U208" s="3" t="s">
        <v>2450</v>
      </c>
    </row>
    <row r="209" spans="4:23" ht="31.5" x14ac:dyDescent="0.2">
      <c r="D209" s="3">
        <v>208</v>
      </c>
      <c r="E209" s="3" t="s">
        <v>718</v>
      </c>
      <c r="F209" s="3">
        <v>208</v>
      </c>
      <c r="G209" s="3" t="s">
        <v>414</v>
      </c>
      <c r="H209" s="3">
        <v>208</v>
      </c>
      <c r="I209" s="3" t="str">
        <f ca="1">"A stage guard "&amp;VLOOKUP(RANDBETWEEN(1,40),town,2)</f>
        <v>A stage guard hiding out.</v>
      </c>
      <c r="J209" s="3" t="s">
        <v>3016</v>
      </c>
      <c r="K209" s="14">
        <v>242</v>
      </c>
      <c r="L209" s="3" t="s">
        <v>2256</v>
      </c>
      <c r="N209" s="3">
        <v>8</v>
      </c>
      <c r="O209" s="3" t="str">
        <f ca="1">"silverware {$"&amp;(RANDBETWEEN(4,10)&amp;VLOOKUP(RANDBETWEEN(1,100),CHANGE,2)&amp;"}")</f>
        <v>silverware {$6.70}</v>
      </c>
      <c r="P209" s="3">
        <v>175</v>
      </c>
      <c r="Q209" s="2" t="s">
        <v>1421</v>
      </c>
      <c r="R209" s="3">
        <v>19</v>
      </c>
      <c r="S209" s="3" t="s">
        <v>1326</v>
      </c>
      <c r="T209" s="3">
        <v>69</v>
      </c>
      <c r="U209" s="3" t="s">
        <v>2451</v>
      </c>
      <c r="W209" s="3">
        <f ca="1">RANDBETWEEN(1,45)</f>
        <v>19</v>
      </c>
    </row>
    <row r="210" spans="4:23" x14ac:dyDescent="0.2">
      <c r="D210" s="3">
        <v>209</v>
      </c>
      <c r="E210" s="3" t="s">
        <v>276</v>
      </c>
      <c r="F210" s="3">
        <v>209</v>
      </c>
      <c r="G210" s="3" t="s">
        <v>595</v>
      </c>
      <c r="H210" s="3">
        <v>209</v>
      </c>
      <c r="I210" s="3" t="str">
        <f ca="1">"A stage guard "&amp;VLOOKUP(RANDBETWEEN(1,40),wilderness,2)</f>
        <v>A stage guard transporting wounded.</v>
      </c>
      <c r="J210" s="3" t="s">
        <v>3016</v>
      </c>
      <c r="K210" s="14">
        <v>243</v>
      </c>
      <c r="L210" s="3" t="s">
        <v>2257</v>
      </c>
      <c r="N210" s="3">
        <v>9</v>
      </c>
      <c r="O210" s="3" t="str">
        <f ca="1">"toys {$"&amp;(RANDBETWEEN(1,20)&amp;VLOOKUP(RANDBETWEEN(1,100),CHANGE,2)&amp;"}")</f>
        <v>toys {$2.86}</v>
      </c>
      <c r="P210" s="3">
        <v>176</v>
      </c>
      <c r="Q210" s="2" t="s">
        <v>1422</v>
      </c>
      <c r="R210" s="3">
        <v>20</v>
      </c>
      <c r="S210" s="3" t="s">
        <v>1328</v>
      </c>
      <c r="T210" s="3">
        <v>70</v>
      </c>
      <c r="U210" s="3" t="s">
        <v>2367</v>
      </c>
    </row>
    <row r="211" spans="4:23" x14ac:dyDescent="0.2">
      <c r="D211" s="3">
        <v>210</v>
      </c>
      <c r="E211" s="3" t="s">
        <v>719</v>
      </c>
      <c r="F211" s="3">
        <v>210</v>
      </c>
      <c r="G211" s="1" t="s">
        <v>403</v>
      </c>
      <c r="H211" s="3">
        <v>210</v>
      </c>
      <c r="I211" s="3" t="str">
        <f ca="1">"A teamster "&amp;VLOOKUP(RANDBETWEEN(1,40),town,2)</f>
        <v>A teamster forming a posse.</v>
      </c>
      <c r="J211" s="3" t="s">
        <v>3016</v>
      </c>
      <c r="K211" s="14">
        <v>244</v>
      </c>
      <c r="L211" s="3" t="str">
        <f ca="1">"a "&amp;VLOOKUP(RANDBETWEEN(1,4),FILL,2)&amp;" barrel of "&amp;VLOOKUP(RANDBETWEEN(1,30),varmints,2)&amp;" "&amp;VLOOKUP(RANDBETWEEN(1,6),HIDE,2)</f>
        <v>a half full barrel of rabbit skin/hide</v>
      </c>
      <c r="N211" s="3">
        <v>10</v>
      </c>
      <c r="O211" s="3" t="str">
        <f ca="1">"hot peppers {$0"&amp;VLOOKUP(RANDBETWEEN(2,101),CHANGE,2)&amp;"}"</f>
        <v>hot peppers {$0.35}</v>
      </c>
      <c r="P211" s="3">
        <v>177</v>
      </c>
      <c r="Q211" s="2" t="s">
        <v>1423</v>
      </c>
      <c r="U211" s="3">
        <f ca="1">RANDBETWEEN(1,70)</f>
        <v>11</v>
      </c>
      <c r="V211" s="3">
        <f ca="1">RANDBETWEEN(1,40)</f>
        <v>26</v>
      </c>
      <c r="W211" s="3">
        <f ca="1">RANDBETWEEN(1,45)</f>
        <v>29</v>
      </c>
    </row>
    <row r="212" spans="4:23" ht="31.5" x14ac:dyDescent="0.2">
      <c r="D212" s="3">
        <v>211</v>
      </c>
      <c r="E212" s="3" t="s">
        <v>499</v>
      </c>
      <c r="F212" s="3">
        <v>211</v>
      </c>
      <c r="G212" s="3" t="s">
        <v>280</v>
      </c>
      <c r="H212" s="3">
        <v>211</v>
      </c>
      <c r="I212" s="3" t="str">
        <f ca="1">"A teamster "&amp;VLOOKUP(RANDBETWEEN(1,40),wilderness,2)</f>
        <v>A teamster looking for lost treasure.</v>
      </c>
      <c r="J212" s="3" t="s">
        <v>3016</v>
      </c>
      <c r="K212" s="14">
        <v>245</v>
      </c>
      <c r="L212" s="3" t="str">
        <f ca="1">"a "&amp;VLOOKUP(RANDBETWEEN(1,4),FILL,2)&amp;" "&amp;VLOOKUP(RANDBETWEEN(12,22),POUCH,2)&amp;" of "&amp;VLOOKUP(RANDBETWEEN(1,30),varmints,2)&amp;" "&amp;VLOOKUP(RANDBETWEEN(1,6),HIDE,2)</f>
        <v>a 1/4 full bag of wolf heart</v>
      </c>
      <c r="N212" s="3">
        <v>11</v>
      </c>
      <c r="O212" s="3" t="str">
        <f ca="1">"inks  {$0"&amp;VLOOKUP(RANDBETWEEN(2,101),CHANGE,2)&amp;"}"</f>
        <v>inks  {$0.98}</v>
      </c>
      <c r="P212" s="3">
        <v>178</v>
      </c>
      <c r="Q212" s="2" t="s">
        <v>1425</v>
      </c>
      <c r="R212" s="7"/>
      <c r="S212" s="47" t="s">
        <v>1331</v>
      </c>
      <c r="U212" s="3" t="str">
        <f ca="1">VLOOKUP(U211,$T$139:$W$210,2,FALSE)</f>
        <v>Co</v>
      </c>
      <c r="V212" s="3" t="str">
        <f ca="1">VLOOKUP(V211,$T$139:$W$205,3,FALSE)</f>
        <v xml:space="preserve"> </v>
      </c>
      <c r="W212" s="3" t="str">
        <f ca="1">VLOOKUP($W$209,$T$139:$W$205,4,FALSE)</f>
        <v>land</v>
      </c>
    </row>
    <row r="213" spans="4:23" x14ac:dyDescent="0.2">
      <c r="D213" s="3">
        <v>212</v>
      </c>
      <c r="E213" s="3" t="s">
        <v>720</v>
      </c>
      <c r="F213" s="3">
        <v>212</v>
      </c>
      <c r="G213" s="3" t="str">
        <f ca="1">"A Pony Express Rider thunders past heading "&amp;VLOOKUP(RANDBETWEEN(1,4),Compas,2)&amp;"."</f>
        <v>A Pony Express Rider thunders past heading east.</v>
      </c>
      <c r="H213" s="3">
        <v>212</v>
      </c>
      <c r="I213" s="1" t="str">
        <f ca="1">"A Texas ranger "&amp;VLOOKUP(RANDBETWEEN(1,40),wilderness,2)</f>
        <v>A Texas ranger repairing a telegraph line.</v>
      </c>
      <c r="J213" s="1" t="s">
        <v>3016</v>
      </c>
      <c r="K213" s="14">
        <v>246</v>
      </c>
      <c r="L213" s="3" t="str">
        <f ca="1">"a(n) "&amp;VLOOKUP(RANDBETWEEN(1,5),FILL,2)&amp;" cask of "&amp;VLOOKUP(RANDBETWEEN(1,22),DRINKS,2)</f>
        <v>a(n) half full cask of Merlot Wine</v>
      </c>
      <c r="N213" s="3">
        <v>12</v>
      </c>
      <c r="O213" s="3" t="str">
        <f ca="1">"writing paraphernalia {$"&amp;(RANDBETWEEN(0,3)&amp;VLOOKUP(RANDBETWEEN(1,100),CHANGE,2)&amp;"}")</f>
        <v>writing paraphernalia {$1.12}</v>
      </c>
      <c r="P213" s="3">
        <v>179</v>
      </c>
      <c r="Q213" s="2" t="s">
        <v>1870</v>
      </c>
      <c r="R213" s="7">
        <v>1</v>
      </c>
      <c r="S213" s="7" t="s">
        <v>1333</v>
      </c>
      <c r="U213" s="3">
        <f ca="1">RANDBETWEEN(1,70)</f>
        <v>6</v>
      </c>
      <c r="V213" s="3">
        <f ca="1">RANDBETWEEN(1,40)</f>
        <v>21</v>
      </c>
    </row>
    <row r="214" spans="4:23" x14ac:dyDescent="0.2">
      <c r="D214" s="3">
        <v>213</v>
      </c>
      <c r="E214" s="3" t="s">
        <v>721</v>
      </c>
      <c r="F214" s="3">
        <v>213</v>
      </c>
      <c r="G214" s="1" t="str">
        <f ca="1">"A posse "&amp;VLOOKUP(RANDBETWEEN(1,40),wilderness,2)</f>
        <v>A posse looking for work.</v>
      </c>
      <c r="H214" s="3">
        <v>213</v>
      </c>
      <c r="I214" s="1" t="str">
        <f ca="1">"A Texas ranger "&amp;VLOOKUP(RANDBETWEEN(1,40),town,2)</f>
        <v>A Texas ranger touting a champion boxer: Johnny McGowan.</v>
      </c>
      <c r="J214" s="1" t="s">
        <v>3016</v>
      </c>
      <c r="K214" s="14">
        <v>247</v>
      </c>
      <c r="L214" s="3" t="str">
        <f ca="1">"a(n) "&amp;VLOOKUP(RANDBETWEEN(1,5),FILL,2)&amp;" "&amp;VLOOKUP(RANDBETWEEN(1,15),BOTTLE,2)&amp;" of "&amp;VLOOKUP(RANDBETWEEN(1,22),DRINKS,2)</f>
        <v>a(n) 1/4 full tin of Mulberry Wine</v>
      </c>
      <c r="N214" s="3">
        <v>13</v>
      </c>
      <c r="O214" s="3" t="str">
        <f ca="1">"cigars  {$0"&amp;(VLOOKUP(RANDBETWEEN(2,51),CHANGE,2)&amp;"}")</f>
        <v>cigars  {$0.02}</v>
      </c>
      <c r="P214" s="3">
        <v>180</v>
      </c>
      <c r="Q214" s="2" t="s">
        <v>1871</v>
      </c>
      <c r="R214" s="7">
        <v>2</v>
      </c>
      <c r="S214" s="7" t="s">
        <v>1335</v>
      </c>
      <c r="U214" s="3" t="str">
        <f ca="1">VLOOKUP(U213,$T$139:$W$210,2,FALSE)</f>
        <v>Bel</v>
      </c>
      <c r="V214" s="3" t="str">
        <f ca="1">VLOOKUP(V213,$T$139:$W$205,3,FALSE)</f>
        <v>ym</v>
      </c>
      <c r="W214" s="3" t="str">
        <f ca="1">VLOOKUP($W$211,$T$139:$W$205,4,FALSE)</f>
        <v>ow</v>
      </c>
    </row>
    <row r="215" spans="4:23" x14ac:dyDescent="0.2">
      <c r="D215" s="3">
        <v>214</v>
      </c>
      <c r="E215" s="3" t="s">
        <v>722</v>
      </c>
      <c r="F215" s="3">
        <v>214</v>
      </c>
      <c r="G215" s="3" t="s">
        <v>397</v>
      </c>
      <c r="H215" s="3">
        <v>214</v>
      </c>
      <c r="I215" s="3" t="s">
        <v>206</v>
      </c>
      <c r="J215" s="3" t="s">
        <v>3016</v>
      </c>
      <c r="K215" s="14">
        <v>248</v>
      </c>
      <c r="L215" s="15" t="str">
        <f ca="1">"$"&amp;RANDBETWEEN(50,75)&amp;VLOOKUP(RANDBETWEEN(1,100),CHANGE,2)</f>
        <v>$63.64</v>
      </c>
      <c r="N215" s="3">
        <v>14</v>
      </c>
      <c r="O215" s="3" t="str">
        <f ca="1">"a tobacco plug  {$0"&amp;(VLOOKUP(RANDBETWEEN(6,51),CHANGE,2)&amp;"}")</f>
        <v>a tobacco plug  {$0.43}</v>
      </c>
      <c r="P215" s="3">
        <v>181</v>
      </c>
      <c r="Q215" s="2" t="s">
        <v>1872</v>
      </c>
      <c r="R215" s="7">
        <v>3</v>
      </c>
      <c r="S215" s="7" t="s">
        <v>1337</v>
      </c>
      <c r="U215" s="3" t="str">
        <f ca="1">IF(V212=" ",CONCATENATE(U212,W212),CONCATENATE(U212,V212,W212))</f>
        <v>Coland</v>
      </c>
      <c r="W215" s="28"/>
    </row>
    <row r="216" spans="4:23" ht="47.25" x14ac:dyDescent="0.2">
      <c r="D216" s="3">
        <v>215</v>
      </c>
      <c r="E216" s="3" t="s">
        <v>1136</v>
      </c>
      <c r="F216" s="3">
        <v>215</v>
      </c>
      <c r="G216" s="3" t="s">
        <v>159</v>
      </c>
      <c r="H216" s="3">
        <v>215</v>
      </c>
      <c r="I216" s="1" t="str">
        <f ca="1">"A trapper "&amp;VLOOKUP(RANDBETWEEN(1,40),wilderness,2)</f>
        <v>A trapper transporting pilgrims.</v>
      </c>
      <c r="J216" s="1" t="s">
        <v>3016</v>
      </c>
      <c r="K216" s="14">
        <v>249</v>
      </c>
      <c r="L216" s="15" t="str">
        <f ca="1">"$"&amp;RANDBETWEEN(50,100)&amp;VLOOKUP(RANDBETWEEN(1,100),CHANGE,2)</f>
        <v>$76.63</v>
      </c>
      <c r="N216" s="3">
        <v>15</v>
      </c>
      <c r="O216" s="3" t="str">
        <f ca="1">"rock candy {$"&amp;(VLOOKUP(RANDBETWEEN(4,51),CHANGE,2)&amp;"}")</f>
        <v>rock candy {$.07}</v>
      </c>
      <c r="P216" s="3">
        <v>182</v>
      </c>
      <c r="Q216" s="2" t="s">
        <v>1427</v>
      </c>
      <c r="R216" s="7">
        <v>4</v>
      </c>
      <c r="S216" s="3" t="s">
        <v>1339</v>
      </c>
      <c r="U216" s="3" t="str">
        <f ca="1">IF(V214=" ",CONCATENATE(U214,W214),CONCATENATE(U214,V214,W214))</f>
        <v>Belymow</v>
      </c>
      <c r="W216" s="28"/>
    </row>
    <row r="217" spans="4:23" ht="47.25" x14ac:dyDescent="0.2">
      <c r="D217" s="3">
        <v>216</v>
      </c>
      <c r="E217" s="3" t="s">
        <v>746</v>
      </c>
      <c r="F217" s="3">
        <v>216</v>
      </c>
      <c r="G217" s="3" t="s">
        <v>400</v>
      </c>
      <c r="H217" s="3">
        <v>216</v>
      </c>
      <c r="I217" s="3" t="str">
        <f ca="1">"A Traveling Merchant, his wares packed soundly on his mule, rides "&amp;VLOOKUP(RANDBETWEEN(1,8),Compas,2)&amp;"."</f>
        <v>A Traveling Merchant, his wares packed soundly on his mule, rides north east.</v>
      </c>
      <c r="J217" s="3" t="s">
        <v>3016</v>
      </c>
      <c r="K217" s="14">
        <v>250</v>
      </c>
      <c r="L217" s="15" t="str">
        <f ca="1">"$"&amp;RANDBETWEEN(75,150)&amp;VLOOKUP(RANDBETWEEN(1,100),CHANGE,2)</f>
        <v>$80.56</v>
      </c>
      <c r="N217" s="3">
        <v>16</v>
      </c>
      <c r="O217" s="3" t="str">
        <f ca="1">"jewlery {$"&amp;(RANDBETWEEN(1,10)&amp;VLOOKUP(RANDBETWEEN(1,100),CHANGE,2)&amp;"}")</f>
        <v>jewlery {$1.11}</v>
      </c>
      <c r="P217" s="3">
        <v>183</v>
      </c>
      <c r="Q217" s="2" t="s">
        <v>1429</v>
      </c>
      <c r="R217" s="7">
        <v>5</v>
      </c>
      <c r="S217" s="3" t="s">
        <v>1341</v>
      </c>
      <c r="T217" s="28"/>
      <c r="U217" s="28"/>
      <c r="V217" s="28" t="s">
        <v>2382</v>
      </c>
      <c r="W217" s="28"/>
    </row>
    <row r="218" spans="4:23" x14ac:dyDescent="0.2">
      <c r="D218" s="3">
        <v>217</v>
      </c>
      <c r="E218" s="3" t="s">
        <v>723</v>
      </c>
      <c r="F218" s="3">
        <v>217</v>
      </c>
      <c r="G218" s="1" t="str">
        <f ca="1">"A rancher "&amp;VLOOKUP(RANDBETWEEN(1,40),wilderness,2)</f>
        <v>A rancher transporting pilgrims.</v>
      </c>
      <c r="H218" s="3">
        <v>217</v>
      </c>
      <c r="I218" s="3" t="str">
        <f ca="1">"A troupe of "&amp;RANDBETWEEN(3,7)&amp;" well-armed adventurers pass by…"</f>
        <v>A troupe of 6 well-armed adventurers pass by…</v>
      </c>
      <c r="J218" s="3" t="s">
        <v>3016</v>
      </c>
      <c r="K218" s="14">
        <v>251</v>
      </c>
      <c r="L218" s="3" t="str">
        <f ca="1">VLOOKUP(RANDBETWEEN(1,20),stuff,2)</f>
        <v>spear</v>
      </c>
      <c r="N218" s="3">
        <v>17</v>
      </c>
      <c r="O218" s="3" t="str">
        <f ca="1">"pocket watches  {$"&amp;(RANDBETWEEN(5,10)&amp;VLOOKUP(RANDBETWEEN(1,100),CHANGE,2)&amp;"}")</f>
        <v>pocket watches  {$5.12}</v>
      </c>
      <c r="P218" s="3">
        <v>184</v>
      </c>
      <c r="Q218" s="2" t="s">
        <v>1431</v>
      </c>
      <c r="R218" s="7">
        <v>6</v>
      </c>
      <c r="S218" s="3" t="s">
        <v>1343</v>
      </c>
      <c r="T218" s="28"/>
      <c r="U218" s="47" t="s">
        <v>2453</v>
      </c>
      <c r="V218" s="28" t="s">
        <v>2382</v>
      </c>
      <c r="W218" s="28"/>
    </row>
    <row r="219" spans="4:23" x14ac:dyDescent="0.2">
      <c r="D219" s="3">
        <v>218</v>
      </c>
      <c r="E219" s="3" t="s">
        <v>724</v>
      </c>
      <c r="F219" s="3">
        <v>218</v>
      </c>
      <c r="G219" s="3" t="s">
        <v>152</v>
      </c>
      <c r="H219" s="3">
        <v>218</v>
      </c>
      <c r="I219" s="1" t="str">
        <f ca="1">"A troupe of "&amp;VLOOKUP(RANDBETWEEN(1,2),Civil,2)&amp;" cavalry scouts "&amp;VLOOKUP(RANDBETWEEN(1,40),wilderness,2)</f>
        <v>A troupe of Union cavalry scouts fleeing a lone lawman.</v>
      </c>
      <c r="J219" s="1" t="s">
        <v>3016</v>
      </c>
      <c r="K219" s="14">
        <v>252</v>
      </c>
      <c r="L219" s="3" t="str">
        <f ca="1">VLOOKUP(RANDBETWEEN(1,20),stuff,2)</f>
        <v>saw</v>
      </c>
      <c r="N219" s="3">
        <v>18</v>
      </c>
      <c r="O219" s="3" t="str">
        <f ca="1">"harmonicas {$"&amp;(RANDBETWEEN(0,2)&amp;VLOOKUP(RANDBETWEEN(11,100),CHANGE,2)&amp;"}")</f>
        <v>harmonicas {$2.21}</v>
      </c>
      <c r="P219" s="3">
        <v>185</v>
      </c>
      <c r="Q219" s="2" t="s">
        <v>1433</v>
      </c>
      <c r="R219" s="7">
        <v>7</v>
      </c>
      <c r="S219" s="3" t="s">
        <v>1345</v>
      </c>
      <c r="T219" s="3">
        <v>1</v>
      </c>
      <c r="U219" s="3" t="s">
        <v>2302</v>
      </c>
      <c r="V219" s="28" t="s">
        <v>2382</v>
      </c>
      <c r="W219" s="28"/>
    </row>
    <row r="220" spans="4:23" x14ac:dyDescent="0.2">
      <c r="D220" s="3">
        <v>219</v>
      </c>
      <c r="E220" s="3" t="s">
        <v>725</v>
      </c>
      <c r="F220" s="3">
        <v>219</v>
      </c>
      <c r="G220" s="3" t="s">
        <v>52</v>
      </c>
      <c r="H220" s="3">
        <v>219</v>
      </c>
      <c r="I220" s="1" t="str">
        <f ca="1">"A "&amp;VLOOKUP(RANDBETWEEN(1,2),Civil,2)&amp;" army patrol "&amp;VLOOKUP(RANDBETWEEN(1,40),wilderness,2)</f>
        <v>A Union army patrol raiding an Indian camp.</v>
      </c>
      <c r="J220" s="1" t="s">
        <v>3016</v>
      </c>
      <c r="K220" s="14">
        <v>253</v>
      </c>
      <c r="L220" s="3" t="str">
        <f ca="1">VLOOKUP(RANDBETWEEN(1,20),stuff,2)</f>
        <v>tomahawk</v>
      </c>
      <c r="N220" s="3">
        <v>19</v>
      </c>
      <c r="O220" s="3" t="str">
        <f ca="1">"playin' cards {$"&amp;(RANDBETWEEN(0,2)&amp;VLOOKUP(RANDBETWEEN(1,100),CHANGE,2)&amp;"}")</f>
        <v>playin' cards {$2.56}</v>
      </c>
      <c r="P220" s="3">
        <v>186</v>
      </c>
      <c r="Q220" s="2" t="s">
        <v>1435</v>
      </c>
      <c r="R220" s="7">
        <v>8</v>
      </c>
      <c r="S220" s="3" t="s">
        <v>1347</v>
      </c>
      <c r="T220" s="3">
        <v>2</v>
      </c>
      <c r="U220" s="3" t="s">
        <v>2303</v>
      </c>
      <c r="V220" s="28" t="s">
        <v>2382</v>
      </c>
      <c r="W220" s="28"/>
    </row>
    <row r="221" spans="4:23" ht="63" x14ac:dyDescent="0.2">
      <c r="D221" s="3">
        <v>220</v>
      </c>
      <c r="E221" s="3" t="s">
        <v>726</v>
      </c>
      <c r="F221" s="3">
        <v>220</v>
      </c>
      <c r="G221" s="8" t="str">
        <f ca="1">"A random Posse member falls prey to some sort of trap and "&amp;RANDBETWEEN(1,4)&amp;"hunter(s) pop(s) out. They are trying to trap a vicious wolf raiding the area.  There is a $"&amp;RANDBETWEEN(20,50)&amp;".00 bounty on every wolf tongue - which can also be used to pay taxes {this actually is historical!}."</f>
        <v>A random Posse member falls prey to some sort of trap and 1hunter(s) pop(s) out. They are trying to trap a vicious wolf raiding the area.  There is a $47.00 bounty on every wolf tongue - which can also be used to pay taxes {this actually is historical!}.</v>
      </c>
      <c r="H221" s="3">
        <v>220</v>
      </c>
      <c r="I221" s="1" t="str">
        <f ca="1">"A "&amp;VLOOKUP(RANDBETWEEN(1,2),Civil,2)&amp;" cavalry patrol "&amp;VLOOKUP(RANDBETWEEN(1,40),wilderness,2)</f>
        <v>A Union cavalry patrol fleeing Indians.</v>
      </c>
      <c r="J221" s="1" t="s">
        <v>3016</v>
      </c>
      <c r="K221" s="14">
        <v>254</v>
      </c>
      <c r="L221" s="3" t="s">
        <v>2022</v>
      </c>
      <c r="N221" s="3">
        <v>20</v>
      </c>
      <c r="O221" s="3" t="str">
        <f ca="1">"set of dice {$"&amp;(RANDBETWEEN(0,2)&amp;VLOOKUP(RANDBETWEEN(1,100),CHANGE,2)&amp;"}")</f>
        <v>set of dice {$2.00}</v>
      </c>
      <c r="P221" s="3">
        <v>187</v>
      </c>
      <c r="Q221" s="2" t="s">
        <v>1437</v>
      </c>
      <c r="R221" s="7">
        <v>9</v>
      </c>
      <c r="S221" s="3" t="s">
        <v>1349</v>
      </c>
      <c r="T221" s="3">
        <v>3</v>
      </c>
      <c r="U221" s="3" t="s">
        <v>2306</v>
      </c>
      <c r="V221" s="28" t="s">
        <v>2382</v>
      </c>
      <c r="W221" s="28"/>
    </row>
    <row r="222" spans="4:23" ht="31.5" x14ac:dyDescent="0.2">
      <c r="D222" s="3">
        <v>221</v>
      </c>
      <c r="E222" s="3" t="s">
        <v>462</v>
      </c>
      <c r="F222" s="3">
        <v>221</v>
      </c>
      <c r="G222" s="3" t="s">
        <v>583</v>
      </c>
      <c r="H222" s="3">
        <v>221</v>
      </c>
      <c r="I222" s="3" t="s">
        <v>205</v>
      </c>
      <c r="J222" s="3" t="s">
        <v>3016</v>
      </c>
      <c r="K222" s="14">
        <v>255</v>
      </c>
      <c r="L222" s="3" t="s">
        <v>2136</v>
      </c>
      <c r="N222" s="3">
        <v>21</v>
      </c>
      <c r="O222" s="3" t="str">
        <f ca="1">"a banjo {$"&amp;(RANDBETWEEN(5,10)&amp;VLOOKUP(RANDBETWEEN(1,100),CHANGE,2)&amp;"}")</f>
        <v>a banjo {$9.40}</v>
      </c>
      <c r="P222" s="3">
        <v>188</v>
      </c>
      <c r="Q222" s="2" t="s">
        <v>1439</v>
      </c>
      <c r="R222" s="7">
        <v>10</v>
      </c>
      <c r="S222" s="3" t="s">
        <v>1351</v>
      </c>
      <c r="T222" s="3">
        <v>4</v>
      </c>
      <c r="U222" s="3" t="s">
        <v>2307</v>
      </c>
      <c r="V222" s="28" t="s">
        <v>2382</v>
      </c>
      <c r="W222" s="28"/>
    </row>
    <row r="223" spans="4:23" ht="31.5" x14ac:dyDescent="0.2">
      <c r="D223" s="3">
        <v>222</v>
      </c>
      <c r="E223" s="3" t="s">
        <v>727</v>
      </c>
      <c r="F223" s="3">
        <v>222</v>
      </c>
      <c r="G223" s="3" t="s">
        <v>71</v>
      </c>
      <c r="H223" s="3">
        <v>222</v>
      </c>
      <c r="I223" s="3" t="str">
        <f ca="1">"A woman, her face dusty and tear stained, wanders "&amp;VLOOKUP(RANDBETWEEN(1,8),Compas,2)&amp;" calling for her lost child."</f>
        <v>A woman, her face dusty and tear stained, wanders north east calling for her lost child.</v>
      </c>
      <c r="J223" s="3" t="s">
        <v>3016</v>
      </c>
      <c r="K223" s="14">
        <v>256</v>
      </c>
      <c r="L223" s="3" t="s">
        <v>2137</v>
      </c>
      <c r="N223" s="3">
        <v>22</v>
      </c>
      <c r="O223" s="3" t="str">
        <f ca="1">"hats {$"&amp;(RANDBETWEEN(1,4)&amp;VLOOKUP(RANDBETWEEN(1,100),CHANGE,2)&amp;"}")</f>
        <v>hats {$1.86}</v>
      </c>
      <c r="P223" s="3">
        <v>189</v>
      </c>
      <c r="Q223" s="2" t="s">
        <v>1441</v>
      </c>
      <c r="R223" s="7">
        <v>11</v>
      </c>
      <c r="S223" s="3" t="s">
        <v>1353</v>
      </c>
      <c r="T223" s="3">
        <v>5</v>
      </c>
      <c r="U223" s="3" t="s">
        <v>2308</v>
      </c>
      <c r="W223" s="28"/>
    </row>
    <row r="224" spans="4:23" ht="31.5" x14ac:dyDescent="0.2">
      <c r="D224" s="3">
        <v>223</v>
      </c>
      <c r="E224" s="1" t="str">
        <f ca="1">"Sitting, unwatched, in an empty rocking chair on the boardwalk is a map to the "&amp;VLOOKUP(RANDBETWEEN(1,83),NAME,2)&amp;" mine…"</f>
        <v>Sitting, unwatched, in an empty rocking chair on the boardwalk is a map to the McAlister mine…</v>
      </c>
      <c r="F224" s="3">
        <v>223</v>
      </c>
      <c r="G224" s="3" t="s">
        <v>399</v>
      </c>
      <c r="H224" s="3">
        <v>223</v>
      </c>
      <c r="I224" s="3" t="str">
        <f ca="1">"A woman, riding side-saddle, her face puffy and bruised, heads "&amp;VLOOKUP(RANDBETWEEN(1,4),Compas,2)&amp;" fleeing from a husband who beats her."</f>
        <v>A woman, riding side-saddle, her face puffy and bruised, heads west fleeing from a husband who beats her.</v>
      </c>
      <c r="J224" s="3" t="s">
        <v>3016</v>
      </c>
      <c r="K224" s="14">
        <v>257</v>
      </c>
      <c r="L224" s="3" t="str">
        <f ca="1">VLOOKUP(RANDBETWEEN(1,1150),HOYLES,2)</f>
        <v>Hoyle's Book of Games (1861+)</v>
      </c>
      <c r="N224" s="3">
        <v>23</v>
      </c>
      <c r="O224" s="3" t="str">
        <f ca="1">"men's shaving kit {$"&amp;(RANDBETWEEN(1,3)&amp;VLOOKUP(RANDBETWEEN(1,100),CHANGE,2)&amp;"}")</f>
        <v>men's shaving kit {$1.68}</v>
      </c>
      <c r="P224" s="3">
        <v>190</v>
      </c>
      <c r="Q224" s="2" t="s">
        <v>1443</v>
      </c>
      <c r="R224" s="7">
        <v>12</v>
      </c>
      <c r="S224" s="3" t="s">
        <v>1355</v>
      </c>
      <c r="T224" s="3">
        <v>6</v>
      </c>
      <c r="U224" s="3" t="s">
        <v>2315</v>
      </c>
      <c r="W224" s="28"/>
    </row>
    <row r="225" spans="4:23" ht="31.5" x14ac:dyDescent="0.2">
      <c r="D225" s="3">
        <v>224</v>
      </c>
      <c r="E225" s="3" t="s">
        <v>640</v>
      </c>
      <c r="F225" s="3">
        <v>224</v>
      </c>
      <c r="G225" s="3" t="s">
        <v>755</v>
      </c>
      <c r="H225" s="3">
        <v>224</v>
      </c>
      <c r="I225" s="3" t="s">
        <v>207</v>
      </c>
      <c r="J225" s="3" t="s">
        <v>3016</v>
      </c>
      <c r="K225" s="14">
        <v>258</v>
      </c>
      <c r="L225" s="3" t="s">
        <v>2083</v>
      </c>
      <c r="N225" s="3">
        <v>24</v>
      </c>
      <c r="O225" s="3" t="str">
        <f ca="1">"assorted pipes {$0"&amp;(VLOOKUP(RANDBETWEEN(11,101),CHANGE,2)&amp;"}")</f>
        <v>assorted pipes {$0.85}</v>
      </c>
      <c r="P225" s="3">
        <v>191</v>
      </c>
      <c r="Q225" s="2" t="s">
        <v>1445</v>
      </c>
      <c r="R225" s="7">
        <v>13</v>
      </c>
      <c r="S225" s="3" t="s">
        <v>1357</v>
      </c>
      <c r="T225" s="3">
        <v>7</v>
      </c>
      <c r="U225" s="3" t="s">
        <v>2309</v>
      </c>
      <c r="V225" s="28" t="s">
        <v>2382</v>
      </c>
      <c r="W225" s="28"/>
    </row>
    <row r="226" spans="4:23" ht="78.75" x14ac:dyDescent="0.2">
      <c r="D226" s="3">
        <v>225</v>
      </c>
      <c r="E226" s="3" t="s">
        <v>968</v>
      </c>
      <c r="F226" s="3">
        <v>225</v>
      </c>
      <c r="G226" s="3" t="s">
        <v>45</v>
      </c>
      <c r="H226" s="3">
        <v>225</v>
      </c>
      <c r="I226" s="1" t="str">
        <f ca="1">"A writer "&amp;VLOOKUP(RANDBETWEEN(1,40),wilderness,2)</f>
        <v>A writer fleeing Indians.</v>
      </c>
      <c r="J226" s="1" t="s">
        <v>3016</v>
      </c>
      <c r="K226" s="14">
        <v>259</v>
      </c>
      <c r="L226" s="3" t="s">
        <v>2084</v>
      </c>
      <c r="N226" s="3">
        <v>25</v>
      </c>
      <c r="O226" s="3" t="str">
        <f ca="1">"matches {box of 100} {$0"&amp;(VLOOKUP(RANDBETWEEN(11,100),CHANGE,2)&amp;"}")</f>
        <v>matches {box of 100} {$0.14}</v>
      </c>
      <c r="P226" s="3">
        <v>192</v>
      </c>
      <c r="Q226" s="2" t="s">
        <v>1446</v>
      </c>
      <c r="R226" s="7">
        <v>14</v>
      </c>
      <c r="S226" s="3" t="s">
        <v>1359</v>
      </c>
      <c r="T226" s="3">
        <v>8</v>
      </c>
      <c r="U226" s="3" t="s">
        <v>2310</v>
      </c>
      <c r="V226" s="28" t="s">
        <v>2382</v>
      </c>
      <c r="W226" s="28"/>
    </row>
    <row r="227" spans="4:23" x14ac:dyDescent="0.2">
      <c r="D227" s="3">
        <v>226</v>
      </c>
      <c r="E227" s="3" t="s">
        <v>487</v>
      </c>
      <c r="F227" s="3">
        <v>226</v>
      </c>
      <c r="G227" s="3" t="s">
        <v>336</v>
      </c>
      <c r="H227" s="3">
        <v>226</v>
      </c>
      <c r="I227" s="1" t="str">
        <f ca="1">"A writer "&amp;VLOOKUP(RANDBETWEEN(1,40),town,2)</f>
        <v>A writer chasing someone.</v>
      </c>
      <c r="J227" s="1" t="s">
        <v>3016</v>
      </c>
      <c r="K227" s="14">
        <v>260</v>
      </c>
      <c r="L227" s="3" t="s">
        <v>2085</v>
      </c>
      <c r="N227" s="3">
        <v>26</v>
      </c>
      <c r="O227" s="3" t="str">
        <f ca="1">"looking glass {$"&amp;(RANDBETWEEN(1,3)&amp;VLOOKUP(RANDBETWEEN(1,100),CHANGE,2)&amp;"}")</f>
        <v>looking glass {$2.31}</v>
      </c>
      <c r="P227" s="3">
        <v>193</v>
      </c>
      <c r="Q227" s="2" t="s">
        <v>1447</v>
      </c>
      <c r="R227" s="7">
        <v>15</v>
      </c>
      <c r="S227" s="3" t="s">
        <v>1361</v>
      </c>
      <c r="T227" s="3">
        <v>9</v>
      </c>
      <c r="U227" s="3" t="s">
        <v>2996</v>
      </c>
      <c r="V227" s="28" t="s">
        <v>2382</v>
      </c>
      <c r="W227" s="28"/>
    </row>
    <row r="228" spans="4:23" ht="63" x14ac:dyDescent="0.2">
      <c r="D228" s="3">
        <v>227</v>
      </c>
      <c r="E228" s="3" t="s">
        <v>2997</v>
      </c>
      <c r="F228" s="3">
        <v>227</v>
      </c>
      <c r="G228" s="3" t="s">
        <v>568</v>
      </c>
      <c r="H228" s="3">
        <v>227</v>
      </c>
      <c r="I228" s="3" t="str">
        <f ca="1">"An artist "&amp;VLOOKUP(RANDBETWEEN(1,40),town,2)</f>
        <v>An artist looking for work.</v>
      </c>
      <c r="J228" s="3" t="s">
        <v>3016</v>
      </c>
      <c r="K228" s="14">
        <v>261</v>
      </c>
      <c r="L228" s="3" t="s">
        <v>2086</v>
      </c>
      <c r="N228" s="3">
        <v>27</v>
      </c>
      <c r="O228" s="3" t="str">
        <f ca="1">"hair pins {pack of 100} {$"&amp;(VLOOKUP(RANDBETWEEN(6,26),CHANGE,2)&amp;"}")</f>
        <v>hair pins {pack of 100} {$.06}</v>
      </c>
      <c r="P228" s="3">
        <v>194</v>
      </c>
      <c r="Q228" s="2" t="s">
        <v>1448</v>
      </c>
      <c r="R228" s="7">
        <v>16</v>
      </c>
      <c r="S228" s="3" t="s">
        <v>1363</v>
      </c>
      <c r="T228" s="3">
        <v>10</v>
      </c>
      <c r="U228" s="3" t="s">
        <v>2314</v>
      </c>
      <c r="V228" s="28" t="s">
        <v>2382</v>
      </c>
    </row>
    <row r="229" spans="4:23" ht="47.25" x14ac:dyDescent="0.2">
      <c r="D229" s="3">
        <v>228</v>
      </c>
      <c r="E229" s="3" t="s">
        <v>728</v>
      </c>
      <c r="F229" s="3">
        <v>228</v>
      </c>
      <c r="G229" s="3" t="s">
        <v>609</v>
      </c>
      <c r="H229" s="3">
        <v>228</v>
      </c>
      <c r="I229" s="1" t="str">
        <f ca="1">"An Indian family "&amp;VLOOKUP(RANDBETWEEN(1,40),wilderness,2)</f>
        <v>An Indian family fleeing Indians.</v>
      </c>
      <c r="J229" s="1" t="s">
        <v>3016</v>
      </c>
      <c r="K229" s="14">
        <v>262</v>
      </c>
      <c r="L229" s="3" t="s">
        <v>2087</v>
      </c>
      <c r="N229" s="3">
        <v>28</v>
      </c>
      <c r="O229" s="3" t="str">
        <f ca="1">"work boots {$"&amp;(RANDBETWEEN(5,10)&amp;VLOOKUP(RANDBETWEEN(1,100),CHANGE,2)&amp;"}")</f>
        <v>work boots {$7.42}</v>
      </c>
      <c r="P229" s="3">
        <v>195</v>
      </c>
      <c r="Q229" s="2" t="s">
        <v>1449</v>
      </c>
      <c r="R229" s="7">
        <v>17</v>
      </c>
      <c r="S229" s="3" t="s">
        <v>1365</v>
      </c>
      <c r="T229" s="3">
        <v>11</v>
      </c>
      <c r="U229" s="3" t="s">
        <v>2313</v>
      </c>
      <c r="V229" s="28" t="s">
        <v>2382</v>
      </c>
    </row>
    <row r="230" spans="4:23" ht="31.5" x14ac:dyDescent="0.2">
      <c r="D230" s="3">
        <v>229</v>
      </c>
      <c r="E230" s="3" t="s">
        <v>729</v>
      </c>
      <c r="F230" s="3">
        <v>229</v>
      </c>
      <c r="G230" s="3" t="s">
        <v>558</v>
      </c>
      <c r="H230" s="3">
        <v>229</v>
      </c>
      <c r="I230" s="3" t="str">
        <f ca="1">"An Indian fugitive "&amp;VLOOKUP(RANDBETWEEN(1,40),town,2)</f>
        <v>An Indian fugitive putting up a building.</v>
      </c>
      <c r="J230" s="3" t="s">
        <v>3016</v>
      </c>
      <c r="K230" s="14">
        <v>263</v>
      </c>
      <c r="L230" s="3" t="str">
        <f ca="1">RANDBETWEEN(3,38)&amp;" rounds of "&amp;(VLOOKUP(RANDBETWEEN(1,18),Tables!P$3:Q$20,2))&amp;" ammo"</f>
        <v>14 rounds of 0.38 ammo</v>
      </c>
      <c r="N230" s="3">
        <v>29</v>
      </c>
      <c r="O230" s="3" t="str">
        <f ca="1">"gloves {$"&amp;(RANDBETWEEN(0,1)&amp;VLOOKUP(RANDBETWEEN(1,100),CHANGE,2)&amp;"}")</f>
        <v>gloves {$0.95}</v>
      </c>
      <c r="P230" s="3">
        <v>196</v>
      </c>
      <c r="Q230" s="2" t="s">
        <v>1450</v>
      </c>
      <c r="R230" s="7">
        <v>18</v>
      </c>
      <c r="S230" s="3" t="s">
        <v>1367</v>
      </c>
      <c r="T230" s="3">
        <v>12</v>
      </c>
      <c r="U230" s="3" t="s">
        <v>2311</v>
      </c>
      <c r="V230" s="3" t="s">
        <v>2382</v>
      </c>
    </row>
    <row r="231" spans="4:23" x14ac:dyDescent="0.2">
      <c r="D231" s="3">
        <v>230</v>
      </c>
      <c r="E231" s="3" t="s">
        <v>730</v>
      </c>
      <c r="F231" s="3">
        <v>230</v>
      </c>
      <c r="G231" s="3" t="str">
        <f ca="1">"A "&amp;VLOOKUP(RANDBETWEEN(1,3),quake,2)&amp;"earthquake rolls across the land!"</f>
        <v>A severeearthquake rolls across the land!</v>
      </c>
      <c r="H231" s="3">
        <v>230</v>
      </c>
      <c r="I231" s="3" t="str">
        <f ca="1">"An Indian fugitive "&amp;VLOOKUP(RANDBETWEEN(1,40),wilderness,2)</f>
        <v>An Indian fugitive fleeing a posse.</v>
      </c>
      <c r="J231" s="3" t="s">
        <v>3016</v>
      </c>
      <c r="K231" s="14">
        <v>264</v>
      </c>
      <c r="L231" s="3" t="str">
        <f ca="1">RANDBETWEEN(3,38)&amp;" rounds of "&amp;(VLOOKUP(RANDBETWEEN(1,18),Tables!P$3:Q$20,2))&amp;" ammo"</f>
        <v>22 rounds of .32-20 ammo</v>
      </c>
      <c r="N231" s="3">
        <v>30</v>
      </c>
      <c r="O231" s="3" t="str">
        <f ca="1">"perfumes {$"&amp;(RANDBETWEEN(0,1)&amp;VLOOKUP(RANDBETWEEN(1,100),CHANGE,2)&amp;"}")</f>
        <v>perfumes {$1.26}</v>
      </c>
      <c r="P231" s="3">
        <v>197</v>
      </c>
      <c r="Q231" s="2" t="s">
        <v>1451</v>
      </c>
      <c r="R231" s="7">
        <v>19</v>
      </c>
      <c r="S231" s="3" t="s">
        <v>1369</v>
      </c>
      <c r="T231" s="3">
        <v>13</v>
      </c>
      <c r="U231" s="3" t="s">
        <v>2312</v>
      </c>
      <c r="V231" s="3" t="s">
        <v>2382</v>
      </c>
    </row>
    <row r="232" spans="4:23" ht="31.5" x14ac:dyDescent="0.2">
      <c r="D232" s="3">
        <v>231</v>
      </c>
      <c r="E232" s="3" t="s">
        <v>474</v>
      </c>
      <c r="F232" s="3">
        <v>231</v>
      </c>
      <c r="G232" s="3" t="s">
        <v>349</v>
      </c>
      <c r="H232" s="3">
        <v>231</v>
      </c>
      <c r="I232" s="3" t="s">
        <v>700</v>
      </c>
      <c r="J232" s="3" t="s">
        <v>3016</v>
      </c>
      <c r="K232" s="14">
        <v>265</v>
      </c>
      <c r="L232" s="3" t="str">
        <f ca="1">RANDBETWEEN(3,38)&amp;" rounds of "&amp;(VLOOKUP(RANDBETWEEN(1,18),Tables!P$3:Q$20,2))&amp;" ammo"</f>
        <v>25 rounds of 0.50 ammo</v>
      </c>
      <c r="N232" s="3">
        <v>31</v>
      </c>
      <c r="O232" s="3" t="str">
        <f ca="1">"poker chips {$0"&amp;(VLOOKUP(RANDBETWEEN(11,31),CHANGE,2)&amp;"}")</f>
        <v>poker chips {$0.24}</v>
      </c>
      <c r="P232" s="3">
        <v>198</v>
      </c>
      <c r="Q232" s="2" t="s">
        <v>1452</v>
      </c>
      <c r="R232" s="7">
        <v>20</v>
      </c>
      <c r="S232" s="3" t="str">
        <f ca="1">RANDBETWEEN(5,35)&amp;" forigen coins"</f>
        <v>5 forigen coins</v>
      </c>
      <c r="T232" s="3">
        <v>14</v>
      </c>
      <c r="U232" s="3" t="s">
        <v>2304</v>
      </c>
      <c r="V232" s="3" t="s">
        <v>2382</v>
      </c>
    </row>
    <row r="233" spans="4:23" ht="47.25" x14ac:dyDescent="0.2">
      <c r="D233" s="3">
        <v>232</v>
      </c>
      <c r="E233" s="3" t="s">
        <v>2998</v>
      </c>
      <c r="F233" s="3">
        <v>232</v>
      </c>
      <c r="G233" s="3" t="s">
        <v>274</v>
      </c>
      <c r="H233" s="3">
        <v>232</v>
      </c>
      <c r="I233" s="1" t="str">
        <f ca="1">"An itinerant preacher "&amp;VLOOKUP(RANDBETWEEN(1,40),wilderness,2)</f>
        <v>An itinerant preacher prospecting.</v>
      </c>
      <c r="J233" s="1" t="s">
        <v>3016</v>
      </c>
      <c r="K233" s="14">
        <v>266</v>
      </c>
      <c r="L233" s="3" t="str">
        <f ca="1">RANDBETWEEN(3,38)&amp;" rounds of "&amp;(VLOOKUP(RANDBETWEEN(1,18),Tables!P$3:Q$20,2))&amp;" ammo"</f>
        <v>33 rounds of 0.44 ammo</v>
      </c>
      <c r="N233" s="3">
        <v>32</v>
      </c>
      <c r="O233" s="3" t="str">
        <f ca="1">"soaps {$0"&amp;(VLOOKUP(RANDBETWEEN(21,81),CHANGE,2)&amp;"}")</f>
        <v>soaps {$0.39}</v>
      </c>
      <c r="P233" s="3">
        <v>199</v>
      </c>
      <c r="Q233" s="2" t="s">
        <v>1453</v>
      </c>
      <c r="R233" s="7">
        <v>21</v>
      </c>
      <c r="S233" s="3" t="str">
        <f ca="1">RANDBETWEEN(5,35)&amp;" "&amp;VLOOKUP(RANDBETWEEN(1,9),LANG,2)&amp;" coins"</f>
        <v>26 German coins</v>
      </c>
      <c r="T233" s="3">
        <v>15</v>
      </c>
      <c r="U233" s="3" t="s">
        <v>2305</v>
      </c>
      <c r="V233" s="3" t="s">
        <v>2382</v>
      </c>
    </row>
    <row r="234" spans="4:23" x14ac:dyDescent="0.2">
      <c r="D234" s="3">
        <v>233</v>
      </c>
      <c r="E234" s="3" t="str">
        <f ca="1">"Storyteller with a random story about a(n) "&amp;VLOOKUP(RANDBETWEEN(300,1386),creature,2)&amp;"."</f>
        <v>Storyteller with a random story about a(n) 4 weasel(s).</v>
      </c>
      <c r="F234" s="3">
        <v>233</v>
      </c>
      <c r="G234" s="3" t="s">
        <v>69</v>
      </c>
      <c r="H234" s="3">
        <v>233</v>
      </c>
      <c r="I234" s="1" t="str">
        <f ca="1">"An itinerant preacher "&amp;VLOOKUP(RANDBETWEEN(1,40),town,2)</f>
        <v>An itinerant preacher loading supplies onto a wagon.</v>
      </c>
      <c r="J234" s="1" t="s">
        <v>3016</v>
      </c>
      <c r="K234" s="14">
        <v>267</v>
      </c>
      <c r="L234" s="3" t="str">
        <f ca="1">RANDBETWEEN(3,38)&amp;" rounds of ammo of the player's choice."</f>
        <v>38 rounds of ammo of the player's choice.</v>
      </c>
      <c r="N234" s="3">
        <v>33</v>
      </c>
      <c r="O234" s="3" t="str">
        <f ca="1">"talcum powders {$0"&amp;(VLOOKUP(RANDBETWEEN(11,31),CHANGE,2)&amp;"}")</f>
        <v>talcum powders {$0.19}</v>
      </c>
      <c r="P234" s="3">
        <v>200</v>
      </c>
      <c r="Q234" s="2" t="s">
        <v>1454</v>
      </c>
      <c r="R234" s="7">
        <v>22</v>
      </c>
      <c r="S234" s="3" t="s">
        <v>1372</v>
      </c>
      <c r="V234" s="3" t="s">
        <v>2382</v>
      </c>
    </row>
    <row r="235" spans="4:23" x14ac:dyDescent="0.2">
      <c r="D235" s="3">
        <v>234</v>
      </c>
      <c r="E235" s="3" t="s">
        <v>731</v>
      </c>
      <c r="F235" s="3">
        <v>234</v>
      </c>
      <c r="G235" s="3" t="s">
        <v>150</v>
      </c>
      <c r="H235" s="3">
        <v>234</v>
      </c>
      <c r="I235" s="1" t="s">
        <v>415</v>
      </c>
      <c r="J235" s="1" t="s">
        <v>3016</v>
      </c>
      <c r="K235" s="14">
        <v>268</v>
      </c>
      <c r="L235" s="3" t="str">
        <f ca="1">"a Bandoleer with "&amp;RANDBETWEEN(5,15)&amp;" rounds of "&amp;(VLOOKUP(RANDBETWEEN(1,18),Tables!P$3:Q$20,2))&amp;" ammo"</f>
        <v>a Bandoleer with 14 rounds of 0.56 ammo</v>
      </c>
      <c r="N235" s="3">
        <v>34</v>
      </c>
      <c r="O235" s="3" t="str">
        <f ca="1">"mess kits {$"&amp;(RANDBETWEEN(0,1)&amp;VLOOKUP(RANDBETWEEN(10,100),CHANGE,2)&amp;"}")</f>
        <v>mess kits {$1.20}</v>
      </c>
      <c r="P235" s="3">
        <v>201</v>
      </c>
      <c r="Q235" s="2" t="s">
        <v>1455</v>
      </c>
      <c r="R235" s="7">
        <v>23</v>
      </c>
      <c r="S235" s="3" t="s">
        <v>1373</v>
      </c>
      <c r="U235" s="22" t="s">
        <v>2480</v>
      </c>
      <c r="V235" s="3" t="s">
        <v>2382</v>
      </c>
    </row>
    <row r="236" spans="4:23" ht="47.25" x14ac:dyDescent="0.2">
      <c r="D236" s="3">
        <v>235</v>
      </c>
      <c r="E236" s="3" t="s">
        <v>732</v>
      </c>
      <c r="F236" s="3">
        <v>235</v>
      </c>
      <c r="G236" s="3" t="str">
        <f ca="1">"A single bleached skeleton with an “expensive item” inhabited by "&amp;RANDBETWEEN(1,4)&amp;" gremlin(s)..."</f>
        <v>A single bleached skeleton with an “expensive item” inhabited by 1 gremlin(s)...</v>
      </c>
      <c r="H236" s="3">
        <v>235</v>
      </c>
      <c r="I236" s="3" t="str">
        <f ca="1">"An old homeless person of indeterminate sex passes by pushing a cart filled with random rubbish. He mutters something about '"&amp;VLOOKUP(RANDBETWEEN(1,20),things,2)&amp;"s and shrimp…'"</f>
        <v>An old homeless person of indeterminate sex passes by pushing a cart filled with random rubbish. He mutters something about 'bowie knifes and shrimp…'</v>
      </c>
      <c r="J236" s="3" t="s">
        <v>3016</v>
      </c>
      <c r="K236" s="14">
        <v>269</v>
      </c>
      <c r="L236" s="3" t="str">
        <f ca="1">"a Bandoleer with "&amp;RANDBETWEEN(3,38)&amp;" rounds of "&amp;(VLOOKUP(RANDBETWEEN(1,18),Tables!P$3:Q$20,2))&amp;" ammo"</f>
        <v>a Bandoleer with 8 rounds of 0.57 ammo</v>
      </c>
      <c r="N236" s="3">
        <v>35</v>
      </c>
      <c r="O236" s="3" t="str">
        <f ca="1">"snake oil {$"&amp;(VLOOKUP(RANDBETWEEN(11,51),CHANGE,2)&amp;"}")</f>
        <v>snake oil {$.49}</v>
      </c>
      <c r="P236" s="3">
        <v>202</v>
      </c>
      <c r="Q236" s="2" t="s">
        <v>1456</v>
      </c>
      <c r="R236" s="7">
        <v>24</v>
      </c>
      <c r="S236" s="7" t="s">
        <v>1374</v>
      </c>
      <c r="T236" s="3">
        <v>1</v>
      </c>
      <c r="U236" s="3" t="s">
        <v>2711</v>
      </c>
      <c r="V236" s="3" t="s">
        <v>2382</v>
      </c>
    </row>
    <row r="237" spans="4:23" ht="47.25" x14ac:dyDescent="0.2">
      <c r="D237" s="3">
        <v>236</v>
      </c>
      <c r="E237" s="3" t="str">
        <f ca="1">"The church bells chime to mark the hour… They’re early, it is only "&amp;RANDBETWEEN(1,12)&amp;VLOOKUP(RANDBETWEEN(1,60),Time,2)&amp;"."</f>
        <v>The church bells chime to mark the hour… They’re early, it is only 5:58.</v>
      </c>
      <c r="F237" s="3">
        <v>236</v>
      </c>
      <c r="G237" s="3" t="str">
        <f ca="1">"A skeleton of a(n) "&amp;VLOOKUP(RANDBETWEEN(1,30),varmints,2)&amp;" lays bleaching in the sun…"</f>
        <v>A skeleton of a(n) snake lays bleaching in the sun…</v>
      </c>
      <c r="H237" s="3">
        <v>236</v>
      </c>
      <c r="I237" s="1" t="s">
        <v>256</v>
      </c>
      <c r="J237" s="1" t="s">
        <v>3016</v>
      </c>
      <c r="K237" s="14">
        <v>270</v>
      </c>
      <c r="L237" s="3" t="str">
        <f ca="1">"a Bandoleer with "&amp;RANDBETWEEN(3,38)&amp;" rounds of "&amp;(VLOOKUP(RANDBETWEEN(1,18),Tables!P$3:Q$20,2))&amp;" ammo"</f>
        <v>a Bandoleer with 5 rounds of 0.45 ammo</v>
      </c>
      <c r="N237" s="3">
        <v>36</v>
      </c>
      <c r="O237" s="3" t="str">
        <f ca="1">"Laudanum {$"&amp;(RANDBETWEEN(1,3)&amp;VLOOKUP(RANDBETWEEN(1,100),CHANGE,2)&amp;"}")</f>
        <v>Laudanum {$1.32}</v>
      </c>
      <c r="P237" s="3">
        <v>203</v>
      </c>
      <c r="Q237" s="2" t="s">
        <v>1457</v>
      </c>
      <c r="R237" s="7">
        <v>25</v>
      </c>
      <c r="S237" s="3" t="str">
        <f ca="1">"a fine white powder "&amp;VLOOKUP(RANDBETWEEN(1,10),MAGIC,2)</f>
        <v>a fine white powder (non-magical)</v>
      </c>
      <c r="T237" s="3">
        <v>6</v>
      </c>
      <c r="U237" s="3" t="s">
        <v>2949</v>
      </c>
      <c r="V237" s="3" t="s">
        <v>2382</v>
      </c>
    </row>
    <row r="238" spans="4:23" ht="31.5" x14ac:dyDescent="0.2">
      <c r="D238" s="3">
        <v>237</v>
      </c>
      <c r="E238" s="3" t="s">
        <v>733</v>
      </c>
      <c r="F238" s="3">
        <v>237</v>
      </c>
      <c r="G238" s="3" t="s">
        <v>556</v>
      </c>
      <c r="H238" s="3">
        <v>237</v>
      </c>
      <c r="I238" s="1" t="str">
        <f ca="1">"Buffalo hunters "&amp;VLOOKUP(RANDBETWEEN(1,40),wilderness,2)</f>
        <v>Buffalo hunters starving.</v>
      </c>
      <c r="J238" s="1" t="s">
        <v>3016</v>
      </c>
      <c r="K238" s="14">
        <v>271</v>
      </c>
      <c r="L238" s="3" t="str">
        <f ca="1">"a Bandoleer with "&amp;RANDBETWEEN(3,38)&amp;" rounds of "&amp;(VLOOKUP(RANDBETWEEN(1,18),Tables!P$3:Q$20,2))&amp;" ammo"</f>
        <v>a Bandoleer with 33 rounds of 0.57 ammo</v>
      </c>
      <c r="N238" s="3">
        <v>37</v>
      </c>
      <c r="O238" s="3" t="str">
        <f ca="1">"spectacles {$"&amp;(RANDBETWEEN(0,1)&amp;VLOOKUP(RANDBETWEEN(1,100),CHANGE,2)&amp;"}")</f>
        <v>spectacles {$0.57}</v>
      </c>
      <c r="P238" s="3">
        <v>204</v>
      </c>
      <c r="Q238" s="2" t="s">
        <v>1458</v>
      </c>
      <c r="R238" s="7">
        <v>26</v>
      </c>
      <c r="S238" s="3" t="str">
        <f ca="1">RANDBETWEEN(1,16)&amp;" glass bead(s)."</f>
        <v>15 glass bead(s).</v>
      </c>
      <c r="V238" s="3" t="s">
        <v>2382</v>
      </c>
    </row>
    <row r="239" spans="4:23" ht="31.5" x14ac:dyDescent="0.2">
      <c r="D239" s="3">
        <v>238</v>
      </c>
      <c r="E239" s="3" t="s">
        <v>734</v>
      </c>
      <c r="F239" s="3">
        <v>238</v>
      </c>
      <c r="G239" s="3" t="s">
        <v>578</v>
      </c>
      <c r="H239" s="3">
        <v>238</v>
      </c>
      <c r="I239" s="3" t="s">
        <v>209</v>
      </c>
      <c r="J239" s="3" t="s">
        <v>3016</v>
      </c>
      <c r="K239" s="14">
        <v>272</v>
      </c>
      <c r="L239" s="3" t="str">
        <f ca="1">"a Bandoleer with "&amp;RANDBETWEEN(10,20)&amp;" bullets of the player's choice."</f>
        <v>a Bandoleer with 10 bullets of the player's choice.</v>
      </c>
      <c r="N239" s="3">
        <v>38</v>
      </c>
      <c r="O239" s="3" t="str">
        <f ca="1">"maps {$"&amp;(RANDBETWEEN(0,1)&amp;VLOOKUP(RANDBETWEEN(1,100),CHANGE,2)&amp;"}")</f>
        <v>maps {$1.24}</v>
      </c>
      <c r="P239" s="3">
        <v>205</v>
      </c>
      <c r="Q239" s="2" t="s">
        <v>1459</v>
      </c>
      <c r="R239" s="7">
        <v>27</v>
      </c>
      <c r="S239" s="3" t="str">
        <f ca="1">RANDBETWEEN(2,7)&amp;" freshwater pearls."</f>
        <v>2 freshwater pearls.</v>
      </c>
      <c r="T239" s="28"/>
      <c r="U239" s="22" t="s">
        <v>2871</v>
      </c>
    </row>
    <row r="240" spans="4:23" ht="31.5" x14ac:dyDescent="0.2">
      <c r="D240" s="3">
        <v>239</v>
      </c>
      <c r="E240" s="3" t="s">
        <v>735</v>
      </c>
      <c r="F240" s="3">
        <v>239</v>
      </c>
      <c r="G240" s="3" t="str">
        <f ca="1">"A "&amp;VLOOKUP(RANDBETWEEN(1,6),trait,2)&amp;"Shootist with a chip on his shoulder, ready and willing to fight at any percieved slight…"</f>
        <v>A strong Shootist with a chip on his shoulder, ready and willing to fight at any percieved slight…</v>
      </c>
      <c r="H240" s="3">
        <v>239</v>
      </c>
      <c r="I240" s="3" t="s">
        <v>247</v>
      </c>
      <c r="J240" s="3" t="s">
        <v>3016</v>
      </c>
      <c r="K240" s="14">
        <v>273</v>
      </c>
      <c r="L240" s="3" t="s">
        <v>2088</v>
      </c>
      <c r="N240" s="3">
        <v>39</v>
      </c>
      <c r="O240" s="3" t="str">
        <f ca="1">"canteen {$"&amp;(RANDBETWEEN(0,1)&amp;VLOOKUP(RANDBETWEEN(1,100),CHANGE,2)&amp;"}")</f>
        <v>canteen {$0.99}</v>
      </c>
      <c r="P240" s="3">
        <v>206</v>
      </c>
      <c r="Q240" s="2" t="s">
        <v>1460</v>
      </c>
      <c r="R240" s="7">
        <v>28</v>
      </c>
      <c r="S240" s="3" t="s">
        <v>1379</v>
      </c>
      <c r="T240" s="3">
        <v>1</v>
      </c>
      <c r="U240" s="3" t="s">
        <v>2711</v>
      </c>
    </row>
    <row r="241" spans="4:22" ht="47.25" x14ac:dyDescent="0.2">
      <c r="D241" s="3">
        <v>240</v>
      </c>
      <c r="E241" s="3" t="s">
        <v>747</v>
      </c>
      <c r="F241" s="3">
        <v>240</v>
      </c>
      <c r="G241" s="3" t="str">
        <f ca="1">"A Smith and Robards Stagecoach with "&amp;RANDBETWEEN(1,6)&amp;"package(s) trundles "&amp;VLOOKUP(RANDBETWEEN(1,4),Compas,2)&amp;"."</f>
        <v>A Smith and Robards Stagecoach with 1package(s) trundles east.</v>
      </c>
      <c r="H241" s="3">
        <v>240</v>
      </c>
      <c r="I241" s="3" t="str">
        <f ca="1">"One “Huckster” with "&amp;RANDBETWEEN(1,6)&amp;" Tonic(s) from the S&amp;R Catalogue that are half as effective and twice as malfunctional."</f>
        <v>One “Huckster” with 4 Tonic(s) from the S&amp;R Catalogue that are half as effective and twice as malfunctional.</v>
      </c>
      <c r="J241" s="3" t="s">
        <v>3016</v>
      </c>
      <c r="K241" s="14">
        <v>274</v>
      </c>
      <c r="L241" s="3" t="s">
        <v>2089</v>
      </c>
      <c r="N241" s="3">
        <v>40</v>
      </c>
      <c r="O241" s="3" t="str">
        <f ca="1">"weapon cleaning kit {$"&amp;(RANDBETWEEN(0,5)&amp;VLOOKUP(RANDBETWEEN(1,100),CHANGE,2)&amp;"}")</f>
        <v>weapon cleaning kit {$5.09}</v>
      </c>
      <c r="P241" s="3">
        <v>207</v>
      </c>
      <c r="Q241" s="2" t="s">
        <v>1461</v>
      </c>
      <c r="R241" s="7">
        <v>29</v>
      </c>
      <c r="S241" s="3" t="s">
        <v>1381</v>
      </c>
      <c r="T241" s="3">
        <v>10</v>
      </c>
      <c r="U241" s="3" t="s">
        <v>2870</v>
      </c>
    </row>
    <row r="242" spans="4:22" ht="31.5" x14ac:dyDescent="0.2">
      <c r="D242" s="3">
        <v>241</v>
      </c>
      <c r="E242" s="3" t="s">
        <v>498</v>
      </c>
      <c r="F242" s="3">
        <v>241</v>
      </c>
      <c r="G242" s="3" t="s">
        <v>346</v>
      </c>
      <c r="H242" s="3">
        <v>241</v>
      </c>
      <c r="I242" s="3" t="str">
        <f ca="1">"A Tonic Salesman with "&amp;RANDBETWEEN(1,4)&amp;" type(s) of tonics or pills direct from S&amp;R."</f>
        <v>A Tonic Salesman with 2 type(s) of tonics or pills direct from S&amp;R.</v>
      </c>
      <c r="J242" s="3" t="s">
        <v>3016</v>
      </c>
      <c r="K242" s="14">
        <v>275</v>
      </c>
      <c r="L242" s="3" t="str">
        <f ca="1">"a cheep gun belt that "&amp;VLOOKUP(RANDBETWEEN(1,10),FIT,2)</f>
        <v>a cheep gun belt that doesn't fit</v>
      </c>
      <c r="N242" s="3">
        <v>41</v>
      </c>
      <c r="O242" s="3" t="str">
        <f ca="1">"shovel {$"&amp;(RANDBETWEEN(0,1)&amp;VLOOKUP(RANDBETWEEN(1,100),CHANGE,2)&amp;"}")</f>
        <v>shovel {$0.66}</v>
      </c>
      <c r="P242" s="3">
        <v>208</v>
      </c>
      <c r="Q242" s="2" t="s">
        <v>1462</v>
      </c>
      <c r="R242" s="7">
        <v>30</v>
      </c>
      <c r="S242" s="3" t="s">
        <v>1383</v>
      </c>
      <c r="V242" s="3" t="s">
        <v>2382</v>
      </c>
    </row>
    <row r="243" spans="4:22" ht="63" x14ac:dyDescent="0.2">
      <c r="D243" s="3">
        <v>242</v>
      </c>
      <c r="E243" s="3" t="s">
        <v>557</v>
      </c>
      <c r="F243" s="3">
        <v>242</v>
      </c>
      <c r="G243" s="3" t="s">
        <v>40</v>
      </c>
      <c r="H243" s="3">
        <v>242</v>
      </c>
      <c r="I243" s="3" t="s">
        <v>50</v>
      </c>
      <c r="J243" s="3" t="s">
        <v>3016</v>
      </c>
      <c r="K243" s="14">
        <v>276</v>
      </c>
      <c r="L243" s="3" t="str">
        <f ca="1">"a fancy gun belt that "&amp;VLOOKUP(RANDBETWEEN(1,10),FIT,2)</f>
        <v>a fancy gun belt that doesn't fit</v>
      </c>
      <c r="N243" s="3">
        <v>42</v>
      </c>
      <c r="O243" s="3" t="str">
        <f ca="1">"pickaxe {$"&amp;(RANDBETWEEN(0,1)&amp;VLOOKUP(RANDBETWEEN(1,100),CHANGE,2)&amp;"}")</f>
        <v>pickaxe {$0.33}</v>
      </c>
      <c r="P243" s="3">
        <v>209</v>
      </c>
      <c r="Q243" s="2" t="s">
        <v>1463</v>
      </c>
      <c r="R243" s="7">
        <v>31</v>
      </c>
      <c r="S243" s="3" t="s">
        <v>1385</v>
      </c>
      <c r="T243" s="28"/>
      <c r="U243" s="22" t="s">
        <v>2878</v>
      </c>
      <c r="V243" s="3" t="s">
        <v>2382</v>
      </c>
    </row>
    <row r="244" spans="4:22" ht="47.25" x14ac:dyDescent="0.2">
      <c r="D244" s="3">
        <v>243</v>
      </c>
      <c r="E244" s="3" t="s">
        <v>642</v>
      </c>
      <c r="F244" s="3">
        <v>243</v>
      </c>
      <c r="G244" s="3" t="s">
        <v>408</v>
      </c>
      <c r="H244" s="3">
        <v>243</v>
      </c>
      <c r="I244" s="3" t="str">
        <f ca="1">"One wounded detachment of "&amp;RANDBETWEEN(1,4)&amp;" "&amp;VLOOKUP(RANDBETWEEN(1,2),Civil,2)&amp;"Scout(s) headed "&amp;VLOOKUP(RANDBETWEEN(1,4),Compas,2)&amp;"on foot."</f>
        <v>One wounded detachment of 4 ConfederateScout(s) headed southon foot.</v>
      </c>
      <c r="J244" s="3" t="s">
        <v>3016</v>
      </c>
      <c r="K244" s="14">
        <v>277</v>
      </c>
      <c r="L244" s="3" t="s">
        <v>2090</v>
      </c>
      <c r="N244" s="3">
        <v>43</v>
      </c>
      <c r="O244" s="3" t="str">
        <f ca="1">"ham and cheese sandwiches {$0"&amp;(VLOOKUP(RANDBETWEEN(10,100),CHANGE,2)&amp;"}")</f>
        <v>ham and cheese sandwiches {$0.48}</v>
      </c>
      <c r="P244" s="3">
        <v>210</v>
      </c>
      <c r="Q244" s="2" t="s">
        <v>1464</v>
      </c>
      <c r="R244" s="7">
        <v>32</v>
      </c>
      <c r="S244" s="3" t="s">
        <v>1387</v>
      </c>
      <c r="T244" s="3">
        <v>1</v>
      </c>
      <c r="U244" s="3" t="s">
        <v>2875</v>
      </c>
    </row>
    <row r="245" spans="4:22" ht="47.25" x14ac:dyDescent="0.2">
      <c r="D245" s="3">
        <v>244</v>
      </c>
      <c r="E245" s="3" t="s">
        <v>547</v>
      </c>
      <c r="F245" s="3">
        <v>244</v>
      </c>
      <c r="G245" s="3" t="s">
        <v>47</v>
      </c>
      <c r="H245" s="3">
        <v>244</v>
      </c>
      <c r="I245" s="3" t="str">
        <f ca="1">"One wounded platoon of "&amp;RANDBETWEEN(4,16)&amp;" "&amp;VLOOKUP(RANDBETWEEN(1,2),Civil,2)&amp;" Scout(s) headed "&amp;VLOOKUP(RANDBETWEEN(1,4),Compas,2)&amp;"on foot and horse."</f>
        <v>One wounded platoon of 4 Confederate Scout(s) headed weston foot and horse.</v>
      </c>
      <c r="J245" s="3" t="s">
        <v>3016</v>
      </c>
      <c r="K245" s="14">
        <v>278</v>
      </c>
      <c r="L245" s="3" t="s">
        <v>2091</v>
      </c>
      <c r="N245" s="3">
        <v>44</v>
      </c>
      <c r="O245" s="3" t="str">
        <f ca="1">"stick of dynamite {$"&amp;(RANDBETWEEN(0,3)&amp;VLOOKUP(RANDBETWEEN(1,100),CHANGE,2)&amp;"}")</f>
        <v>stick of dynamite {$0.97}</v>
      </c>
      <c r="P245" s="3">
        <v>211</v>
      </c>
      <c r="Q245" s="2" t="s">
        <v>1465</v>
      </c>
      <c r="R245" s="7">
        <v>33</v>
      </c>
      <c r="S245" s="3" t="s">
        <v>1389</v>
      </c>
      <c r="T245" s="3">
        <v>4</v>
      </c>
      <c r="U245" s="3" t="s">
        <v>2876</v>
      </c>
    </row>
    <row r="246" spans="4:22" ht="47.25" x14ac:dyDescent="0.2">
      <c r="D246" s="3">
        <v>245</v>
      </c>
      <c r="E246" s="3" t="s">
        <v>561</v>
      </c>
      <c r="F246" s="3">
        <v>245</v>
      </c>
      <c r="G246" s="3" t="str">
        <f ca="1">"A Stagecoach with "&amp;RANDBETWEEN(1,4)&amp;"passenger(s) speeds "&amp;VLOOKUP(RANDBETWEEN(1,8),Compas,2)&amp;"."</f>
        <v>A Stagecoach with 4passenger(s) speeds south.</v>
      </c>
      <c r="H246" s="3">
        <v>245</v>
      </c>
      <c r="I246" s="3" t="s">
        <v>223</v>
      </c>
      <c r="J246" s="3" t="s">
        <v>3016</v>
      </c>
      <c r="K246" s="14">
        <v>279</v>
      </c>
      <c r="L246" s="3" t="s">
        <v>2092</v>
      </c>
      <c r="N246" s="3">
        <v>45</v>
      </c>
      <c r="O246" s="3" t="str">
        <f ca="1">"lamp oil {$0"&amp;(VLOOKUP(RANDBETWEEN(1,100),CHANGE,2)&amp;"}")</f>
        <v>lamp oil {$0.20}</v>
      </c>
      <c r="P246" s="3">
        <v>212</v>
      </c>
      <c r="Q246" s="2" t="s">
        <v>1466</v>
      </c>
      <c r="R246" s="7">
        <v>34</v>
      </c>
      <c r="S246" s="3" t="s">
        <v>1391</v>
      </c>
      <c r="T246" s="3">
        <v>6</v>
      </c>
      <c r="U246" s="3" t="s">
        <v>2877</v>
      </c>
    </row>
    <row r="247" spans="4:22" ht="47.25" x14ac:dyDescent="0.2">
      <c r="D247" s="3">
        <v>246</v>
      </c>
      <c r="E247" s="3" t="s">
        <v>643</v>
      </c>
      <c r="F247" s="3">
        <v>246</v>
      </c>
      <c r="G247" s="3" t="s">
        <v>406</v>
      </c>
      <c r="H247" s="3">
        <v>246</v>
      </c>
      <c r="I247" s="3" t="s">
        <v>729</v>
      </c>
      <c r="J247" s="3" t="s">
        <v>3016</v>
      </c>
      <c r="K247" s="14">
        <v>280</v>
      </c>
      <c r="L247" s="3" t="s">
        <v>2999</v>
      </c>
      <c r="N247" s="3">
        <v>46</v>
      </c>
      <c r="O247" s="3" t="str">
        <f ca="1">"gun ammo {$"&amp;(RANDBETWEEN(0,2)&amp;VLOOKUP(RANDBETWEEN(1,100),CHANGE,2)&amp;"}")</f>
        <v>gun ammo {$0.52}</v>
      </c>
      <c r="P247" s="3">
        <v>213</v>
      </c>
      <c r="Q247" s="2" t="s">
        <v>1467</v>
      </c>
      <c r="R247" s="7">
        <v>35</v>
      </c>
      <c r="S247" s="3" t="s">
        <v>1393</v>
      </c>
      <c r="U247" s="22" t="s">
        <v>2874</v>
      </c>
    </row>
    <row r="248" spans="4:22" ht="31.5" x14ac:dyDescent="0.2">
      <c r="D248" s="3">
        <v>247</v>
      </c>
      <c r="E248" s="3" t="s">
        <v>736</v>
      </c>
      <c r="F248" s="3">
        <v>247</v>
      </c>
      <c r="G248" s="2" t="s">
        <v>250</v>
      </c>
      <c r="H248" s="3">
        <v>247</v>
      </c>
      <c r="I248" s="1" t="str">
        <f ca="1">VLOOKUP(RANDBETWEEN(1,10),chase,2)&amp;" "&amp;VLOOKUP(RANDBETWEEN(1,40),wilderness,2)</f>
        <v>traveling merchant tracking Indians.</v>
      </c>
      <c r="J248" s="1" t="s">
        <v>3016</v>
      </c>
      <c r="K248" s="14">
        <v>281</v>
      </c>
      <c r="L248" s="3" t="s">
        <v>2093</v>
      </c>
      <c r="N248" s="3">
        <v>47</v>
      </c>
      <c r="O248" s="3" t="str">
        <f ca="1">"gunpowder {8lb keg} {$"&amp;(RANDBETWEEN(1,2)&amp;VLOOKUP(RANDBETWEEN(1,100),CHANGE,2)&amp;"}")</f>
        <v>gunpowder {8lb keg} {$2.49}</v>
      </c>
      <c r="P248" s="3">
        <v>214</v>
      </c>
      <c r="Q248" s="2" t="s">
        <v>1468</v>
      </c>
      <c r="R248" s="7">
        <v>36</v>
      </c>
      <c r="S248" s="3" t="s">
        <v>1395</v>
      </c>
      <c r="T248" s="3">
        <v>1</v>
      </c>
      <c r="U248" s="3" t="str">
        <f ca="1">VLOOKUP(RANDBETWEEN(1,2),Civil,2)&amp;" Ironclad."</f>
        <v>Union Ironclad.</v>
      </c>
    </row>
    <row r="249" spans="4:22" ht="31.5" x14ac:dyDescent="0.2">
      <c r="D249" s="3">
        <v>248</v>
      </c>
      <c r="E249" s="1" t="s">
        <v>419</v>
      </c>
      <c r="F249" s="3">
        <v>248</v>
      </c>
      <c r="G249" s="3" t="str">
        <f ca="1">"A swarm of "&amp;VLOOKUP(RANDBETWEEN(1,10),Bugs,2)&amp;"converges on the Posse."</f>
        <v>A swarm of rhinoceros beetlesconverges on the Posse.</v>
      </c>
      <c r="H249" s="3">
        <v>248</v>
      </c>
      <c r="I249" s="3" t="str">
        <f ca="1">"Storyteller with a random story about (a) "&amp;VLOOKUP(RANDBETWEEN(300,1386),creature,2)&amp;"."</f>
        <v>Storyteller with a random story about (a) Humbug.</v>
      </c>
      <c r="J249" s="3" t="s">
        <v>3016</v>
      </c>
      <c r="K249" s="14">
        <v>282</v>
      </c>
      <c r="L249" s="3" t="s">
        <v>2094</v>
      </c>
      <c r="N249" s="3">
        <v>48</v>
      </c>
      <c r="O249" s="3" t="str">
        <f ca="1">"nails {1 lb} {$"&amp;(VLOOKUP(RANDBETWEEN(2,101),CHANGE,2)&amp;"}")</f>
        <v>nails {1 lb} {$.87}</v>
      </c>
      <c r="P249" s="3">
        <v>215</v>
      </c>
      <c r="Q249" s="2" t="s">
        <v>1469</v>
      </c>
      <c r="R249" s="7">
        <v>37</v>
      </c>
      <c r="S249" s="3" t="s">
        <v>1397</v>
      </c>
      <c r="T249" s="3">
        <v>2</v>
      </c>
      <c r="U249" s="3" t="str">
        <f ca="1">VLOOKUP(RANDBETWEEN(1,2),Civil,2)&amp;" Raider."</f>
        <v>Confederate Raider.</v>
      </c>
    </row>
    <row r="250" spans="4:22" ht="63" x14ac:dyDescent="0.2">
      <c r="D250" s="3">
        <v>249</v>
      </c>
      <c r="E250" s="3" t="s">
        <v>737</v>
      </c>
      <c r="F250" s="3">
        <v>249</v>
      </c>
      <c r="G250" s="3" t="s">
        <v>753</v>
      </c>
      <c r="H250" s="3">
        <v>249</v>
      </c>
      <c r="I250" s="3" t="s">
        <v>48</v>
      </c>
      <c r="J250" s="3" t="s">
        <v>3016</v>
      </c>
      <c r="K250" s="14">
        <v>283</v>
      </c>
      <c r="L250" s="3" t="s">
        <v>2095</v>
      </c>
      <c r="N250" s="3">
        <v>49</v>
      </c>
      <c r="O250" s="3" t="str">
        <f ca="1">"rope {50 ft} {$"&amp;(RANDBETWEEN(0,2)&amp;VLOOKUP(RANDBETWEEN(1,100),CHANGE,2)&amp;"}")</f>
        <v>rope {50 ft} {$0.83}</v>
      </c>
      <c r="P250" s="3">
        <v>216</v>
      </c>
      <c r="Q250" s="2" t="s">
        <v>1470</v>
      </c>
      <c r="R250" s="7">
        <v>38</v>
      </c>
      <c r="S250" s="3" t="s">
        <v>1399</v>
      </c>
      <c r="T250" s="3">
        <v>3</v>
      </c>
      <c r="U250" s="3" t="s">
        <v>2872</v>
      </c>
    </row>
    <row r="251" spans="4:22" ht="63" x14ac:dyDescent="0.2">
      <c r="D251" s="3">
        <v>250</v>
      </c>
      <c r="E251" s="3" t="s">
        <v>738</v>
      </c>
      <c r="F251" s="3">
        <v>250</v>
      </c>
      <c r="G251" s="3" t="str">
        <f ca="1">"A Texas Ranger with "&amp;RANDBETWEEN(2,8)&amp;" posse members heading "&amp;VLOOKUP(RANDBETWEEN(1,4),Compas,2)&amp;"."</f>
        <v>A Texas Ranger with 6 posse members heading east.</v>
      </c>
      <c r="H251" s="3">
        <v>250</v>
      </c>
      <c r="I251" s="3" t="s">
        <v>601</v>
      </c>
      <c r="J251" s="3" t="s">
        <v>3016</v>
      </c>
      <c r="K251" s="14">
        <v>284</v>
      </c>
      <c r="L251" s="3" t="s">
        <v>2096</v>
      </c>
      <c r="N251" s="3">
        <v>50</v>
      </c>
      <c r="O251" s="3" t="str">
        <f ca="1">"bugle {$"&amp;(RANDBETWEEN(3,5)&amp;VLOOKUP(RANDBETWEEN(1,100),CHANGE,2)&amp;"}")</f>
        <v>bugle {$5.85}</v>
      </c>
      <c r="P251" s="3">
        <v>217</v>
      </c>
      <c r="Q251" s="2" t="s">
        <v>1471</v>
      </c>
      <c r="R251" s="7">
        <v>39</v>
      </c>
      <c r="S251" s="3" t="s">
        <v>1401</v>
      </c>
      <c r="T251" s="3">
        <v>5</v>
      </c>
      <c r="U251" s="3" t="s">
        <v>2873</v>
      </c>
    </row>
    <row r="252" spans="4:22" ht="47.25" x14ac:dyDescent="0.2">
      <c r="D252" s="3">
        <v>251</v>
      </c>
      <c r="E252" s="3" t="s">
        <v>969</v>
      </c>
      <c r="F252" s="3">
        <v>251</v>
      </c>
      <c r="G252" s="1" t="str">
        <f ca="1">"A trapper "&amp;VLOOKUP(RANDBETWEEN(1,40),wilderness,2)</f>
        <v>A trapper transporting ore.</v>
      </c>
      <c r="H252" s="3">
        <v>251</v>
      </c>
      <c r="I252" s="2" t="str">
        <f ca="1">"A Geezer "&amp;VLOOKUP(RANDBETWEEN(1,118),Disposition,2)</f>
        <v>A Geezer is a skilled amateur gambler looking to break into the pros or find the "big game".</v>
      </c>
      <c r="J252" s="2" t="s">
        <v>3016</v>
      </c>
      <c r="K252" s="14">
        <v>285</v>
      </c>
      <c r="L252" s="3" t="s">
        <v>2097</v>
      </c>
      <c r="P252" s="3">
        <v>218</v>
      </c>
      <c r="Q252" s="2" t="s">
        <v>1472</v>
      </c>
      <c r="R252" s="7">
        <v>40</v>
      </c>
      <c r="S252" s="3" t="s">
        <v>1403</v>
      </c>
      <c r="T252" s="3">
        <v>7</v>
      </c>
      <c r="U252" s="3" t="s">
        <v>2869</v>
      </c>
    </row>
    <row r="253" spans="4:22" ht="31.5" x14ac:dyDescent="0.2">
      <c r="D253" s="3">
        <v>252</v>
      </c>
      <c r="E253" s="3" t="s">
        <v>519</v>
      </c>
      <c r="F253" s="3">
        <v>252</v>
      </c>
      <c r="G253" s="1" t="str">
        <f ca="1">"A traveling merchant "&amp;VLOOKUP(RANDBETWEEN(1,40),wilderness,2)</f>
        <v>A traveling merchant transporting payroll.</v>
      </c>
      <c r="H253" s="3">
        <v>252</v>
      </c>
      <c r="I253" s="3" t="str">
        <f ca="1">"A bounty hunter "&amp;VLOOKUP(RANDBETWEEN(1,119),Disposition,2)</f>
        <v>A bounty hunter seeks his/her father/mother/child who ran away from home.</v>
      </c>
      <c r="J253" s="3" t="s">
        <v>3016</v>
      </c>
      <c r="K253" s="14">
        <v>286</v>
      </c>
      <c r="L253" s="3" t="s">
        <v>2098</v>
      </c>
      <c r="O253" s="22" t="s">
        <v>926</v>
      </c>
      <c r="P253" s="3">
        <v>219</v>
      </c>
      <c r="Q253" s="2" t="s">
        <v>1473</v>
      </c>
      <c r="R253" s="7">
        <v>41</v>
      </c>
      <c r="S253" s="3" t="s">
        <v>1405</v>
      </c>
      <c r="U253" s="22" t="s">
        <v>2917</v>
      </c>
    </row>
    <row r="254" spans="4:22" ht="31.5" x14ac:dyDescent="0.2">
      <c r="D254" s="3">
        <v>253</v>
      </c>
      <c r="E254" s="3" t="s">
        <v>739</v>
      </c>
      <c r="F254" s="3">
        <v>253</v>
      </c>
      <c r="G254" s="3" t="str">
        <f ca="1">"A Traveling Merchant, his wares packed soundly on his mule, rides "&amp;VLOOKUP(RANDBETWEEN(1,8),Compas,2)&amp;"."</f>
        <v>A Traveling Merchant, his wares packed soundly on his mule, rides north.</v>
      </c>
      <c r="H254" s="3">
        <v>253</v>
      </c>
      <c r="I254" s="3" t="str">
        <f ca="1">"A Shootist "&amp;VLOOKUP(RANDBETWEEN(1,119),Disposition,2)</f>
        <v>A Shootist is on a personal quest for enlightenment, salvation, vengeance, atonement, etc.</v>
      </c>
      <c r="J254" s="3" t="s">
        <v>3016</v>
      </c>
      <c r="K254" s="14">
        <v>287</v>
      </c>
      <c r="L254" s="3" t="str">
        <f ca="1">"a silver pistol, with pearl grips and the name "&amp;VLOOKUP(RANDBETWEEN(1,233),NAME,2)&amp;" ingraved on the barrel."</f>
        <v>a silver pistol, with pearl grips and the name Blunt ingraved on the barrel.</v>
      </c>
      <c r="N254" s="3">
        <v>1</v>
      </c>
      <c r="O254" s="3" t="s">
        <v>90</v>
      </c>
      <c r="P254" s="3">
        <v>220</v>
      </c>
      <c r="Q254" s="2" t="s">
        <v>1474</v>
      </c>
      <c r="R254" s="7">
        <v>42</v>
      </c>
      <c r="S254" s="3" t="s">
        <v>1407</v>
      </c>
      <c r="T254" s="3">
        <v>1</v>
      </c>
      <c r="U254" s="3" t="s">
        <v>2382</v>
      </c>
    </row>
    <row r="255" spans="4:22" ht="47.25" x14ac:dyDescent="0.2">
      <c r="D255" s="3">
        <v>254</v>
      </c>
      <c r="E255" s="3" t="s">
        <v>740</v>
      </c>
      <c r="F255" s="3">
        <v>254</v>
      </c>
      <c r="G255" s="2" t="str">
        <f ca="1">"A "&amp;VLOOKUP(RANDBETWEEN(1,5),chase,2)&amp;"being chased down by "&amp;VLOOKUP(RANDBETWEEN(6,10),chase,2)&amp;"."</f>
        <v>A party of Indiansbeing chased down by an Indian war party.</v>
      </c>
      <c r="H255" s="3">
        <v>254</v>
      </c>
      <c r="I255" s="3" t="str">
        <f ca="1">"A buffalo hunter "&amp;VLOOKUP(RANDBETWEEN(1,119),Disposition,2)</f>
        <v>A buffalo hunter seeks his/her father/mother/child who ran away from home.</v>
      </c>
      <c r="J255" s="3" t="s">
        <v>3016</v>
      </c>
      <c r="K255" s="14">
        <v>288</v>
      </c>
      <c r="L255" s="3" t="str">
        <f ca="1">"a carpetbag containing: "&amp;VLOOKUP(RANDBETWEEN(1,20),CLOTHES,2)&amp;", "&amp;VLOOKUP(RANDBETWEEN(1,20),CLOTHES,2)&amp;", "&amp;VLOOKUP(RANDBETWEEN(1,20),CLOTHES,2)&amp;", "&amp;VLOOKUP(RANDBETWEEN(1,20),CLOTHES,2)&amp;" and "&amp;VLOOKUP(RANDBETWEEN(1,20),CLOTHES,2)</f>
        <v>a carpetbag containing: a lone holey sock, 4 pair(s) of holey socks, 4 pair(s) of holey socks, a lone holey sock and 5 fancy dress(es)</v>
      </c>
      <c r="N255" s="3">
        <v>2</v>
      </c>
      <c r="O255" s="3" t="s">
        <v>91</v>
      </c>
      <c r="P255" s="3">
        <v>221</v>
      </c>
      <c r="Q255" s="2" t="s">
        <v>1475</v>
      </c>
      <c r="R255" s="7">
        <v>43</v>
      </c>
      <c r="S255" s="3" t="s">
        <v>1409</v>
      </c>
      <c r="T255" s="3">
        <v>19</v>
      </c>
      <c r="U255" s="3" t="s">
        <v>2950</v>
      </c>
    </row>
    <row r="256" spans="4:22" ht="63" x14ac:dyDescent="0.2">
      <c r="D256" s="3">
        <v>255</v>
      </c>
      <c r="E256" s="3" t="s">
        <v>970</v>
      </c>
      <c r="F256" s="3">
        <v>255</v>
      </c>
      <c r="G256" s="3" t="s">
        <v>591</v>
      </c>
      <c r="H256" s="3">
        <v>255</v>
      </c>
      <c r="I256" s="3" t="str">
        <f ca="1">"A "&amp;VLOOKUP(RANDBETWEEN(1,2),Civil,2)&amp;" cavalry officer "&amp;VLOOKUP(RANDBETWEEN(1,119),Disposition,2)</f>
        <v>A Confederate cavalry officer tries to recruit the Posse for some incredibly mundane task {i.e. laborer} regardless of their objections.</v>
      </c>
      <c r="J256" s="3" t="s">
        <v>3016</v>
      </c>
      <c r="K256" s="14">
        <v>289</v>
      </c>
      <c r="L256" s="3" t="str">
        <f ca="1">"a steamer trunk containing: "&amp;VLOOKUP(RANDBETWEEN(1,20),CLOTHES,2)&amp;", "&amp;VLOOKUP(RANDBETWEEN(1,20),CLOTHES,2)&amp;", "&amp;VLOOKUP(RANDBETWEEN(1,20),CLOTHES,2)&amp;", "&amp;VLOOKUP(RANDBETWEEN(1,20),CLOTHES,2)&amp;", "&amp;VLOOKUP(RANDBETWEEN(1,20),CLOTHES,2)&amp;", "&amp;VLOOKUP(RANDBETWEEN(1,20),CLOTHES,2)&amp;", "&amp;VLOOKUP(RANDBETWEEN(1,20),CLOTHES,2)&amp;", "&amp;VLOOKUP(RANDBETWEEN(1,20),CLOTHES,2)&amp;", "&amp;VLOOKUP(RANDBETWEEN(1,20),CLOTHES,2)&amp;", "&amp;VLOOKUP(RANDBETWEEN(1,20),CLOTHES,2)&amp;", "&amp;VLOOKUP(RANDBETWEEN(1,10),HATS,2)&amp;", "&amp;VLOOKUP(RANDBETWEEN(1,10),HATS,2)&amp;" and "&amp;VLOOKUP(RANDBETWEEN(1,10),HATS,2)</f>
        <v>a steamer trunk containing: 1 work shirt(s), 5 work blouse(s), 4 pair(s) of holey socks, 3 dress blouse(s), a light coat, 5 fancy dress(es), 1 work shirt(s), a lone sock, 2 pair(s) of long johns, 5 fancy dress(es), a boater, a boater and a top hat</v>
      </c>
      <c r="N256" s="3">
        <v>3</v>
      </c>
      <c r="O256" s="3" t="str">
        <f ca="1">RANDBETWEEN(5,50)&amp;" cannonballs"</f>
        <v>31 cannonballs</v>
      </c>
      <c r="P256" s="3">
        <v>222</v>
      </c>
      <c r="Q256" s="2" t="s">
        <v>1476</v>
      </c>
      <c r="R256" s="7">
        <v>44</v>
      </c>
      <c r="S256" s="3" t="s">
        <v>1411</v>
      </c>
      <c r="T256" s="3">
        <v>20</v>
      </c>
      <c r="U256" s="3" t="s">
        <v>2922</v>
      </c>
    </row>
    <row r="257" spans="4:21" ht="63" x14ac:dyDescent="0.2">
      <c r="D257" s="3">
        <v>256</v>
      </c>
      <c r="E257" s="3" t="s">
        <v>562</v>
      </c>
      <c r="F257" s="3">
        <v>256</v>
      </c>
      <c r="G257" s="1" t="str">
        <f ca="1">"A troupe of "&amp;VLOOKUP(RANDBETWEEN(1,2),Civil,2)&amp;"cavalry scouts "&amp;VLOOKUP(RANDBETWEEN(1,40),wilderness,2)</f>
        <v>A troupe of Unioncavalry scouts tearing down a fence.</v>
      </c>
      <c r="H257" s="3">
        <v>256</v>
      </c>
      <c r="I257" s="1" t="str">
        <f ca="1">"A dentist "&amp;VLOOKUP(RANDBETWEEN(1,119),Disposition,2)</f>
        <v>A dentist fears being alone because of a recent incident.</v>
      </c>
      <c r="J257" s="1" t="s">
        <v>3016</v>
      </c>
      <c r="K257" s="14">
        <v>290</v>
      </c>
      <c r="L257" s="3" t="str">
        <f ca="1">"a package containing "&amp;VLOOKUP(RANDBETWEEN(1,20),CLOTHES,2)&amp;" ("&amp;VLOOKUP(RANDBETWEEN(1,12),FIT,2)&amp;")"</f>
        <v>a package containing 2 pairs of socks (fits)</v>
      </c>
      <c r="N257" s="3">
        <v>4</v>
      </c>
      <c r="O257" s="3" t="s">
        <v>386</v>
      </c>
      <c r="P257" s="3">
        <v>223</v>
      </c>
      <c r="Q257" s="2" t="s">
        <v>1477</v>
      </c>
      <c r="R257" s="7">
        <v>45</v>
      </c>
      <c r="S257" s="3" t="s">
        <v>1413</v>
      </c>
      <c r="T257" s="3">
        <v>21</v>
      </c>
      <c r="U257" s="3" t="s">
        <v>2921</v>
      </c>
    </row>
    <row r="258" spans="4:21" ht="47.25" x14ac:dyDescent="0.2">
      <c r="D258" s="3">
        <v>257</v>
      </c>
      <c r="E258" s="3" t="s">
        <v>494</v>
      </c>
      <c r="F258" s="3">
        <v>257</v>
      </c>
      <c r="G258" s="1" t="str">
        <f ca="1">"A "&amp;VLOOKUP(RANDBETWEEN(1,2),Civil,2)&amp;"army patrol "&amp;VLOOKUP(RANDBETWEEN(1,40),wilderness,2)</f>
        <v>A Confederatearmy patrol prospecting.</v>
      </c>
      <c r="H258" s="3">
        <v>257</v>
      </c>
      <c r="I258" s="3" t="str">
        <f ca="1">"An Indian "&amp;VLOOKUP(RANDBETWEEN(1,119),Disposition,2)</f>
        <v>An Indian has an irrational fear of pants and attempts to "save" anyone who happens to be wearing pants.</v>
      </c>
      <c r="J258" s="3" t="s">
        <v>3016</v>
      </c>
      <c r="K258" s="14">
        <v>291</v>
      </c>
      <c r="L258" s="3" t="str">
        <f ca="1">"a fine duster that "&amp;VLOOKUP(RANDBETWEEN(1,10),FIT,2)</f>
        <v>a fine duster that doesn't fit</v>
      </c>
      <c r="N258" s="3">
        <v>5</v>
      </c>
      <c r="O258" s="3" t="s">
        <v>375</v>
      </c>
      <c r="P258" s="3">
        <v>224</v>
      </c>
      <c r="Q258" s="2" t="s">
        <v>1478</v>
      </c>
      <c r="R258" s="7">
        <v>46</v>
      </c>
      <c r="S258" s="3" t="s">
        <v>1415</v>
      </c>
      <c r="T258" s="3">
        <v>22</v>
      </c>
      <c r="U258" s="3" t="s">
        <v>2920</v>
      </c>
    </row>
    <row r="259" spans="4:21" ht="63" x14ac:dyDescent="0.2">
      <c r="D259" s="3">
        <v>258</v>
      </c>
      <c r="E259" s="3" t="s">
        <v>741</v>
      </c>
      <c r="F259" s="3">
        <v>258</v>
      </c>
      <c r="G259" s="1" t="str">
        <f ca="1">"A "&amp;VLOOKUP(RANDBETWEEN(1,2),Civil,2)&amp;"cavalry patrol "&amp;VLOOKUP(RANDBETWEEN(1,40),wilderness,2)</f>
        <v>A Confederatecavalry patrol prospecting.</v>
      </c>
      <c r="H259" s="3">
        <v>258</v>
      </c>
      <c r="I259" s="1" t="str">
        <f ca="1">"A sheepherder "&amp;VLOOKUP(RANDBETWEEN(1,119),Disposition,2)</f>
        <v>A sheepherder is a very trusting foreigner.</v>
      </c>
      <c r="J259" s="1" t="s">
        <v>3016</v>
      </c>
      <c r="K259" s="14">
        <v>292</v>
      </c>
      <c r="L259" s="3" t="str">
        <f ca="1">"a cheep duster that "&amp;VLOOKUP(RANDBETWEEN(1,10),FIT,2)</f>
        <v>a cheep duster that doesn't fit</v>
      </c>
      <c r="N259" s="3">
        <v>6</v>
      </c>
      <c r="O259" s="3" t="s">
        <v>374</v>
      </c>
      <c r="P259" s="3">
        <v>225</v>
      </c>
      <c r="Q259" s="2" t="s">
        <v>1479</v>
      </c>
      <c r="R259" s="7">
        <v>47</v>
      </c>
      <c r="S259" s="3" t="s">
        <v>1417</v>
      </c>
      <c r="T259" s="3">
        <v>23</v>
      </c>
      <c r="U259" s="3" t="s">
        <v>2919</v>
      </c>
    </row>
    <row r="260" spans="4:21" ht="63" x14ac:dyDescent="0.2">
      <c r="D260" s="3">
        <v>259</v>
      </c>
      <c r="E260" s="3" t="s">
        <v>485</v>
      </c>
      <c r="F260" s="3">
        <v>259</v>
      </c>
      <c r="G260" s="1" t="s">
        <v>343</v>
      </c>
      <c r="H260" s="3">
        <v>259</v>
      </c>
      <c r="I260" s="1" t="str">
        <f ca="1">"A Texas ranger "&amp;VLOOKUP(RANDBETWEEN(1,119),Disposition,2)</f>
        <v>A Texas ranger is eating a ham and cheese sandwich.</v>
      </c>
      <c r="J260" s="1" t="s">
        <v>3016</v>
      </c>
      <c r="K260" s="14">
        <v>293</v>
      </c>
      <c r="L260" s="3" t="str">
        <f ca="1">"a worn duster that "&amp;VLOOKUP(RANDBETWEEN(1,10),FIT,2)</f>
        <v>a worn duster that doesn't fit</v>
      </c>
      <c r="N260" s="3">
        <v>7</v>
      </c>
      <c r="O260" s="3" t="s">
        <v>376</v>
      </c>
      <c r="P260" s="3">
        <v>226</v>
      </c>
      <c r="Q260" s="2" t="s">
        <v>1480</v>
      </c>
      <c r="R260" s="7">
        <v>48</v>
      </c>
      <c r="S260" s="3" t="s">
        <v>1419</v>
      </c>
      <c r="T260" s="3">
        <v>24</v>
      </c>
      <c r="U260" s="3" t="s">
        <v>2918</v>
      </c>
    </row>
    <row r="261" spans="4:21" ht="31.5" x14ac:dyDescent="0.2">
      <c r="D261" s="3">
        <v>260</v>
      </c>
      <c r="E261" s="3" t="s">
        <v>440</v>
      </c>
      <c r="F261" s="3">
        <v>260</v>
      </c>
      <c r="G261" s="3" t="s">
        <v>750</v>
      </c>
      <c r="H261" s="3">
        <v>260</v>
      </c>
      <c r="I261" s="3" t="str">
        <f ca="1">"A tramp "&amp;VLOOKUP(RANDBETWEEN(1,119),Disposition,2)</f>
        <v>A tramp is a pacifist who tries to convert the party to the ways of non-violence.</v>
      </c>
      <c r="J261" s="3" t="s">
        <v>3016</v>
      </c>
      <c r="K261" s="14">
        <v>294</v>
      </c>
      <c r="L261" s="3" t="str">
        <f ca="1">"a bloody duster that "&amp;VLOOKUP(RANDBETWEEN(1,10),FIT,2)</f>
        <v>a bloody duster that fits</v>
      </c>
      <c r="N261" s="3">
        <v>8</v>
      </c>
      <c r="O261" s="3" t="s">
        <v>377</v>
      </c>
      <c r="P261" s="3">
        <v>227</v>
      </c>
      <c r="Q261" s="2" t="s">
        <v>1481</v>
      </c>
      <c r="R261" s="7">
        <v>49</v>
      </c>
      <c r="S261" s="3" t="str">
        <f ca="1">VLOOKUP(RANDBETWEEN(1,26),ELIXIR,2)</f>
        <v>Enfeebling Powders</v>
      </c>
      <c r="T261" s="3">
        <v>25</v>
      </c>
      <c r="U261" s="3" t="s">
        <v>2382</v>
      </c>
    </row>
    <row r="262" spans="4:21" ht="31.5" x14ac:dyDescent="0.2">
      <c r="D262" s="3">
        <v>261</v>
      </c>
      <c r="E262" s="3" t="s">
        <v>742</v>
      </c>
      <c r="F262" s="3">
        <v>261</v>
      </c>
      <c r="G262" s="3" t="s">
        <v>2992</v>
      </c>
      <c r="H262" s="3">
        <v>261</v>
      </c>
      <c r="I262" s="3" t="str">
        <f ca="1">"A trapper "&amp;VLOOKUP(RANDBETWEEN(1,119),Disposition,2)</f>
        <v>A trapper is a self-proclaimed matchmaker and tries to set up at least one of the Posse.</v>
      </c>
      <c r="J262" s="3" t="s">
        <v>3016</v>
      </c>
      <c r="K262" s="14">
        <v>295</v>
      </c>
      <c r="L262" s="3" t="str">
        <f ca="1">"a bloody duster, riddled with holes, that "&amp;VLOOKUP(RANDBETWEEN(1,10),FIT,2)</f>
        <v>a bloody duster, riddled with holes, that doesn't fit</v>
      </c>
      <c r="N262" s="3">
        <v>9</v>
      </c>
      <c r="O262" s="3" t="s">
        <v>378</v>
      </c>
      <c r="P262" s="3">
        <v>228</v>
      </c>
      <c r="Q262" s="2" t="s">
        <v>1482</v>
      </c>
      <c r="R262" s="7">
        <v>50</v>
      </c>
      <c r="S262" s="3" t="str">
        <f ca="1">VLOOKUP(RANDBETWEEN(1,24),TONICS,2)</f>
        <v>hard cider</v>
      </c>
      <c r="T262" s="18"/>
      <c r="U262" s="48" t="s">
        <v>2967</v>
      </c>
    </row>
    <row r="263" spans="4:21" ht="31.5" x14ac:dyDescent="0.2">
      <c r="D263" s="3">
        <v>262</v>
      </c>
      <c r="E263" s="3" t="s">
        <v>506</v>
      </c>
      <c r="F263" s="3">
        <v>262</v>
      </c>
      <c r="G263" s="3" t="str">
        <f ca="1">"A Wells Fargo Stagecoach heading "&amp;VLOOKUP(RANDBETWEEN(1,4),Compas,2)&amp;"."</f>
        <v>A Wells Fargo Stagecoach heading south.</v>
      </c>
      <c r="H263" s="3">
        <v>262</v>
      </c>
      <c r="I263" s="1" t="str">
        <f ca="1">"A traveling merchant "&amp;VLOOKUP(RANDBETWEEN(1,119),Disposition,2)</f>
        <v>A traveling merchant is eating a ham and cheese sandwich.</v>
      </c>
      <c r="J263" s="1" t="s">
        <v>3016</v>
      </c>
      <c r="K263" s="14">
        <v>296</v>
      </c>
      <c r="L263" s="3" t="str">
        <f ca="1">"a duster, riddled with holes, that "&amp;VLOOKUP(RANDBETWEEN(1,10),FIT,2)</f>
        <v>a duster, riddled with holes, that doesn't fit</v>
      </c>
      <c r="N263" s="3">
        <v>10</v>
      </c>
      <c r="O263" s="3" t="s">
        <v>379</v>
      </c>
      <c r="P263" s="3">
        <v>229</v>
      </c>
      <c r="Q263" s="2" t="s">
        <v>1483</v>
      </c>
      <c r="T263" s="18">
        <v>1</v>
      </c>
      <c r="U263" s="18" t="s">
        <v>2966</v>
      </c>
    </row>
    <row r="264" spans="4:21" ht="31.5" x14ac:dyDescent="0.2">
      <c r="D264" s="3">
        <v>263</v>
      </c>
      <c r="E264" s="3" t="s">
        <v>476</v>
      </c>
      <c r="F264" s="3">
        <v>263</v>
      </c>
      <c r="G264" s="3" t="str">
        <f ca="1">"A Wells Fargo Stagecoach with $"&amp;RANDBETWEEN(10,200)&amp;".00 local dinero."</f>
        <v>A Wells Fargo Stagecoach with $145.00 local dinero.</v>
      </c>
      <c r="H264" s="3">
        <v>263</v>
      </c>
      <c r="I264" s="3" t="str">
        <f ca="1">"Rich Tinhorn Traveler "&amp;VLOOKUP(RANDBETWEEN(1,119),Disposition,2)</f>
        <v>Rich Tinhorn Traveler is a self-proclaimed matchmaker and tries to set up at least one of the Posse.</v>
      </c>
      <c r="J264" s="3" t="s">
        <v>3016</v>
      </c>
      <c r="K264" s="14">
        <v>297</v>
      </c>
      <c r="L264" s="3" t="str">
        <f ca="1">"a fancy "&amp;VLOOKUP(RANDBETWEEN(1,10),HATS,2)&amp;" that "&amp;VLOOKUP(RANDBETWEEN(1,10),FIT,2)</f>
        <v>a fancy a boater that fits</v>
      </c>
      <c r="N264" s="3">
        <v>11</v>
      </c>
      <c r="O264" s="3" t="s">
        <v>381</v>
      </c>
      <c r="P264" s="3">
        <v>230</v>
      </c>
      <c r="Q264" s="2" t="s">
        <v>1484</v>
      </c>
      <c r="S264" s="22" t="s">
        <v>1424</v>
      </c>
      <c r="T264" s="18">
        <v>6</v>
      </c>
      <c r="U264" s="18" t="s">
        <v>2965</v>
      </c>
    </row>
    <row r="265" spans="4:21" ht="63" x14ac:dyDescent="0.2">
      <c r="D265" s="3">
        <v>264</v>
      </c>
      <c r="E265" s="3" t="s">
        <v>533</v>
      </c>
      <c r="F265" s="3">
        <v>264</v>
      </c>
      <c r="G265" s="3" t="str">
        <f ca="1">"A wind kicks up from the "&amp;VLOOKUP(RANDBETWEEN(1,8),Compas,2)&amp;", picking up in velocity, a wall of dust forms, heading straight for the Posse…"</f>
        <v>A wind kicks up from the east, picking up in velocity, a wall of dust forms, heading straight for the Posse…</v>
      </c>
      <c r="H265" s="3">
        <v>264</v>
      </c>
      <c r="I265" s="3" t="str">
        <f ca="1">"Snake Oil Salesman "&amp;VLOOKUP(RANDBETWEEN(1,119),Disposition,2)</f>
        <v>Snake Oil Salesman is in the process of creating their own masterpiece {painting, pottery, sculpture, etc.} and wants to use one of the Posse as a model/inspiration.</v>
      </c>
      <c r="J265" s="3" t="s">
        <v>3016</v>
      </c>
      <c r="K265" s="14">
        <v>298</v>
      </c>
      <c r="L265" s="3" t="str">
        <f ca="1">"a battered "&amp;VLOOKUP(RANDBETWEEN(1,10),HATS,2)&amp;" that "&amp;VLOOKUP(RANDBETWEEN(1,10),FIT,2)</f>
        <v>a battered a Stetson that fits</v>
      </c>
      <c r="N265" s="3">
        <v>12</v>
      </c>
      <c r="O265" s="3" t="str">
        <f ca="1">"stick of lit dynamite with "&amp;RANDBETWEEN(10,60)&amp;"seconds of fuse left…"</f>
        <v>stick of lit dynamite with 52seconds of fuse left…</v>
      </c>
      <c r="P265" s="3">
        <v>231</v>
      </c>
      <c r="Q265" s="2" t="s">
        <v>1485</v>
      </c>
      <c r="R265" s="3">
        <v>1</v>
      </c>
      <c r="S265" s="3" t="s">
        <v>1426</v>
      </c>
    </row>
    <row r="266" spans="4:21" x14ac:dyDescent="0.2">
      <c r="D266" s="3">
        <v>265</v>
      </c>
      <c r="E266" s="3" t="s">
        <v>743</v>
      </c>
      <c r="F266" s="3">
        <v>265</v>
      </c>
      <c r="G266" s="3" t="s">
        <v>590</v>
      </c>
      <c r="H266" s="3">
        <v>265</v>
      </c>
      <c r="I266" s="3" t="str">
        <f ca="1">"The "&amp;VLOOKUP(RANDBETWEEN(1,83),NAME,2)&amp;" Boys."</f>
        <v>The McClintock Boys.</v>
      </c>
      <c r="J266" s="3" t="s">
        <v>3016</v>
      </c>
      <c r="K266" s="14">
        <v>299</v>
      </c>
      <c r="L266" s="3" t="str">
        <f ca="1">"a cheep "&amp;VLOOKUP(RANDBETWEEN(1,10),HATS,2)&amp;" that "&amp;VLOOKUP(RANDBETWEEN(1,10),FIT,2)</f>
        <v>a cheep a Panama hat that doesn't fit</v>
      </c>
      <c r="N266" s="3">
        <v>13</v>
      </c>
      <c r="O266" s="3" t="s">
        <v>385</v>
      </c>
      <c r="P266" s="3">
        <v>232</v>
      </c>
      <c r="Q266" s="2" t="s">
        <v>1486</v>
      </c>
      <c r="R266" s="3">
        <v>2</v>
      </c>
      <c r="S266" s="3" t="s">
        <v>1428</v>
      </c>
    </row>
    <row r="267" spans="4:21" ht="63" x14ac:dyDescent="0.2">
      <c r="D267" s="3">
        <v>266</v>
      </c>
      <c r="E267" s="3" t="s">
        <v>2688</v>
      </c>
      <c r="F267" s="3">
        <v>266</v>
      </c>
      <c r="G267" s="3" t="s">
        <v>614</v>
      </c>
      <c r="H267" s="3">
        <v>266</v>
      </c>
      <c r="I267" s="3" t="str">
        <f ca="1">"A bounty hunter "&amp;VLOOKUP(RANDBETWEEN(1,40),wilderness,2)</f>
        <v>A bounty hunter rounding up cattle.</v>
      </c>
      <c r="J267" s="3" t="s">
        <v>3016</v>
      </c>
      <c r="K267" s="14">
        <v>300</v>
      </c>
      <c r="L267" s="3" t="str">
        <f ca="1">"a cheep "&amp;VLOOKUP(RANDBETWEEN(1,10),HATS,2)&amp;" riddled with bullet holes that "&amp;VLOOKUP(RANDBETWEEN(1,15),FIT,2)</f>
        <v>a cheep a top hat riddled with bullet holes that fits</v>
      </c>
      <c r="N267" s="3">
        <v>14</v>
      </c>
      <c r="O267" s="3" t="s">
        <v>383</v>
      </c>
      <c r="P267" s="3">
        <v>233</v>
      </c>
      <c r="Q267" s="2" t="s">
        <v>1487</v>
      </c>
      <c r="R267" s="3">
        <v>3</v>
      </c>
      <c r="S267" s="3" t="s">
        <v>1430</v>
      </c>
    </row>
    <row r="268" spans="4:21" ht="47.25" x14ac:dyDescent="0.2">
      <c r="D268" s="3">
        <v>267</v>
      </c>
      <c r="E268" s="3" t="s">
        <v>514</v>
      </c>
      <c r="F268" s="3">
        <v>267</v>
      </c>
      <c r="G268" s="3" t="str">
        <f ca="1">"A woman, riding side-saddle, her face puffy and bruised, heads "&amp;VLOOKUP(RANDBETWEEN(1,4),Compas,2)&amp;"fleeing from a husband who beats her"</f>
        <v>A woman, riding side-saddle, her face puffy and bruised, heads northfleeing from a husband who beats her</v>
      </c>
      <c r="H268" s="3">
        <v>267</v>
      </c>
      <c r="I268" s="18" t="str">
        <f ca="1">"A wandering 'TinMan' "&amp;VLOOKUP(RANDBETWEEN(1,6),TINMAN,2)</f>
        <v>A wandering 'TinMan' ignores the Posse.</v>
      </c>
      <c r="J268" s="18" t="s">
        <v>3016</v>
      </c>
      <c r="K268" s="14">
        <v>301</v>
      </c>
      <c r="L268" s="3" t="str">
        <f ca="1">"a pair of worn boots that "&amp;VLOOKUP(RANDBETWEEN(1,10),FIT,2)</f>
        <v>a pair of worn boots that fits</v>
      </c>
      <c r="N268" s="3">
        <v>15</v>
      </c>
      <c r="O268" s="3" t="s">
        <v>384</v>
      </c>
      <c r="R268" s="3">
        <v>4</v>
      </c>
      <c r="S268" s="3" t="s">
        <v>1432</v>
      </c>
    </row>
    <row r="269" spans="4:21" ht="31.5" x14ac:dyDescent="0.2">
      <c r="D269" s="3">
        <v>268</v>
      </c>
      <c r="E269" s="3" t="s">
        <v>2739</v>
      </c>
      <c r="F269" s="3">
        <v>268</v>
      </c>
      <c r="G269" s="2" t="s">
        <v>251</v>
      </c>
      <c r="H269" s="3">
        <v>268</v>
      </c>
      <c r="I269" s="1" t="str">
        <f ca="1">RANDBETWEEN(5,10)&amp;" rustlers "&amp;VLOOKUP(RANDBETWEEN(1,40),wilderness,2)</f>
        <v>10 rustlers repairing a telegraph line.</v>
      </c>
      <c r="J269" s="1" t="s">
        <v>3014</v>
      </c>
      <c r="K269" s="14">
        <v>302</v>
      </c>
      <c r="L269" s="3" t="str">
        <f ca="1">"a pair of good boots that "&amp;VLOOKUP(RANDBETWEEN(1,10),FIT,2)</f>
        <v>a pair of good boots that doesn't fit</v>
      </c>
      <c r="N269" s="3">
        <v>16</v>
      </c>
      <c r="O269" s="3" t="str">
        <f ca="1">VLOOKUP(RANDBETWEEN(1,30),varmints,2)</f>
        <v>rabbit</v>
      </c>
      <c r="Q269" s="21" t="s">
        <v>1488</v>
      </c>
      <c r="R269" s="3">
        <v>5</v>
      </c>
      <c r="S269" s="3" t="s">
        <v>1434</v>
      </c>
    </row>
    <row r="270" spans="4:21" ht="47.25" x14ac:dyDescent="0.2">
      <c r="D270" s="3">
        <v>269</v>
      </c>
      <c r="E270" s="1" t="s">
        <v>420</v>
      </c>
      <c r="F270" s="3">
        <v>269</v>
      </c>
      <c r="G270" s="3" t="str">
        <f ca="1">+"About "&amp;RANDBETWEEN(1,5)&amp;" mile(s) off the path to the "&amp;VLOOKUP(RANDBETWEEN(1,4),Compas,2)&amp;" an abandoned campsite can be seen.  The tents in tatters, flapping in the wind, the packs and crates ransacked.  No sign of the occupants, dead or alive…"</f>
        <v>About 4 mile(s) off the path to the east an abandoned campsite can be seen.  The tents in tatters, flapping in the wind, the packs and crates ransacked.  No sign of the occupants, dead or alive…</v>
      </c>
      <c r="H270" s="3">
        <v>269</v>
      </c>
      <c r="I270" s="1" t="str">
        <f ca="1">RANDBETWEEN(10,20)&amp;" settlers "&amp;VLOOKUP(RANDBETWEEN(1,40),wilderness,2)</f>
        <v>20 settlers transporting ore.</v>
      </c>
      <c r="J270" s="1" t="s">
        <v>3014</v>
      </c>
      <c r="K270" s="14">
        <v>303</v>
      </c>
      <c r="L270" s="3" t="str">
        <f ca="1">"a pair of worn shoes that "&amp;VLOOKUP(RANDBETWEEN(1,10),FIT,2)</f>
        <v>a pair of worn shoes that doesn't fit</v>
      </c>
      <c r="N270" s="3">
        <v>17</v>
      </c>
      <c r="O270" s="3" t="str">
        <f ca="1">VLOOKUP(RANDBETWEEN(1,20),critter,2)</f>
        <v>woodchuck</v>
      </c>
      <c r="P270" s="3">
        <v>1</v>
      </c>
      <c r="Q270" s="16" t="s">
        <v>1489</v>
      </c>
      <c r="R270" s="3">
        <v>6</v>
      </c>
      <c r="S270" s="3" t="s">
        <v>1436</v>
      </c>
    </row>
    <row r="271" spans="4:21" ht="31.5" x14ac:dyDescent="0.2">
      <c r="D271" s="3">
        <v>270</v>
      </c>
      <c r="E271" s="3" t="s">
        <v>744</v>
      </c>
      <c r="F271" s="3">
        <v>270</v>
      </c>
      <c r="G271" s="3" t="s">
        <v>63</v>
      </c>
      <c r="H271" s="3">
        <v>270</v>
      </c>
      <c r="I271" s="3" t="str">
        <f ca="1">RANDBETWEEN(1,4)&amp;" Bandit(s) armed with "&amp;VLOOKUP(RANDBETWEEN(1,3),Guns,2)&amp;" attempt to ambush the Posse."</f>
        <v>2 Bandit(s) armed with rifles attempt to ambush the Posse.</v>
      </c>
      <c r="J271" s="3" t="s">
        <v>3014</v>
      </c>
      <c r="K271" s="14">
        <v>304</v>
      </c>
      <c r="L271" s="3" t="str">
        <f ca="1">"a pair of good shoes that "&amp;VLOOKUP(RANDBETWEEN(1,10),FIT,2)</f>
        <v>a pair of good shoes that doesn't fit</v>
      </c>
      <c r="N271" s="3">
        <v>18</v>
      </c>
      <c r="O271" s="3" t="s">
        <v>96</v>
      </c>
      <c r="P271" s="3">
        <v>2</v>
      </c>
      <c r="Q271" s="16" t="s">
        <v>1490</v>
      </c>
      <c r="R271" s="3">
        <v>7</v>
      </c>
      <c r="S271" s="3" t="s">
        <v>1438</v>
      </c>
    </row>
    <row r="272" spans="4:21" ht="78.75" x14ac:dyDescent="0.2">
      <c r="D272" s="3">
        <v>271</v>
      </c>
      <c r="E272" s="3" t="s">
        <v>748</v>
      </c>
      <c r="F272" s="3">
        <v>271</v>
      </c>
      <c r="G272" s="3" t="s">
        <v>575</v>
      </c>
      <c r="H272" s="3">
        <v>271</v>
      </c>
      <c r="I272" s="3" t="str">
        <f ca="1">RANDBETWEEN(1,4)&amp;" "&amp;VLOOKUP(RANDBETWEEN(1,2),Civil,2)&amp;" Cavalry Scout(s) looking for the nearest town, and information on it..."</f>
        <v>4 Union Cavalry Scout(s) looking for the nearest town, and information on it...</v>
      </c>
      <c r="J272" s="3" t="s">
        <v>3014</v>
      </c>
      <c r="K272" s="14">
        <v>305</v>
      </c>
      <c r="L272" s="3" t="str">
        <f ca="1">"a cheap suit that "&amp;VLOOKUP(RANDBETWEEN(1,10),FIT,2)</f>
        <v>a cheap suit that doesn't fit</v>
      </c>
      <c r="N272" s="3">
        <v>19</v>
      </c>
      <c r="O272" s="3" t="s">
        <v>137</v>
      </c>
      <c r="P272" s="3">
        <v>3</v>
      </c>
      <c r="Q272" s="16" t="s">
        <v>1491</v>
      </c>
      <c r="R272" s="3">
        <v>8</v>
      </c>
      <c r="S272" s="3" t="s">
        <v>1440</v>
      </c>
    </row>
    <row r="273" spans="4:19" ht="47.25" x14ac:dyDescent="0.2">
      <c r="D273" s="3">
        <v>272</v>
      </c>
      <c r="E273" s="3" t="s">
        <v>2740</v>
      </c>
      <c r="F273" s="3">
        <v>272</v>
      </c>
      <c r="G273" s="3" t="s">
        <v>3</v>
      </c>
      <c r="H273" s="3">
        <v>272</v>
      </c>
      <c r="I273" s="3" t="str">
        <f ca="1">RANDBETWEEN(1,6)&amp;" Dusty Cowpoke(s) riding off into the sunset."</f>
        <v>5 Dusty Cowpoke(s) riding off into the sunset.</v>
      </c>
      <c r="J273" s="3" t="s">
        <v>3014</v>
      </c>
      <c r="K273" s="14">
        <v>306</v>
      </c>
      <c r="L273" s="3" t="str">
        <f ca="1">"a fancy suit that "&amp;VLOOKUP(RANDBETWEEN(1,10),FIT,2)</f>
        <v>a fancy suit that doesn't fit</v>
      </c>
      <c r="N273" s="3">
        <v>20</v>
      </c>
      <c r="O273" s="3" t="s">
        <v>97</v>
      </c>
      <c r="P273" s="3">
        <v>4</v>
      </c>
      <c r="Q273" s="16" t="s">
        <v>1492</v>
      </c>
      <c r="R273" s="3">
        <v>9</v>
      </c>
      <c r="S273" s="3" t="s">
        <v>1442</v>
      </c>
    </row>
    <row r="274" spans="4:19" ht="78.75" x14ac:dyDescent="0.2">
      <c r="D274" s="3">
        <v>273</v>
      </c>
      <c r="E274" s="3" t="s">
        <v>535</v>
      </c>
      <c r="F274" s="3">
        <v>273</v>
      </c>
      <c r="G274" s="8" t="s">
        <v>344</v>
      </c>
      <c r="H274" s="3">
        <v>273</v>
      </c>
      <c r="I274" s="3" t="str">
        <f ca="1">RANDBETWEEN(2,8)&amp;" Local and friendly Indians heading "&amp;VLOOKUP(RANDBETWEEN(1,4),Compas,2)&amp;" ."</f>
        <v>6 Local and friendly Indians heading north .</v>
      </c>
      <c r="J274" s="3" t="s">
        <v>3014</v>
      </c>
      <c r="K274" s="14">
        <v>307</v>
      </c>
      <c r="L274" s="3" t="str">
        <f ca="1">"a worn suit, covered in blood, that "&amp;VLOOKUP(RANDBETWEEN(1,10),FIT,2)</f>
        <v>a worn suit, covered in blood, that doesn't fit</v>
      </c>
      <c r="P274" s="3">
        <v>5</v>
      </c>
      <c r="Q274" s="16" t="s">
        <v>1493</v>
      </c>
      <c r="R274" s="3">
        <v>10</v>
      </c>
      <c r="S274" s="3" t="s">
        <v>1444</v>
      </c>
    </row>
    <row r="275" spans="4:19" ht="31.5" x14ac:dyDescent="0.2">
      <c r="D275" s="3">
        <v>274</v>
      </c>
      <c r="E275" s="3" t="s">
        <v>645</v>
      </c>
      <c r="F275" s="3">
        <v>274</v>
      </c>
      <c r="G275" s="3" t="str">
        <f ca="1">"An abandoned Wells Fargo Stagecoach with $"&amp;RANDBETWEEN(10,200)&amp;".00 local dinero."</f>
        <v>An abandoned Wells Fargo Stagecoach with $166.00 local dinero.</v>
      </c>
      <c r="H275" s="3">
        <v>274</v>
      </c>
      <c r="I275" s="3" t="str">
        <f ca="1">RANDBETWEEN(1,4)&amp;" Men {Horse Thieve(s)} leading "&amp;RANDBETWEEN(2,5)&amp;" horses with assorted brands on their flanks."</f>
        <v>1 Men {Horse Thieve(s)} leading 3 horses with assorted brands on their flanks.</v>
      </c>
      <c r="J275" s="3" t="s">
        <v>3014</v>
      </c>
      <c r="K275" s="14">
        <v>308</v>
      </c>
      <c r="L275" s="3" t="str">
        <f ca="1">"a fancy suit, covered in blood, that "&amp;VLOOKUP(RANDBETWEEN(1,10),FIT,2)</f>
        <v>a fancy suit, covered in blood, that doesn't fit</v>
      </c>
      <c r="O275" s="22" t="s">
        <v>637</v>
      </c>
      <c r="P275" s="3">
        <v>6</v>
      </c>
      <c r="Q275" s="16" t="s">
        <v>1494</v>
      </c>
    </row>
    <row r="276" spans="4:19" ht="31.5" x14ac:dyDescent="0.2">
      <c r="D276" s="3">
        <v>275</v>
      </c>
      <c r="E276" s="3" t="str">
        <f ca="1">"The "&amp;VLOOKUP(RANDBETWEEN(1,83),NAME,2)&amp;" Boys."</f>
        <v>The McLaughlin Boys.</v>
      </c>
      <c r="F276" s="3">
        <v>275</v>
      </c>
      <c r="G276" s="3" t="s">
        <v>353</v>
      </c>
      <c r="H276" s="3">
        <v>275</v>
      </c>
      <c r="I276" s="3" t="str">
        <f ca="1">RANDBETWEEN(1,4)&amp;" Miner(s) leading "&amp;RANDBETWEEN(1,3)&amp;" donkey(s) laden with a myriad of tools and packs passes, laughing joyfully, heading "&amp;VLOOKUP(RANDBETWEEN(1,4),Compas,2)&amp;" ."</f>
        <v>3 Miner(s) leading 1 donkey(s) laden with a myriad of tools and packs passes, laughing joyfully, heading south .</v>
      </c>
      <c r="J276" s="3" t="s">
        <v>3014</v>
      </c>
      <c r="K276" s="14">
        <v>309</v>
      </c>
      <c r="L276" s="3" t="str">
        <f ca="1">"a worn suit that "&amp;VLOOKUP(RANDBETWEEN(1,10),FIT,2)</f>
        <v>a worn suit that doesn't fit</v>
      </c>
      <c r="N276" s="3">
        <v>1</v>
      </c>
      <c r="O276" s="3" t="s">
        <v>102</v>
      </c>
      <c r="P276" s="3">
        <v>7</v>
      </c>
      <c r="Q276" s="16" t="s">
        <v>1495</v>
      </c>
      <c r="S276" s="22" t="s">
        <v>1953</v>
      </c>
    </row>
    <row r="277" spans="4:19" ht="78.75" x14ac:dyDescent="0.2">
      <c r="D277" s="3">
        <v>276</v>
      </c>
      <c r="E277" s="3" t="s">
        <v>1086</v>
      </c>
      <c r="F277" s="3">
        <v>276</v>
      </c>
      <c r="G277" s="3" t="s">
        <v>607</v>
      </c>
      <c r="H277" s="3">
        <v>276</v>
      </c>
      <c r="I277" s="3" t="str">
        <f ca="1">RANDBETWEEN(1,4)&amp;" robbery victim(s) tied up and lying on the side of the road."</f>
        <v>4 robbery victim(s) tied up and lying on the side of the road.</v>
      </c>
      <c r="J277" s="3" t="s">
        <v>3014</v>
      </c>
      <c r="K277" s="14">
        <v>310</v>
      </c>
      <c r="L277" s="3" t="str">
        <f ca="1">"a winter coat that "&amp;VLOOKUP(RANDBETWEEN(1,10),FIT,2)</f>
        <v>a winter coat that doesn't fit</v>
      </c>
      <c r="N277" s="3">
        <v>2</v>
      </c>
      <c r="O277" s="3" t="s">
        <v>104</v>
      </c>
      <c r="P277" s="3">
        <v>8</v>
      </c>
      <c r="Q277" s="16" t="s">
        <v>1496</v>
      </c>
      <c r="R277" s="3">
        <v>1</v>
      </c>
      <c r="S277" s="3" t="str">
        <f ca="1">"the "&amp;VLOOKUP(RANDBETWEEN(1,2),BW,2)&amp;" king "&amp;VLOOKUP(RANDBETWEEN(1,10),MAGIC,2)</f>
        <v>the white king (non-magical)</v>
      </c>
    </row>
    <row r="278" spans="4:19" ht="63" x14ac:dyDescent="0.2">
      <c r="D278" s="3">
        <v>277</v>
      </c>
      <c r="E278" s="3" t="s">
        <v>1087</v>
      </c>
      <c r="F278" s="3">
        <v>277</v>
      </c>
      <c r="G278" s="3" t="s">
        <v>623</v>
      </c>
      <c r="H278" s="3">
        <v>277</v>
      </c>
      <c r="I278" s="3" t="str">
        <f ca="1">RANDBETWEEN(1,4)&amp;" Soiled Dove(s) headed for greener pastures."</f>
        <v>4 Soiled Dove(s) headed for greener pastures.</v>
      </c>
      <c r="J278" s="3" t="s">
        <v>3014</v>
      </c>
      <c r="K278" s="14">
        <v>311</v>
      </c>
      <c r="L278" s="3" t="str">
        <f ca="1">"a worn winter coat that "&amp;VLOOKUP(RANDBETWEEN(1,10),FIT,2)</f>
        <v>a worn winter coat that doesn't fit</v>
      </c>
      <c r="N278" s="3">
        <v>3</v>
      </c>
      <c r="O278" s="3" t="s">
        <v>105</v>
      </c>
      <c r="P278" s="3">
        <v>9</v>
      </c>
      <c r="Q278" s="16" t="s">
        <v>1497</v>
      </c>
      <c r="R278" s="3">
        <v>2</v>
      </c>
      <c r="S278" s="3" t="str">
        <f ca="1">"the "&amp;VLOOKUP(RANDBETWEEN(1,2),BW,2)&amp;" queen "&amp;VLOOKUP(RANDBETWEEN(1,10),MAGIC,2)</f>
        <v>the white queen (non-magical)</v>
      </c>
    </row>
    <row r="279" spans="4:19" ht="78.75" x14ac:dyDescent="0.2">
      <c r="D279" s="3">
        <v>278</v>
      </c>
      <c r="E279" s="3" t="s">
        <v>1092</v>
      </c>
      <c r="F279" s="3">
        <v>278</v>
      </c>
      <c r="G279" s="3" t="s">
        <v>348</v>
      </c>
      <c r="H279" s="3">
        <v>278</v>
      </c>
      <c r="I279" s="3" t="str">
        <f ca="1">RANDBETWEEN(2,7)&amp; " Albino midgets jump out of the ground and try to drag them down and eat their liver (with farm beans and a good chianti)..."</f>
        <v>7 Albino midgets jump out of the ground and try to drag them down and eat their liver (with farm beans and a good chianti)...</v>
      </c>
      <c r="J279" s="3" t="s">
        <v>3014</v>
      </c>
      <c r="K279" s="14">
        <v>312</v>
      </c>
      <c r="L279" s="3" t="str">
        <f ca="1">"a worn winter coat, riddled with holes, that "&amp;VLOOKUP(RANDBETWEEN(1,10),FIT,2)</f>
        <v>a worn winter coat, riddled with holes, that doesn't fit</v>
      </c>
      <c r="N279" s="3">
        <v>4</v>
      </c>
      <c r="O279" s="3" t="s">
        <v>70</v>
      </c>
      <c r="P279" s="3">
        <v>10</v>
      </c>
      <c r="Q279" s="16" t="s">
        <v>1498</v>
      </c>
      <c r="R279" s="3">
        <v>3</v>
      </c>
      <c r="S279" s="3" t="str">
        <f ca="1">"a "&amp;VLOOKUP(RANDBETWEEN(1,2),BW,2)&amp;" knight "&amp;VLOOKUP(RANDBETWEEN(1,10),MAGIC,2)</f>
        <v>a black knight (non-magical)</v>
      </c>
    </row>
    <row r="280" spans="4:19" ht="47.25" x14ac:dyDescent="0.2">
      <c r="D280" s="3">
        <v>279</v>
      </c>
      <c r="E280" s="3" t="s">
        <v>998</v>
      </c>
      <c r="F280" s="3">
        <v>279</v>
      </c>
      <c r="G280" s="3" t="str">
        <f ca="1">"An injured "&amp;VLOOKUP(RANDBETWEEN(1,20),critter,2)&amp;" lies helpless in a pile of rotting leaves."</f>
        <v>An injured prairie dog lies helpless in a pile of rotting leaves.</v>
      </c>
      <c r="H280" s="3">
        <v>279</v>
      </c>
      <c r="I280" s="3" t="str">
        <f ca="1">RANDBETWEEN(1,6)&amp;" Highwaymen with "&amp;VLOOKUP(RANDBETWEEN(2,3),Guns,2)&amp;" and a pistol backup robbing "&amp;RANDBETWEEN(1,4)&amp;" average folk."</f>
        <v>1 Highwaymen with shotguns and a pistol backup robbing 1 average folk.</v>
      </c>
      <c r="J280" s="3" t="s">
        <v>3014</v>
      </c>
      <c r="K280" s="14">
        <v>313</v>
      </c>
      <c r="L280" s="3" t="s">
        <v>2099</v>
      </c>
      <c r="N280" s="3">
        <v>5</v>
      </c>
      <c r="O280" s="3" t="s">
        <v>103</v>
      </c>
      <c r="P280" s="3">
        <v>11</v>
      </c>
      <c r="Q280" s="16" t="s">
        <v>1499</v>
      </c>
      <c r="R280" s="3">
        <v>4</v>
      </c>
      <c r="S280" s="3" t="str">
        <f ca="1">"a "&amp;VLOOKUP(RANDBETWEEN(1,2),BW,2)&amp;" rook "&amp;VLOOKUP(RANDBETWEEN(1,10),MAGIC,2)</f>
        <v>a black rook (non-magical)</v>
      </c>
    </row>
    <row r="281" spans="4:19" ht="94.5" x14ac:dyDescent="0.2">
      <c r="D281" s="3">
        <v>280</v>
      </c>
      <c r="E281" s="3" t="s">
        <v>1093</v>
      </c>
      <c r="F281" s="3">
        <v>280</v>
      </c>
      <c r="G281" s="3" t="s">
        <v>289</v>
      </c>
      <c r="H281" s="3">
        <v>280</v>
      </c>
      <c r="I281" s="3" t="str">
        <f ca="1">RANDBETWEEN(2,8)&amp;" Local, and subtly hostile, Indians traveling on horse..."</f>
        <v>5 Local, and subtly hostile, Indians traveling on horse...</v>
      </c>
      <c r="J281" s="3" t="s">
        <v>3014</v>
      </c>
      <c r="K281" s="14">
        <v>314</v>
      </c>
      <c r="L281" s="3" t="s">
        <v>2100</v>
      </c>
      <c r="N281" s="3">
        <v>6</v>
      </c>
      <c r="O281" s="3" t="s">
        <v>106</v>
      </c>
      <c r="P281" s="3">
        <v>12</v>
      </c>
      <c r="Q281" s="16" t="s">
        <v>1500</v>
      </c>
      <c r="R281" s="3">
        <v>5</v>
      </c>
      <c r="S281" s="3" t="str">
        <f ca="1">"a "&amp;VLOOKUP(RANDBETWEEN(1,2),BW,2)&amp;" bishop "&amp;VLOOKUP(RANDBETWEEN(1,10),MAGIC,2)</f>
        <v>a black bishop (non-magical)</v>
      </c>
    </row>
    <row r="282" spans="4:19" ht="63" x14ac:dyDescent="0.2">
      <c r="D282" s="3">
        <v>281</v>
      </c>
      <c r="E282" s="3" t="s">
        <v>995</v>
      </c>
      <c r="F282" s="3">
        <v>281</v>
      </c>
      <c r="G282" s="3" t="s">
        <v>75</v>
      </c>
      <c r="H282" s="3">
        <v>281</v>
      </c>
      <c r="I282" s="3" t="str">
        <f ca="1">RANDBETWEEN(1,4)&amp;" Pinkerton(s) armed to the teeth on a mission..."</f>
        <v>1 Pinkerton(s) armed to the teeth on a mission...</v>
      </c>
      <c r="J282" s="3" t="s">
        <v>3014</v>
      </c>
      <c r="K282" s="14">
        <v>315</v>
      </c>
      <c r="L282" s="3" t="s">
        <v>2101</v>
      </c>
      <c r="N282" s="3">
        <v>7</v>
      </c>
      <c r="O282" s="3" t="s">
        <v>107</v>
      </c>
      <c r="P282" s="3">
        <v>13</v>
      </c>
      <c r="Q282" s="16" t="s">
        <v>1501</v>
      </c>
      <c r="R282" s="3">
        <v>6</v>
      </c>
      <c r="S282" s="3" t="str">
        <f ca="1">"a "&amp;VLOOKUP(RANDBETWEEN(1,2),BW,2)&amp;" pawn  "&amp;VLOOKUP(RANDBETWEEN(1,10),MAGIC,2)</f>
        <v>a black pawn  (non-magical)</v>
      </c>
    </row>
    <row r="283" spans="4:19" ht="78.75" x14ac:dyDescent="0.2">
      <c r="D283" s="3">
        <v>282</v>
      </c>
      <c r="E283" s="3" t="s">
        <v>1094</v>
      </c>
      <c r="F283" s="3">
        <v>282</v>
      </c>
      <c r="G283" s="1" t="s">
        <v>415</v>
      </c>
      <c r="H283" s="3">
        <v>282</v>
      </c>
      <c r="I283" s="1" t="str">
        <f ca="1">RANDBETWEEN(2,5)&amp;" soiled doves "&amp;VLOOKUP(RANDBETWEEN(1,40),wilderness,2)</f>
        <v>4 soiled doves tracking Indians.</v>
      </c>
      <c r="J283" s="1" t="s">
        <v>3014</v>
      </c>
      <c r="K283" s="14">
        <v>316</v>
      </c>
      <c r="L283" s="3" t="s">
        <v>2102</v>
      </c>
      <c r="N283" s="3">
        <v>8</v>
      </c>
      <c r="O283" s="3" t="s">
        <v>108</v>
      </c>
      <c r="P283" s="3">
        <v>14</v>
      </c>
      <c r="Q283" s="16" t="s">
        <v>1502</v>
      </c>
    </row>
    <row r="284" spans="4:19" ht="63" x14ac:dyDescent="0.2">
      <c r="D284" s="3">
        <v>283</v>
      </c>
      <c r="E284" s="3" t="s">
        <v>1095</v>
      </c>
      <c r="F284" s="3">
        <v>283</v>
      </c>
      <c r="G284" s="3" t="s">
        <v>281</v>
      </c>
      <c r="H284" s="3">
        <v>283</v>
      </c>
      <c r="I284" s="3" t="str">
        <f ca="1">RANDBETWEEN(1,4)&amp;" Bandit(s) armed with "&amp;VLOOKUP(RANDBETWEEN(1,3),Guns,2)&amp;" in the middle of robbing "&amp;RANDBETWEEN(1,4)&amp;" average folk."</f>
        <v>3 Bandit(s) armed with rifles in the middle of robbing 4 average folk.</v>
      </c>
      <c r="J284" s="3" t="s">
        <v>3014</v>
      </c>
      <c r="K284" s="14">
        <v>317</v>
      </c>
      <c r="L284" s="3" t="str">
        <f ca="1">RANDBETWEEN(1,8)&amp;" days trail rations."</f>
        <v>5 days trail rations.</v>
      </c>
      <c r="N284" s="3">
        <v>9</v>
      </c>
      <c r="O284" s="3" t="s">
        <v>72</v>
      </c>
      <c r="P284" s="3">
        <v>15</v>
      </c>
      <c r="Q284" s="16" t="s">
        <v>1503</v>
      </c>
      <c r="S284" s="22" t="s">
        <v>1990</v>
      </c>
    </row>
    <row r="285" spans="4:19" ht="78.75" x14ac:dyDescent="0.2">
      <c r="D285" s="3">
        <v>284</v>
      </c>
      <c r="E285" s="3" t="s">
        <v>1096</v>
      </c>
      <c r="F285" s="3">
        <v>284</v>
      </c>
      <c r="G285" s="3" t="s">
        <v>577</v>
      </c>
      <c r="H285" s="3">
        <v>284</v>
      </c>
      <c r="I285" s="3" t="str">
        <f ca="1">RANDBETWEEN(1,4)&amp;" "&amp;VLOOKUP(RANDBETWEEN(1,2),Civil,2)&amp;" deserter(s) hidin' in the brush..."</f>
        <v>1 Union deserter(s) hidin' in the brush...</v>
      </c>
      <c r="J285" s="3" t="s">
        <v>3014</v>
      </c>
      <c r="K285" s="14">
        <v>318</v>
      </c>
      <c r="L285" s="3" t="s">
        <v>2103</v>
      </c>
      <c r="N285" s="3">
        <v>10</v>
      </c>
      <c r="O285" s="3" t="s">
        <v>109</v>
      </c>
      <c r="P285" s="3">
        <v>16</v>
      </c>
      <c r="Q285" s="2" t="s">
        <v>1504</v>
      </c>
      <c r="R285" s="3">
        <v>1</v>
      </c>
      <c r="S285" s="14" t="str">
        <f ca="1">"A Fistful o' Dead Guys"&amp;VLOOKUP(RANDBETWEEN(1,24),OCCULT,2)</f>
        <v xml:space="preserve">A Fistful o' Dead Guys </v>
      </c>
    </row>
    <row r="286" spans="4:19" ht="94.5" x14ac:dyDescent="0.2">
      <c r="D286" s="3">
        <v>285</v>
      </c>
      <c r="E286" s="3" t="s">
        <v>1097</v>
      </c>
      <c r="F286" s="3">
        <v>285</v>
      </c>
      <c r="G286" s="8" t="str">
        <f ca="1">"An old rope bridge spans a ravine.  It looks like it may hold, then again it may not…  It will collapse after "&amp;RANDBETWEEN(3,8)&amp;" hombres cross."</f>
        <v>An old rope bridge spans a ravine.  It looks like it may hold, then again it may not…  It will collapse after 8 hombres cross.</v>
      </c>
      <c r="H286" s="3">
        <v>285</v>
      </c>
      <c r="I286" s="1" t="str">
        <f ca="1">RANDBETWEEN(2,5)&amp;" Cowboys "&amp;VLOOKUP(RANDBETWEEN(1,40),wilderness,2)</f>
        <v>2 Cowboys tracking a lost child.</v>
      </c>
      <c r="J286" s="1" t="s">
        <v>3014</v>
      </c>
      <c r="K286" s="14">
        <v>319</v>
      </c>
      <c r="L286" s="3" t="str">
        <f ca="1">RANDBETWEEN(1,5)&amp;" stick(s) of dynamite."</f>
        <v>1 stick(s) of dynamite.</v>
      </c>
      <c r="N286" s="3">
        <v>11</v>
      </c>
      <c r="O286" s="3" t="s">
        <v>110</v>
      </c>
      <c r="P286" s="3">
        <v>17</v>
      </c>
      <c r="Q286" s="16" t="s">
        <v>1505</v>
      </c>
      <c r="R286" s="3">
        <v>2</v>
      </c>
      <c r="S286" s="14" t="str">
        <f ca="1">"For a Few Dead Guys More"&amp;VLOOKUP(RANDBETWEEN(1,24),OCCULT,2)</f>
        <v xml:space="preserve">For a Few Dead Guys More </v>
      </c>
    </row>
    <row r="287" spans="4:19" ht="47.25" x14ac:dyDescent="0.2">
      <c r="D287" s="3">
        <v>286</v>
      </c>
      <c r="E287" s="3" t="s">
        <v>996</v>
      </c>
      <c r="F287" s="3">
        <v>286</v>
      </c>
      <c r="G287" s="3" t="str">
        <f ca="1">"An old rusty/worn "&amp;VLOOKUP(RANDBETWEEN(1,20),stuff,2)&amp;" lies discarded in the dust."</f>
        <v>An old rusty/worn coffee pot lies discarded in the dust.</v>
      </c>
      <c r="H287" s="3">
        <v>286</v>
      </c>
      <c r="I287" s="3" t="str">
        <f ca="1">RANDBETWEEN(1,4)&amp;" Walkin’ Dead just aimlessly meandering off the path..."</f>
        <v>4 Walkin’ Dead just aimlessly meandering off the path...</v>
      </c>
      <c r="J287" s="3" t="s">
        <v>3014</v>
      </c>
      <c r="K287" s="14">
        <v>320</v>
      </c>
      <c r="L287" s="3" t="s">
        <v>2104</v>
      </c>
      <c r="N287" s="3">
        <v>12</v>
      </c>
      <c r="O287" s="3" t="s">
        <v>111</v>
      </c>
      <c r="P287" s="3">
        <v>18</v>
      </c>
      <c r="Q287" s="16" t="s">
        <v>1506</v>
      </c>
      <c r="R287" s="3">
        <v>3</v>
      </c>
      <c r="S287" s="14" t="str">
        <f ca="1">"The Good, the Bad, and the Dead"&amp;VLOOKUP(RANDBETWEEN(1,24),OCCULT,2)</f>
        <v xml:space="preserve">The Good, the Bad, and the Dead </v>
      </c>
    </row>
    <row r="288" spans="4:19" ht="63" x14ac:dyDescent="0.2">
      <c r="D288" s="3">
        <v>287</v>
      </c>
      <c r="E288" s="3" t="s">
        <v>1098</v>
      </c>
      <c r="F288" s="3">
        <v>287</v>
      </c>
      <c r="G288" s="3" t="s">
        <v>273</v>
      </c>
      <c r="H288" s="3">
        <v>287</v>
      </c>
      <c r="I288" s="3" t="str">
        <f ca="1">RANDBETWEEN(2,5)&amp;" Buffalo Hunters hunting local animals."</f>
        <v>3 Buffalo Hunters hunting local animals.</v>
      </c>
      <c r="J288" s="3" t="s">
        <v>3014</v>
      </c>
      <c r="K288" s="14">
        <v>321</v>
      </c>
      <c r="L288" s="3" t="str">
        <f ca="1">RANDBETWEEN(5,50)&amp;" feet of rope"</f>
        <v>37 feet of rope</v>
      </c>
      <c r="N288" s="3">
        <v>13</v>
      </c>
      <c r="O288" s="3" t="str">
        <f ca="1">"hunting "&amp;VLOOKUP(RANDBETWEEN(1,300),varmints,2)&amp;"."</f>
        <v>hunting wolf.</v>
      </c>
      <c r="P288" s="3">
        <v>19</v>
      </c>
      <c r="Q288" s="16" t="s">
        <v>1507</v>
      </c>
      <c r="R288" s="3">
        <v>4</v>
      </c>
      <c r="S288" s="14" t="str">
        <f ca="1">"Fortress o' Fear"&amp;VLOOKUP(RANDBETWEEN(1,24),OCCULT,2)</f>
        <v>Fortress o' Fear: If read the Posse member gains a +1 bonus to a skill related to the book's theme, however they gain a minor phobia or quirk.</v>
      </c>
    </row>
    <row r="289" spans="4:19" ht="31.5" x14ac:dyDescent="0.2">
      <c r="D289" s="3">
        <v>288</v>
      </c>
      <c r="E289" s="3" t="s">
        <v>1099</v>
      </c>
      <c r="F289" s="3">
        <v>288</v>
      </c>
      <c r="G289" s="3" t="str">
        <f ca="1">"An unseasonably cold wind kicks up from the "&amp;VLOOKUP(RANDBETWEEN(1,8),Compas,2)&amp;"."</f>
        <v>An unseasonably cold wind kicks up from the south east.</v>
      </c>
      <c r="H289" s="3">
        <v>288</v>
      </c>
      <c r="I289" s="3" t="str">
        <f ca="1">RANDBETWEEN(1,6)&amp;" Cultist(s) under cover with black magic."</f>
        <v>6 Cultist(s) under cover with black magic.</v>
      </c>
      <c r="J289" s="3" t="s">
        <v>3014</v>
      </c>
      <c r="K289" s="14">
        <v>322</v>
      </c>
      <c r="L289" s="3" t="s">
        <v>2105</v>
      </c>
      <c r="N289" s="3">
        <v>14</v>
      </c>
      <c r="O289" s="3" t="s">
        <v>112</v>
      </c>
      <c r="P289" s="3">
        <v>20</v>
      </c>
      <c r="Q289" s="16" t="s">
        <v>1508</v>
      </c>
      <c r="R289" s="3">
        <v>5</v>
      </c>
      <c r="S289" s="14" t="str">
        <f ca="1">"The Road to Hell"&amp;VLOOKUP(RANDBETWEEN(1,24),OCCULT,2)</f>
        <v>The Road to Hell: If read the Posse member gains one time +2 bonus to a skill related to the book's theme.</v>
      </c>
    </row>
    <row r="290" spans="4:19" ht="63" x14ac:dyDescent="0.2">
      <c r="D290" s="3">
        <v>289</v>
      </c>
      <c r="E290" s="3" t="s">
        <v>997</v>
      </c>
      <c r="F290" s="3">
        <v>289</v>
      </c>
      <c r="G290" s="8" t="s">
        <v>202</v>
      </c>
      <c r="H290" s="3">
        <v>289</v>
      </c>
      <c r="I290" s="3" t="str">
        <f ca="1">RANDBETWEEN(2,8)&amp;" Gang Members with "&amp;VLOOKUP(RANDBETWEEN(2,3),Guns,2)&amp;" and a pistol backup with 1 Gang Leader."</f>
        <v>6 Gang Members with shotguns and a pistol backup with 1 Gang Leader.</v>
      </c>
      <c r="J290" s="3" t="s">
        <v>3014</v>
      </c>
      <c r="K290" s="14">
        <v>323</v>
      </c>
      <c r="L290" s="3" t="s">
        <v>2106</v>
      </c>
      <c r="N290" s="3">
        <v>15</v>
      </c>
      <c r="O290" s="3" t="s">
        <v>113</v>
      </c>
      <c r="P290" s="3">
        <v>21</v>
      </c>
      <c r="Q290" s="16" t="s">
        <v>1509</v>
      </c>
      <c r="R290" s="3">
        <v>6</v>
      </c>
      <c r="S290" s="14" t="str">
        <f ca="1">"Heart o' Darkness"&amp;VLOOKUP(RANDBETWEEN(1,24),OCCULT,2)</f>
        <v>Heart o' Darkness: If read the Posse member gains one time +2 bonus to a skill related to the book's theme.</v>
      </c>
    </row>
    <row r="291" spans="4:19" ht="63" x14ac:dyDescent="0.2">
      <c r="D291" s="3">
        <v>290</v>
      </c>
      <c r="E291" s="3" t="s">
        <v>1100</v>
      </c>
      <c r="F291" s="3">
        <v>290</v>
      </c>
      <c r="G291" s="3" t="s">
        <v>340</v>
      </c>
      <c r="H291" s="3">
        <v>290</v>
      </c>
      <c r="I291" s="3" t="str">
        <f ca="1">RANDBETWEEN(1,6)&amp;" Highwaymen with "&amp;VLOOKUP(RANDBETWEEN(1,2),Guns,2)&amp;" in an ambush."</f>
        <v>5 Highwaymen with rifles in an ambush.</v>
      </c>
      <c r="J291" s="3" t="s">
        <v>3014</v>
      </c>
      <c r="K291" s="14">
        <v>324</v>
      </c>
      <c r="L291" s="3" t="s">
        <v>2107</v>
      </c>
      <c r="N291" s="3">
        <v>16</v>
      </c>
      <c r="O291" s="3" t="s">
        <v>114</v>
      </c>
      <c r="P291" s="3">
        <v>22</v>
      </c>
      <c r="Q291" s="16" t="s">
        <v>1510</v>
      </c>
      <c r="R291" s="3">
        <v>7</v>
      </c>
      <c r="S291" s="14" t="str">
        <f ca="1">"Bloody Ol' Muddy"&amp;VLOOKUP(RANDBETWEEN(1,24),OCCULT,2)</f>
        <v xml:space="preserve">Bloody Ol' Muddy </v>
      </c>
    </row>
    <row r="292" spans="4:19" ht="94.5" x14ac:dyDescent="0.2">
      <c r="D292" s="3">
        <v>291</v>
      </c>
      <c r="E292" s="3" t="s">
        <v>1101</v>
      </c>
      <c r="F292" s="3">
        <v>291</v>
      </c>
      <c r="G292" s="2" t="s">
        <v>82</v>
      </c>
      <c r="H292" s="3">
        <v>291</v>
      </c>
      <c r="I292" s="3" t="str">
        <f ca="1">RANDBETWEEN(2,20)&amp;" soldiers "&amp;VLOOKUP(RANDBETWEEN(1,40),town,2)</f>
        <v>15 soldiers talking about the "Old Days"…</v>
      </c>
      <c r="J292" s="3" t="s">
        <v>3014</v>
      </c>
      <c r="K292" s="14">
        <v>325</v>
      </c>
      <c r="L292" s="3" t="s">
        <v>2108</v>
      </c>
      <c r="N292" s="3">
        <v>17</v>
      </c>
      <c r="O292" s="3" t="s">
        <v>115</v>
      </c>
      <c r="P292" s="3">
        <v>23</v>
      </c>
      <c r="Q292" s="16" t="s">
        <v>1511</v>
      </c>
      <c r="R292" s="3">
        <v>8</v>
      </c>
      <c r="S292" s="14" t="str">
        <f ca="1">"Canyon o' Doom"&amp;VLOOKUP(RANDBETWEEN(1,24),OCCULT,2)</f>
        <v xml:space="preserve">Canyon o' Doom </v>
      </c>
    </row>
    <row r="293" spans="4:19" ht="63" x14ac:dyDescent="0.2">
      <c r="D293" s="3">
        <v>292</v>
      </c>
      <c r="E293" s="3" t="s">
        <v>1102</v>
      </c>
      <c r="F293" s="3">
        <v>292</v>
      </c>
      <c r="G293" s="1" t="str">
        <f ca="1">"As the Posse rides along the trail suddenly a(n) "&amp;VLOOKUP(RANDBETWEEN(1,20),things,2)&amp;" come(s) falling out of the sky…  It's the local fearmonger/Reckoners themselves' doing: the purpose of this 'prank' is to scare the Posse a little."</f>
        <v>As the Posse rides along the trail suddenly a(n) lantern come(s) falling out of the sky…  It's the local fearmonger/Reckoners themselves' doing: the purpose of this 'prank' is to scare the Posse a little.</v>
      </c>
      <c r="H293" s="3">
        <v>292</v>
      </c>
      <c r="I293" s="3" t="str">
        <f ca="1">RANDBETWEEN(2,6)&amp;" travelling loafers, their clothes dusty and threadbare pass by."</f>
        <v>3 travelling loafers, their clothes dusty and threadbare pass by.</v>
      </c>
      <c r="J293" s="3" t="s">
        <v>3014</v>
      </c>
      <c r="K293" s="14">
        <v>326</v>
      </c>
      <c r="L293" s="3" t="s">
        <v>2109</v>
      </c>
      <c r="N293" s="3">
        <v>18</v>
      </c>
      <c r="O293" s="3" t="s">
        <v>116</v>
      </c>
      <c r="P293" s="3">
        <v>24</v>
      </c>
      <c r="Q293" s="16" t="s">
        <v>1512</v>
      </c>
      <c r="R293" s="3">
        <v>9</v>
      </c>
      <c r="S293" s="14" t="str">
        <f ca="1">"Ghost Busters"&amp;VLOOKUP(RANDBETWEEN(1,24),OCCULT,2)</f>
        <v xml:space="preserve">Ghost Busters </v>
      </c>
    </row>
    <row r="294" spans="4:19" ht="94.5" x14ac:dyDescent="0.2">
      <c r="D294" s="3">
        <v>293</v>
      </c>
      <c r="E294" s="3" t="s">
        <v>1103</v>
      </c>
      <c r="F294" s="3">
        <v>293</v>
      </c>
      <c r="G294" s="1" t="s">
        <v>256</v>
      </c>
      <c r="H294" s="3">
        <v>293</v>
      </c>
      <c r="I294" s="3" t="str">
        <f ca="1">RANDBETWEEN(2,6)&amp;" adventurers with one Harrowed among them."</f>
        <v>6 adventurers with one Harrowed among them.</v>
      </c>
      <c r="J294" s="3" t="s">
        <v>3014</v>
      </c>
      <c r="K294" s="14">
        <v>327</v>
      </c>
      <c r="L294" s="3" t="s">
        <v>2082</v>
      </c>
      <c r="N294" s="3">
        <v>19</v>
      </c>
      <c r="O294" s="3" t="s">
        <v>117</v>
      </c>
      <c r="P294" s="3">
        <v>25</v>
      </c>
      <c r="Q294" s="16" t="s">
        <v>1513</v>
      </c>
      <c r="R294" s="3">
        <v>10</v>
      </c>
      <c r="S294" s="14" t="str">
        <f ca="1">"Rain o' Terror"&amp;VLOOKUP(RANDBETWEEN(1,24),OCCULT,2)</f>
        <v>Rain o' Terror: If read the Posse member gains one time +2 bonus to a skill related to the book's theme.</v>
      </c>
    </row>
    <row r="295" spans="4:19" ht="94.5" x14ac:dyDescent="0.2">
      <c r="D295" s="3">
        <v>294</v>
      </c>
      <c r="E295" s="3" t="s">
        <v>1104</v>
      </c>
      <c r="F295" s="3">
        <v>294</v>
      </c>
      <c r="G295" s="3" t="s">
        <v>616</v>
      </c>
      <c r="H295" s="3">
        <v>294</v>
      </c>
      <c r="I295" s="3" t="str">
        <f ca="1">RANDBETWEEN(2,8)&amp;" Cannibal Cultists who want to eat the Posse (Yum!)..."</f>
        <v>6 Cannibal Cultists who want to eat the Posse (Yum!)...</v>
      </c>
      <c r="J295" s="3" t="s">
        <v>3014</v>
      </c>
      <c r="K295" s="14">
        <v>328</v>
      </c>
      <c r="L295" s="14" t="s">
        <v>2134</v>
      </c>
      <c r="N295" s="3">
        <v>20</v>
      </c>
      <c r="O295" s="3" t="s">
        <v>3000</v>
      </c>
      <c r="P295" s="3">
        <v>26</v>
      </c>
      <c r="Q295" s="16" t="s">
        <v>1514</v>
      </c>
      <c r="R295" s="3">
        <v>11</v>
      </c>
      <c r="S295" s="14" t="str">
        <f ca="1">"Dead Presidents"&amp;VLOOKUP(RANDBETWEEN(1,24),OCCULT,2)</f>
        <v xml:space="preserve">Dead Presidents </v>
      </c>
    </row>
    <row r="296" spans="4:19" ht="63" x14ac:dyDescent="0.2">
      <c r="D296" s="3">
        <v>295</v>
      </c>
      <c r="E296" s="3" t="s">
        <v>1105</v>
      </c>
      <c r="F296" s="3">
        <v>295</v>
      </c>
      <c r="G296" s="3" t="s">
        <v>598</v>
      </c>
      <c r="H296" s="3">
        <v>295</v>
      </c>
      <c r="I296" s="3" t="str">
        <f ca="1">RANDBETWEEN(2,6)&amp;" "&amp;VLOOKUP(RANDBETWEEN(1,2),Civil,2)&amp;" Cavalry Scouts heading "&amp;VLOOKUP(RANDBETWEEN(1,8),Compas,2)&amp;" looking for their regiment."</f>
        <v>4 Confederate Cavalry Scouts heading south east looking for their regiment.</v>
      </c>
      <c r="J296" s="3" t="s">
        <v>3014</v>
      </c>
      <c r="K296" s="14">
        <v>329</v>
      </c>
      <c r="L296" s="3" t="s">
        <v>2135</v>
      </c>
      <c r="N296" s="3">
        <v>21</v>
      </c>
      <c r="O296" s="3" t="s">
        <v>118</v>
      </c>
      <c r="P296" s="3">
        <v>27</v>
      </c>
      <c r="Q296" s="16" t="s">
        <v>1515</v>
      </c>
      <c r="R296" s="3">
        <v>12</v>
      </c>
      <c r="S296" s="14" t="str">
        <f ca="1">"Perdition's Daughter"&amp;VLOOKUP(RANDBETWEEN(1,24),OCCULT,2)</f>
        <v xml:space="preserve">Perdition's Daughter </v>
      </c>
    </row>
    <row r="297" spans="4:19" ht="47.25" x14ac:dyDescent="0.2">
      <c r="D297" s="3">
        <v>296</v>
      </c>
      <c r="E297" s="3" t="s">
        <v>1106</v>
      </c>
      <c r="F297" s="3">
        <v>296</v>
      </c>
      <c r="G297" s="3" t="s">
        <v>255</v>
      </c>
      <c r="H297" s="3">
        <v>296</v>
      </c>
      <c r="I297" s="3" t="str">
        <f ca="1">RANDBETWEEN(2,8)&amp;" Ranchers leading a cattle drive of "&amp;RANDBETWEEN(100,300)&amp;" head of cattle."</f>
        <v>8 Ranchers leading a cattle drive of 222 head of cattle.</v>
      </c>
      <c r="J297" s="3" t="s">
        <v>3014</v>
      </c>
      <c r="K297" s="14">
        <v>330</v>
      </c>
      <c r="L297" s="3" t="s">
        <v>1991</v>
      </c>
      <c r="N297" s="3">
        <v>22</v>
      </c>
      <c r="O297" s="3" t="s">
        <v>119</v>
      </c>
      <c r="P297" s="3">
        <v>28</v>
      </c>
      <c r="Q297" s="16" t="s">
        <v>1516</v>
      </c>
      <c r="R297" s="3">
        <v>13</v>
      </c>
      <c r="S297" s="14" t="str">
        <f ca="1">"Independence Day"&amp;VLOOKUP(RANDBETWEEN(1,24),OCCULT,2)</f>
        <v xml:space="preserve">Independence Day </v>
      </c>
    </row>
    <row r="298" spans="4:19" ht="78.75" x14ac:dyDescent="0.2">
      <c r="D298" s="3">
        <v>297</v>
      </c>
      <c r="E298" s="3" t="s">
        <v>994</v>
      </c>
      <c r="F298" s="3">
        <v>297</v>
      </c>
      <c r="G298" s="3" t="s">
        <v>42</v>
      </c>
      <c r="H298" s="3">
        <v>297</v>
      </c>
      <c r="I298" s="1" t="str">
        <f ca="1">RANDBETWEEN(2,10)&amp;" unemployed cowboys "&amp;VLOOKUP(RANDBETWEEN(1,40),wilderness,2)</f>
        <v>3 unemployed cowboys transporting wounded.</v>
      </c>
      <c r="J298" s="1" t="s">
        <v>3014</v>
      </c>
      <c r="K298" s="14">
        <v>331</v>
      </c>
      <c r="L298" s="3" t="s">
        <v>1992</v>
      </c>
      <c r="N298" s="3">
        <v>23</v>
      </c>
      <c r="O298" s="3" t="s">
        <v>120</v>
      </c>
      <c r="P298" s="3">
        <v>29</v>
      </c>
      <c r="Q298" s="16" t="s">
        <v>1517</v>
      </c>
      <c r="R298" s="3">
        <v>14</v>
      </c>
      <c r="S298" s="14" t="str">
        <f ca="1">"Night Train"&amp;VLOOKUP(RANDBETWEEN(1,24),OCCULT,2)</f>
        <v xml:space="preserve">Night Train </v>
      </c>
    </row>
    <row r="299" spans="4:19" ht="31.5" x14ac:dyDescent="0.2">
      <c r="D299" s="3">
        <v>298</v>
      </c>
      <c r="E299" s="3" t="s">
        <v>1107</v>
      </c>
      <c r="F299" s="3">
        <v>298</v>
      </c>
      <c r="G299" s="3" t="str">
        <f ca="1">"Cattle stampede! "&amp;(RANDBETWEEN(2,4)*100)&amp;" head of cattle head straight for the Posse."</f>
        <v>Cattle stampede! 200 head of cattle head straight for the Posse.</v>
      </c>
      <c r="H299" s="3">
        <v>298</v>
      </c>
      <c r="I299" s="1" t="str">
        <f ca="1">RANDBETWEEN(5,10)&amp;" railroad surveyors "&amp;VLOOKUP(RANDBETWEEN(1,40),wilderness,2)</f>
        <v>9 railroad surveyors raiding an Indian camp.</v>
      </c>
      <c r="J299" s="1" t="s">
        <v>3014</v>
      </c>
      <c r="K299" s="14">
        <v>332</v>
      </c>
      <c r="L299" s="3" t="s">
        <v>1993</v>
      </c>
      <c r="N299" s="3">
        <v>24</v>
      </c>
      <c r="O299" s="3" t="s">
        <v>121</v>
      </c>
      <c r="P299" s="3">
        <v>30</v>
      </c>
      <c r="Q299" s="16" t="s">
        <v>1518</v>
      </c>
      <c r="R299" s="3">
        <v>15</v>
      </c>
      <c r="S299" s="14" t="str">
        <f ca="1">"Strange Bedfellows"&amp;VLOOKUP(RANDBETWEEN(1,24),OCCULT,2)</f>
        <v xml:space="preserve">Strange Bedfellows </v>
      </c>
    </row>
    <row r="300" spans="4:19" ht="110.25" x14ac:dyDescent="0.2">
      <c r="D300" s="3">
        <v>299</v>
      </c>
      <c r="E300" s="3" t="s">
        <v>3001</v>
      </c>
      <c r="F300" s="3">
        <v>299</v>
      </c>
      <c r="G300" s="3" t="s">
        <v>593</v>
      </c>
      <c r="H300" s="3">
        <v>299</v>
      </c>
      <c r="I300" s="3" t="str">
        <f ca="1">"A bounty hunter "&amp;VLOOKUP(RANDBETWEEN(1,40),town,2)</f>
        <v>A bounty hunter looking for work.</v>
      </c>
      <c r="J300" s="3" t="s">
        <v>3014</v>
      </c>
      <c r="K300" s="14">
        <v>333</v>
      </c>
      <c r="L300" s="3" t="s">
        <v>1994</v>
      </c>
      <c r="N300" s="3">
        <v>25</v>
      </c>
      <c r="O300" s="3" t="s">
        <v>122</v>
      </c>
      <c r="P300" s="3">
        <v>31</v>
      </c>
      <c r="Q300" s="16" t="s">
        <v>1519</v>
      </c>
      <c r="R300" s="3">
        <v>16</v>
      </c>
      <c r="S300" s="14" t="str">
        <f ca="1">"Savage Passage"&amp;VLOOKUP(RANDBETWEEN(1,24),OCCULT,2)</f>
        <v xml:space="preserve">Savage Passage </v>
      </c>
    </row>
    <row r="301" spans="4:19" ht="47.25" x14ac:dyDescent="0.2">
      <c r="D301" s="3">
        <v>300</v>
      </c>
      <c r="E301" s="3" t="s">
        <v>1108</v>
      </c>
      <c r="F301" s="3">
        <v>300</v>
      </c>
      <c r="G301" s="3" t="str">
        <f ca="1">VLOOKUP(RANDBETWEEN(1,30),varmints,2)&amp;" tracks heading "&amp;VLOOKUP(RANDBETWEEN(1,8),Compas,2)&amp;"…"</f>
        <v>wild boar tracks heading west…</v>
      </c>
      <c r="H301" s="3">
        <v>300</v>
      </c>
      <c r="I301" s="3" t="s">
        <v>39</v>
      </c>
      <c r="J301" s="3" t="s">
        <v>3014</v>
      </c>
      <c r="K301" s="14">
        <v>334</v>
      </c>
      <c r="L301" s="3" t="s">
        <v>1995</v>
      </c>
      <c r="N301" s="3">
        <v>26</v>
      </c>
      <c r="O301" s="3" t="s">
        <v>123</v>
      </c>
      <c r="P301" s="3">
        <v>32</v>
      </c>
      <c r="Q301" s="16" t="s">
        <v>1520</v>
      </c>
      <c r="R301" s="3">
        <v>17</v>
      </c>
      <c r="S301" s="14" t="str">
        <f ca="1">"Ground Zero"&amp;VLOOKUP(RANDBETWEEN(1,24),OCCULT,2)</f>
        <v xml:space="preserve">Ground Zero </v>
      </c>
    </row>
    <row r="302" spans="4:19" ht="78.75" x14ac:dyDescent="0.2">
      <c r="D302" s="3">
        <v>301</v>
      </c>
      <c r="E302" s="3" t="s">
        <v>1109</v>
      </c>
      <c r="F302" s="3">
        <v>301</v>
      </c>
      <c r="G302" s="3" t="s">
        <v>215</v>
      </c>
      <c r="H302" s="3">
        <v>301</v>
      </c>
      <c r="I302" s="3" t="str">
        <f ca="1">"A buffalo hunter "&amp;VLOOKUP(RANDBETWEEN(1,40),town,2)</f>
        <v>A buffalo hunter hiding out.</v>
      </c>
      <c r="J302" s="3" t="s">
        <v>3014</v>
      </c>
      <c r="K302" s="14">
        <v>335</v>
      </c>
      <c r="L302" s="3" t="str">
        <f ca="1">"a doll "&amp;VLOOKUP(RANDBETWEEN(1,10),MAGIC,2)</f>
        <v>a doll (non-magical)</v>
      </c>
      <c r="N302" s="3">
        <v>27</v>
      </c>
      <c r="O302" s="3" t="s">
        <v>124</v>
      </c>
      <c r="P302" s="3">
        <v>33</v>
      </c>
      <c r="Q302" s="16" t="s">
        <v>1521</v>
      </c>
      <c r="R302" s="3">
        <v>18</v>
      </c>
      <c r="S302" s="14" t="str">
        <f ca="1">"The Forbidden God"&amp;VLOOKUP(RANDBETWEEN(1,24),OCCULT,2)</f>
        <v>The Forbidden God: If read the Posse member gains one time +1 bonus to their Occult.</v>
      </c>
    </row>
    <row r="303" spans="4:19" ht="31.5" x14ac:dyDescent="0.2">
      <c r="D303" s="3">
        <v>302</v>
      </c>
      <c r="E303" s="3" t="s">
        <v>999</v>
      </c>
      <c r="F303" s="3">
        <v>302</v>
      </c>
      <c r="G303" s="3" t="s">
        <v>342</v>
      </c>
      <c r="H303" s="3">
        <v>302</v>
      </c>
      <c r="I303" s="2" t="str">
        <f ca="1">"A "&amp;VLOOKUP(RANDBETWEEN(1,5),chase,2)&amp;"being chased down by "&amp;VLOOKUP(RANDBETWEEN(6,10),chase,2)&amp;"."</f>
        <v>A Pony Express Riderbeing chased down by 4 lawmen.</v>
      </c>
      <c r="J303" s="2" t="s">
        <v>3014</v>
      </c>
      <c r="K303" s="14">
        <v>336</v>
      </c>
      <c r="L303" s="3" t="s">
        <v>1996</v>
      </c>
      <c r="N303" s="3">
        <v>28</v>
      </c>
      <c r="O303" s="3" t="s">
        <v>125</v>
      </c>
      <c r="P303" s="3">
        <v>34</v>
      </c>
      <c r="Q303" s="2" t="s">
        <v>1522</v>
      </c>
      <c r="R303" s="3">
        <v>19</v>
      </c>
      <c r="S303" s="14" t="str">
        <f ca="1">"Adios, A-Mi-Go"&amp;VLOOKUP(RANDBETWEEN(1,24),OCCULT,2)</f>
        <v xml:space="preserve">Adios, A-Mi-Go </v>
      </c>
    </row>
    <row r="304" spans="4:19" ht="47.25" x14ac:dyDescent="0.2">
      <c r="D304" s="3">
        <v>303</v>
      </c>
      <c r="E304" s="3" t="s">
        <v>1000</v>
      </c>
      <c r="F304" s="3">
        <v>303</v>
      </c>
      <c r="G304" s="3" t="s">
        <v>283</v>
      </c>
      <c r="H304" s="3">
        <v>303</v>
      </c>
      <c r="I304" s="3" t="str">
        <f ca="1">"A "&amp;VLOOKUP(RANDBETWEEN(1,2),Civil,2)&amp;" cavalry officer "&amp;VLOOKUP(RANDBETWEEN(1,40),town,2)</f>
        <v>A Union cavalry officer looking for a fight.</v>
      </c>
      <c r="J304" s="3" t="s">
        <v>3014</v>
      </c>
      <c r="K304" s="14">
        <v>337</v>
      </c>
      <c r="L304" s="3" t="s">
        <v>1998</v>
      </c>
      <c r="N304" s="3">
        <v>29</v>
      </c>
      <c r="O304" s="3" t="s">
        <v>126</v>
      </c>
      <c r="P304" s="3">
        <v>35</v>
      </c>
      <c r="Q304" s="16" t="s">
        <v>1523</v>
      </c>
      <c r="R304" s="3">
        <v>20</v>
      </c>
      <c r="S304" s="14" t="str">
        <f ca="1">"Skinners"&amp;VLOOKUP(RANDBETWEEN(1,24),OCCULT,2)</f>
        <v xml:space="preserve">Skinners </v>
      </c>
    </row>
    <row r="305" spans="4:19" ht="63.75" thickBot="1" x14ac:dyDescent="0.25">
      <c r="D305" s="3">
        <v>304</v>
      </c>
      <c r="E305" s="3" t="s">
        <v>1110</v>
      </c>
      <c r="F305" s="3">
        <v>304</v>
      </c>
      <c r="G305" s="3" t="str">
        <f ca="1">"Deer tracks heading "&amp;VLOOKUP(RANDBETWEEN(1,8),Compas,2)&amp;"."</f>
        <v>Deer tracks heading east.</v>
      </c>
      <c r="H305" s="3">
        <v>304</v>
      </c>
      <c r="I305" s="3" t="str">
        <f ca="1">"A "&amp;VLOOKUP(RANDBETWEEN(1,2),Civil,2)&amp;" cavalry officer "&amp;VLOOKUP(RANDBETWEEN(1,40),wilderness,2)</f>
        <v>A Union cavalry officer setting an ambush.</v>
      </c>
      <c r="J305" s="3" t="s">
        <v>3014</v>
      </c>
      <c r="K305" s="14">
        <v>338</v>
      </c>
      <c r="L305" s="3" t="s">
        <v>1997</v>
      </c>
      <c r="N305" s="3">
        <v>30</v>
      </c>
      <c r="O305" s="3" t="s">
        <v>127</v>
      </c>
      <c r="P305" s="3">
        <v>36</v>
      </c>
      <c r="Q305" s="16" t="s">
        <v>1524</v>
      </c>
      <c r="R305" s="3">
        <v>21</v>
      </c>
      <c r="S305" s="19" t="str">
        <f ca="1">"Worms"&amp;VLOOKUP(RANDBETWEEN(1,24),OCCULT,2)</f>
        <v xml:space="preserve">Worms </v>
      </c>
    </row>
    <row r="306" spans="4:19" ht="32.25" thickTop="1" x14ac:dyDescent="0.2">
      <c r="D306" s="3">
        <v>305</v>
      </c>
      <c r="E306" s="3" t="s">
        <v>1111</v>
      </c>
      <c r="F306" s="3">
        <v>305</v>
      </c>
      <c r="G306" s="3" t="s">
        <v>434</v>
      </c>
      <c r="H306" s="3">
        <v>305</v>
      </c>
      <c r="I306" s="3" t="s">
        <v>599</v>
      </c>
      <c r="J306" s="3" t="s">
        <v>3014</v>
      </c>
      <c r="K306" s="14">
        <v>339</v>
      </c>
      <c r="N306" s="3">
        <v>31</v>
      </c>
      <c r="O306" s="3" t="s">
        <v>128</v>
      </c>
      <c r="P306" s="3">
        <v>37</v>
      </c>
      <c r="Q306" s="2" t="s">
        <v>1525</v>
      </c>
      <c r="R306" s="3">
        <v>22</v>
      </c>
      <c r="S306" s="14" t="s">
        <v>1964</v>
      </c>
    </row>
    <row r="307" spans="4:19" ht="47.25" x14ac:dyDescent="0.2">
      <c r="D307" s="3">
        <v>306</v>
      </c>
      <c r="E307" s="3" t="str">
        <f ca="1">VLOOKUP(RANDBETWEEN(1,264),NPCS,2)</f>
        <v>A detective herding cattle through town.</v>
      </c>
      <c r="F307" s="3">
        <v>306</v>
      </c>
      <c r="G307" s="3" t="s">
        <v>10</v>
      </c>
      <c r="H307" s="3">
        <v>306</v>
      </c>
      <c r="I307" s="3" t="str">
        <f ca="1">"A cowboy "&amp;VLOOKUP(RANDBETWEEN(1,40),wilderness,2)</f>
        <v>A cowboy pursuing bankrobbers.</v>
      </c>
      <c r="J307" s="3" t="s">
        <v>3014</v>
      </c>
      <c r="K307" s="14">
        <v>340</v>
      </c>
      <c r="N307" s="3">
        <v>32</v>
      </c>
      <c r="O307" s="3" t="str">
        <f ca="1">"tracking "&amp;VLOOKUP(RANDBETWEEN(1,30),varmints,2)&amp;"."</f>
        <v>tracking cow.</v>
      </c>
      <c r="P307" s="3">
        <v>38</v>
      </c>
      <c r="Q307" s="16" t="s">
        <v>1526</v>
      </c>
      <c r="R307" s="3">
        <v>23</v>
      </c>
      <c r="S307" s="14" t="s">
        <v>1965</v>
      </c>
    </row>
    <row r="308" spans="4:19" ht="63" x14ac:dyDescent="0.2">
      <c r="D308" s="3">
        <v>307</v>
      </c>
      <c r="E308" s="3" t="s">
        <v>1112</v>
      </c>
      <c r="F308" s="3">
        <v>307</v>
      </c>
      <c r="G308" s="3" t="s">
        <v>57</v>
      </c>
      <c r="H308" s="3">
        <v>307</v>
      </c>
      <c r="I308" s="3" t="str">
        <f ca="1">"A deputy sheriff "&amp;VLOOKUP(RANDBETWEEN(1,40),wilderness,2)</f>
        <v>A deputy sheriff setting an ambush.</v>
      </c>
      <c r="J308" s="3" t="s">
        <v>3014</v>
      </c>
      <c r="K308" s="14">
        <v>341</v>
      </c>
      <c r="N308" s="3">
        <v>33</v>
      </c>
      <c r="O308" s="3" t="s">
        <v>129</v>
      </c>
      <c r="P308" s="3">
        <v>39</v>
      </c>
      <c r="Q308" s="16" t="s">
        <v>1527</v>
      </c>
      <c r="R308" s="3">
        <v>24</v>
      </c>
      <c r="S308" s="14" t="s">
        <v>1966</v>
      </c>
    </row>
    <row r="309" spans="4:19" ht="47.25" x14ac:dyDescent="0.2">
      <c r="D309" s="3">
        <v>308</v>
      </c>
      <c r="E309" s="3" t="s">
        <v>1113</v>
      </c>
      <c r="F309" s="3">
        <v>308</v>
      </c>
      <c r="G309" s="3" t="str">
        <f ca="1">"Duster: Notice -"&amp;(RANDBETWEEN(2,8)&amp;"{aditional -2 if sittin' still}.  In the distance you see a scrawny, emaciated "&amp;VLOOKUP(RANDBETWEEN(1,20),critter,2)&amp;".")</f>
        <v>Duster: Notice -2{aditional -2 if sittin' still}.  In the distance you see a scrawny, emaciated possum.</v>
      </c>
      <c r="H309" s="3">
        <v>308</v>
      </c>
      <c r="I309" s="3" t="str">
        <f ca="1">"A dective "&amp;VLOOKUP(RANDBETWEEN(1,40),wilderness,2)</f>
        <v>A dective transporting prisoners.</v>
      </c>
      <c r="J309" s="3" t="s">
        <v>3014</v>
      </c>
      <c r="K309" s="14">
        <v>342</v>
      </c>
      <c r="N309" s="3">
        <v>34</v>
      </c>
      <c r="O309" s="3" t="s">
        <v>130</v>
      </c>
      <c r="P309" s="3">
        <v>40</v>
      </c>
      <c r="Q309" s="16" t="s">
        <v>1528</v>
      </c>
      <c r="R309" s="3">
        <v>25</v>
      </c>
      <c r="S309" s="14" t="s">
        <v>1967</v>
      </c>
    </row>
    <row r="310" spans="4:19" ht="126" x14ac:dyDescent="0.2">
      <c r="D310" s="3">
        <v>309</v>
      </c>
      <c r="E310" s="3" t="s">
        <v>1088</v>
      </c>
      <c r="F310" s="3">
        <v>309</v>
      </c>
      <c r="G310" s="3" t="s">
        <v>412</v>
      </c>
      <c r="H310" s="3">
        <v>309</v>
      </c>
      <c r="I310" s="1" t="str">
        <f ca="1">"A doctor "&amp;VLOOKUP(RANDBETWEEN(1,40),wilderness,2)</f>
        <v>A doctor going to a hanging.</v>
      </c>
      <c r="J310" s="1" t="s">
        <v>3014</v>
      </c>
      <c r="K310" s="14">
        <v>343</v>
      </c>
      <c r="N310" s="3">
        <v>35</v>
      </c>
      <c r="O310" s="3" t="s">
        <v>131</v>
      </c>
      <c r="P310" s="3">
        <v>41</v>
      </c>
      <c r="Q310" s="2" t="s">
        <v>1529</v>
      </c>
      <c r="R310" s="3">
        <v>26</v>
      </c>
      <c r="S310" s="14" t="s">
        <v>1968</v>
      </c>
    </row>
    <row r="311" spans="4:19" ht="94.5" x14ac:dyDescent="0.2">
      <c r="D311" s="3">
        <v>310</v>
      </c>
      <c r="E311" s="3" t="s">
        <v>1114</v>
      </c>
      <c r="F311" s="3">
        <v>310</v>
      </c>
      <c r="G311" s="3" t="s">
        <v>409</v>
      </c>
      <c r="H311" s="3">
        <v>310</v>
      </c>
      <c r="I311" s="1" t="str">
        <f ca="1">"A drifter "&amp;VLOOKUP(RANDBETWEEN(1,40),wilderness,2)</f>
        <v>A drifter pursuing rustlers.</v>
      </c>
      <c r="J311" s="1" t="s">
        <v>3014</v>
      </c>
      <c r="K311" s="14">
        <v>344</v>
      </c>
      <c r="N311" s="3">
        <v>36</v>
      </c>
      <c r="O311" s="3" t="s">
        <v>132</v>
      </c>
      <c r="P311" s="3">
        <v>42</v>
      </c>
      <c r="Q311" s="16" t="s">
        <v>1530</v>
      </c>
      <c r="R311" s="3">
        <v>27</v>
      </c>
      <c r="S311" s="14" t="s">
        <v>1969</v>
      </c>
    </row>
    <row r="312" spans="4:19" ht="47.25" x14ac:dyDescent="0.2">
      <c r="D312" s="3">
        <v>311</v>
      </c>
      <c r="E312" s="3" t="s">
        <v>1115</v>
      </c>
      <c r="F312" s="3">
        <v>311</v>
      </c>
      <c r="G312" s="3" t="s">
        <v>594</v>
      </c>
      <c r="H312" s="3">
        <v>311</v>
      </c>
      <c r="I312" s="1" t="str">
        <f ca="1">"A drifter "&amp;VLOOKUP(RANDBETWEEN(1,40),town,2)</f>
        <v>A drifter hiding out.</v>
      </c>
      <c r="J312" s="1" t="s">
        <v>3014</v>
      </c>
      <c r="K312" s="14">
        <v>345</v>
      </c>
      <c r="N312" s="3">
        <v>37</v>
      </c>
      <c r="O312" s="3" t="s">
        <v>133</v>
      </c>
      <c r="P312" s="3">
        <v>43</v>
      </c>
      <c r="Q312" s="16" t="s">
        <v>1531</v>
      </c>
      <c r="R312" s="3">
        <v>28</v>
      </c>
      <c r="S312" s="14" t="s">
        <v>1970</v>
      </c>
    </row>
    <row r="313" spans="4:19" ht="78.75" x14ac:dyDescent="0.2">
      <c r="D313" s="3">
        <v>312</v>
      </c>
      <c r="E313" s="3" t="s">
        <v>1116</v>
      </c>
      <c r="F313" s="3">
        <v>312</v>
      </c>
      <c r="G313" s="3" t="s">
        <v>2</v>
      </c>
      <c r="H313" s="3">
        <v>312</v>
      </c>
      <c r="I313" s="1" t="str">
        <f ca="1">"A gambler "&amp;VLOOKUP(RANDBETWEEN(1,40),wilderness,2)</f>
        <v>A gambler planning a crime.</v>
      </c>
      <c r="J313" s="1" t="s">
        <v>3014</v>
      </c>
      <c r="K313" s="14">
        <v>346</v>
      </c>
      <c r="N313" s="3">
        <v>38</v>
      </c>
      <c r="O313" s="3" t="s">
        <v>134</v>
      </c>
      <c r="P313" s="3">
        <v>44</v>
      </c>
      <c r="Q313" s="16" t="s">
        <v>1532</v>
      </c>
      <c r="R313" s="3">
        <v>29</v>
      </c>
      <c r="S313" s="14" t="s">
        <v>1971</v>
      </c>
    </row>
    <row r="314" spans="4:19" ht="78.75" x14ac:dyDescent="0.2">
      <c r="D314" s="3">
        <v>313</v>
      </c>
      <c r="E314" s="3" t="s">
        <v>1117</v>
      </c>
      <c r="F314" s="3">
        <v>313</v>
      </c>
      <c r="G314" s="3" t="s">
        <v>1</v>
      </c>
      <c r="H314" s="3">
        <v>313</v>
      </c>
      <c r="I314" s="1" t="str">
        <f ca="1">"A gambler "&amp;VLOOKUP(RANDBETWEEN(1,40),town,2)</f>
        <v>A gambler hiding out.</v>
      </c>
      <c r="J314" s="1" t="s">
        <v>3014</v>
      </c>
      <c r="K314" s="14">
        <v>347</v>
      </c>
      <c r="N314" s="3">
        <v>39</v>
      </c>
      <c r="O314" s="3" t="s">
        <v>135</v>
      </c>
      <c r="P314" s="3">
        <v>45</v>
      </c>
      <c r="Q314" s="2" t="s">
        <v>1533</v>
      </c>
      <c r="R314" s="3">
        <v>30</v>
      </c>
      <c r="S314" s="14" t="s">
        <v>1972</v>
      </c>
    </row>
    <row r="315" spans="4:19" ht="47.25" x14ac:dyDescent="0.2">
      <c r="D315" s="3">
        <v>314</v>
      </c>
      <c r="E315" s="18" t="s">
        <v>2793</v>
      </c>
      <c r="F315" s="3">
        <v>314</v>
      </c>
      <c r="G315" s="3" t="s">
        <v>371</v>
      </c>
      <c r="H315" s="3">
        <v>314</v>
      </c>
      <c r="I315" s="3" t="str">
        <f ca="1">"A granger "&amp;VLOOKUP(RANDBETWEEN(1,40),wilderness,2)</f>
        <v>A granger transporting wounded.</v>
      </c>
      <c r="J315" s="3" t="s">
        <v>3014</v>
      </c>
      <c r="K315" s="14">
        <v>348</v>
      </c>
      <c r="N315" s="3">
        <v>40</v>
      </c>
      <c r="O315" s="3" t="s">
        <v>136</v>
      </c>
      <c r="P315" s="3">
        <v>46</v>
      </c>
      <c r="Q315" s="2" t="s">
        <v>1534</v>
      </c>
      <c r="R315" s="3">
        <v>31</v>
      </c>
      <c r="S315" s="18" t="s">
        <v>1973</v>
      </c>
    </row>
    <row r="316" spans="4:19" ht="47.25" x14ac:dyDescent="0.2">
      <c r="D316" s="3">
        <v>315</v>
      </c>
      <c r="E316" s="3" t="s">
        <v>1089</v>
      </c>
      <c r="F316" s="3">
        <v>315</v>
      </c>
      <c r="G316" s="3" t="str">
        <f ca="1">"In the clouds off to the "&amp;VLOOKUP(RANDBETWEEN(1,4), Compas,2)&amp;"The Posse watches in horror as a funnel cloud touches down and slowly moves "&amp;VLOOKUP(RANDBETWEEN(1,8), Compas,2)&amp;"leaving a swatch of destruction in its wake!"</f>
        <v>In the clouds off to the eastThe Posse watches in horror as a funnel cloud touches down and slowly moves southleaving a swatch of destruction in its wake!</v>
      </c>
      <c r="H316" s="3">
        <v>315</v>
      </c>
      <c r="I316" s="1" t="str">
        <f ca="1">"A gunfighter "&amp;VLOOKUP(RANDBETWEEN(1,40),wilderness,2)</f>
        <v>A gunfighter raiding a ranch.</v>
      </c>
      <c r="J316" s="1" t="s">
        <v>3014</v>
      </c>
      <c r="K316" s="14">
        <v>349</v>
      </c>
      <c r="P316" s="3">
        <v>47</v>
      </c>
      <c r="Q316" s="2" t="s">
        <v>1535</v>
      </c>
      <c r="R316" s="3">
        <v>32</v>
      </c>
      <c r="S316" s="18" t="s">
        <v>1974</v>
      </c>
    </row>
    <row r="317" spans="4:19" ht="47.25" x14ac:dyDescent="0.2">
      <c r="D317" s="3">
        <v>316</v>
      </c>
      <c r="E317" s="3" t="s">
        <v>2741</v>
      </c>
      <c r="F317" s="3">
        <v>316</v>
      </c>
      <c r="G317" s="3" t="s">
        <v>617</v>
      </c>
      <c r="H317" s="3">
        <v>316</v>
      </c>
      <c r="I317" s="1" t="str">
        <f ca="1">"A gunfighter "&amp;VLOOKUP(RANDBETWEEN(1,40),town,2)</f>
        <v>A gunfighter holding a shooting contest.</v>
      </c>
      <c r="J317" s="1" t="s">
        <v>3014</v>
      </c>
      <c r="K317" s="14">
        <v>350</v>
      </c>
      <c r="O317" s="22" t="s">
        <v>927</v>
      </c>
      <c r="P317" s="3">
        <v>48</v>
      </c>
      <c r="Q317" s="2" t="s">
        <v>1536</v>
      </c>
      <c r="R317" s="3">
        <v>33</v>
      </c>
      <c r="S317" s="18" t="s">
        <v>1975</v>
      </c>
    </row>
    <row r="318" spans="4:19" ht="78.75" x14ac:dyDescent="0.2">
      <c r="D318" s="3">
        <v>317</v>
      </c>
      <c r="E318" s="3" t="s">
        <v>1118</v>
      </c>
      <c r="F318" s="3">
        <v>317</v>
      </c>
      <c r="G318" s="3" t="s">
        <v>271</v>
      </c>
      <c r="H318" s="3">
        <v>317</v>
      </c>
      <c r="I318" s="1" t="str">
        <f ca="1">"A gunsmith "&amp;VLOOKUP(RANDBETWEEN(1,40),wilderness,2)</f>
        <v>A gunsmith pursuing bankrobbers.</v>
      </c>
      <c r="J318" s="1" t="s">
        <v>3014</v>
      </c>
      <c r="K318" s="14">
        <v>351</v>
      </c>
      <c r="N318" s="3">
        <v>1</v>
      </c>
      <c r="O318" s="3" t="s">
        <v>290</v>
      </c>
      <c r="P318" s="3">
        <v>49</v>
      </c>
      <c r="Q318" s="16" t="s">
        <v>1537</v>
      </c>
      <c r="R318" s="3">
        <v>34</v>
      </c>
      <c r="S318" s="18" t="s">
        <v>1976</v>
      </c>
    </row>
    <row r="319" spans="4:19" ht="47.25" x14ac:dyDescent="0.2">
      <c r="D319" s="3">
        <v>318</v>
      </c>
      <c r="E319" s="3" t="s">
        <v>1119</v>
      </c>
      <c r="F319" s="3">
        <v>318</v>
      </c>
      <c r="G319" s="3" t="s">
        <v>149</v>
      </c>
      <c r="H319" s="3">
        <v>318</v>
      </c>
      <c r="I319" s="1" t="str">
        <f ca="1">"A homesteader "&amp;VLOOKUP(RANDBETWEEN(1,40),wilderness,2)</f>
        <v>A homesteader catching wild horses.</v>
      </c>
      <c r="J319" s="1" t="s">
        <v>3014</v>
      </c>
      <c r="K319" s="14">
        <v>352</v>
      </c>
      <c r="N319" s="3">
        <v>2</v>
      </c>
      <c r="O319" s="3" t="str">
        <f ca="1">"selling "&amp;RANDBETWEEN(1,4)&amp;" horse(s)."</f>
        <v>selling 2 horse(s).</v>
      </c>
      <c r="P319" s="3">
        <v>50</v>
      </c>
      <c r="Q319" s="16" t="s">
        <v>1538</v>
      </c>
      <c r="R319" s="3">
        <v>35</v>
      </c>
      <c r="S319" s="18" t="s">
        <v>1977</v>
      </c>
    </row>
    <row r="320" spans="4:19" ht="63" x14ac:dyDescent="0.2">
      <c r="D320" s="3">
        <v>319</v>
      </c>
      <c r="E320" s="3" t="s">
        <v>3002</v>
      </c>
      <c r="F320" s="3">
        <v>319</v>
      </c>
      <c r="G320" s="3" t="s">
        <v>571</v>
      </c>
      <c r="H320" s="3">
        <v>319</v>
      </c>
      <c r="I320" s="1" t="str">
        <f ca="1">"A lone lawman "&amp;VLOOKUP(RANDBETWEEN(1,40),wilderness,2)</f>
        <v>A lone lawman fleeing a posse.</v>
      </c>
      <c r="J320" s="1" t="s">
        <v>3014</v>
      </c>
      <c r="K320" s="14">
        <v>353</v>
      </c>
      <c r="N320" s="3">
        <v>3</v>
      </c>
      <c r="O320" s="3" t="s">
        <v>291</v>
      </c>
      <c r="P320" s="3">
        <v>51</v>
      </c>
      <c r="Q320" s="16" t="s">
        <v>1539</v>
      </c>
      <c r="R320" s="3">
        <v>36</v>
      </c>
      <c r="S320" s="18" t="s">
        <v>1978</v>
      </c>
    </row>
    <row r="321" spans="4:19" ht="31.5" x14ac:dyDescent="0.2">
      <c r="D321" s="3">
        <v>320</v>
      </c>
      <c r="E321" s="3" t="s">
        <v>1120</v>
      </c>
      <c r="F321" s="3">
        <v>320</v>
      </c>
      <c r="G321" s="3" t="s">
        <v>393</v>
      </c>
      <c r="H321" s="3">
        <v>320</v>
      </c>
      <c r="I321" s="1" t="str">
        <f ca="1">"A lone outlaw "&amp;VLOOKUP(RANDBETWEEN(1,40),wilderness,2)</f>
        <v>A lone outlaw prospecting.</v>
      </c>
      <c r="J321" s="1" t="s">
        <v>3014</v>
      </c>
      <c r="K321" s="14">
        <v>354</v>
      </c>
      <c r="N321" s="3">
        <v>4</v>
      </c>
      <c r="O321" s="3" t="s">
        <v>292</v>
      </c>
      <c r="P321" s="3">
        <v>52</v>
      </c>
      <c r="Q321" s="16" t="s">
        <v>1540</v>
      </c>
      <c r="R321" s="3">
        <v>37</v>
      </c>
      <c r="S321" s="18" t="s">
        <v>1979</v>
      </c>
    </row>
    <row r="322" spans="4:19" ht="63" x14ac:dyDescent="0.2">
      <c r="D322" s="3">
        <v>321</v>
      </c>
      <c r="E322" s="3" t="s">
        <v>1090</v>
      </c>
      <c r="F322" s="3">
        <v>321</v>
      </c>
      <c r="G322" s="3" t="s">
        <v>618</v>
      </c>
      <c r="H322" s="3">
        <v>321</v>
      </c>
      <c r="I322" s="3" t="s">
        <v>216</v>
      </c>
      <c r="J322" s="3" t="s">
        <v>3014</v>
      </c>
      <c r="K322" s="14">
        <v>355</v>
      </c>
      <c r="N322" s="3">
        <v>5</v>
      </c>
      <c r="O322" s="3" t="s">
        <v>293</v>
      </c>
      <c r="P322" s="3">
        <v>53</v>
      </c>
      <c r="Q322" s="2" t="s">
        <v>1541</v>
      </c>
      <c r="R322" s="3">
        <v>38</v>
      </c>
      <c r="S322" s="18" t="s">
        <v>1980</v>
      </c>
    </row>
    <row r="323" spans="4:19" ht="47.25" x14ac:dyDescent="0.2">
      <c r="D323" s="3">
        <v>322</v>
      </c>
      <c r="E323" s="3" t="s">
        <v>1121</v>
      </c>
      <c r="F323" s="3">
        <v>322</v>
      </c>
      <c r="G323" s="3" t="s">
        <v>154</v>
      </c>
      <c r="H323" s="3">
        <v>322</v>
      </c>
      <c r="I323" s="3" t="s">
        <v>60</v>
      </c>
      <c r="J323" s="3" t="s">
        <v>3014</v>
      </c>
      <c r="K323" s="14">
        <v>356</v>
      </c>
      <c r="N323" s="3">
        <v>6</v>
      </c>
      <c r="O323" s="3" t="s">
        <v>294</v>
      </c>
      <c r="P323" s="3">
        <v>54</v>
      </c>
      <c r="Q323" s="16" t="s">
        <v>1542</v>
      </c>
      <c r="R323" s="3">
        <v>39</v>
      </c>
      <c r="S323" s="18" t="s">
        <v>1981</v>
      </c>
    </row>
    <row r="324" spans="4:19" ht="63" x14ac:dyDescent="0.2">
      <c r="D324" s="3">
        <v>323</v>
      </c>
      <c r="E324" s="3" t="s">
        <v>1122</v>
      </c>
      <c r="F324" s="3">
        <v>323</v>
      </c>
      <c r="G324" s="3" t="str">
        <f ca="1">"Keen Posse members see "&amp;RANDBETWEEN(5,10)&amp;"vultures circling around…"</f>
        <v>Keen Posse members see 8vultures circling around…</v>
      </c>
      <c r="H324" s="3">
        <v>323</v>
      </c>
      <c r="I324" s="3" t="str">
        <f ca="1">"A pilgrim "&amp;VLOOKUP(RANDBETWEEN(1,40),town,2)</f>
        <v>A pilgrim catching chickens.</v>
      </c>
      <c r="J324" s="3" t="s">
        <v>3014</v>
      </c>
      <c r="K324" s="14">
        <v>357</v>
      </c>
      <c r="N324" s="3">
        <v>7</v>
      </c>
      <c r="O324" s="3" t="s">
        <v>295</v>
      </c>
      <c r="P324" s="3">
        <v>55</v>
      </c>
      <c r="Q324" s="16" t="s">
        <v>1543</v>
      </c>
      <c r="R324" s="3">
        <v>40</v>
      </c>
      <c r="S324" s="18" t="s">
        <v>1982</v>
      </c>
    </row>
    <row r="325" spans="4:19" ht="31.5" x14ac:dyDescent="0.2">
      <c r="D325" s="3">
        <v>324</v>
      </c>
      <c r="E325" s="3" t="s">
        <v>1123</v>
      </c>
      <c r="F325" s="3">
        <v>324</v>
      </c>
      <c r="G325" s="3" t="str">
        <f ca="1">"Large boot tracks in mud heading "&amp;VLOOKUP(RANDBETWEEN(1,8),Compas,2)&amp;"."</f>
        <v>Large boot tracks in mud heading west.</v>
      </c>
      <c r="H325" s="3">
        <v>324</v>
      </c>
      <c r="I325" s="3" t="str">
        <f ca="1">"A pilgrim "&amp;VLOOKUP(RANDBETWEEN(1,40),wilderness,2)</f>
        <v>A pilgrim repairing a telegraph line.</v>
      </c>
      <c r="J325" s="3" t="s">
        <v>3014</v>
      </c>
      <c r="K325" s="14">
        <v>358</v>
      </c>
      <c r="N325" s="3">
        <v>8</v>
      </c>
      <c r="O325" s="3" t="s">
        <v>296</v>
      </c>
      <c r="P325" s="3">
        <v>56</v>
      </c>
      <c r="Q325" s="16" t="s">
        <v>1544</v>
      </c>
      <c r="R325" s="3">
        <v>41</v>
      </c>
      <c r="S325" s="18" t="s">
        <v>1983</v>
      </c>
    </row>
    <row r="326" spans="4:19" ht="63" x14ac:dyDescent="0.2">
      <c r="D326" s="3">
        <v>325</v>
      </c>
      <c r="E326" s="3" t="s">
        <v>1124</v>
      </c>
      <c r="F326" s="3">
        <v>325</v>
      </c>
      <c r="G326" s="3" t="s">
        <v>337</v>
      </c>
      <c r="H326" s="3">
        <v>325</v>
      </c>
      <c r="I326" s="3" t="s">
        <v>614</v>
      </c>
      <c r="J326" s="3" t="s">
        <v>3014</v>
      </c>
      <c r="K326" s="14">
        <v>359</v>
      </c>
      <c r="N326" s="3">
        <v>9</v>
      </c>
      <c r="O326" s="3" t="s">
        <v>297</v>
      </c>
      <c r="P326" s="3">
        <v>57</v>
      </c>
      <c r="Q326" s="16" t="s">
        <v>1545</v>
      </c>
      <c r="R326" s="3">
        <v>42</v>
      </c>
      <c r="S326" s="18" t="s">
        <v>3003</v>
      </c>
    </row>
    <row r="327" spans="4:19" ht="63" x14ac:dyDescent="0.2">
      <c r="D327" s="3">
        <v>326</v>
      </c>
      <c r="E327" s="3" t="s">
        <v>1125</v>
      </c>
      <c r="F327" s="3">
        <v>326</v>
      </c>
      <c r="G327" s="3" t="s">
        <v>394</v>
      </c>
      <c r="H327" s="3">
        <v>326</v>
      </c>
      <c r="I327" s="1" t="str">
        <f ca="1">"An Indian tribe "&amp;VLOOKUP(RANDBETWEEN(1,40),wilderness,2)</f>
        <v>An Indian tribe fleeing relatives.</v>
      </c>
      <c r="J327" s="1" t="s">
        <v>3014</v>
      </c>
      <c r="K327" s="14">
        <v>360</v>
      </c>
      <c r="N327" s="3">
        <v>10</v>
      </c>
      <c r="O327" s="3" t="s">
        <v>76</v>
      </c>
      <c r="P327" s="3">
        <v>58</v>
      </c>
      <c r="Q327" s="16" t="s">
        <v>1546</v>
      </c>
      <c r="R327" s="3">
        <v>43</v>
      </c>
      <c r="S327" s="18" t="s">
        <v>1984</v>
      </c>
    </row>
    <row r="328" spans="4:19" ht="63" x14ac:dyDescent="0.2">
      <c r="D328" s="3">
        <v>327</v>
      </c>
      <c r="E328" s="3" t="s">
        <v>1126</v>
      </c>
      <c r="F328" s="3">
        <v>327</v>
      </c>
      <c r="G328" s="3" t="s">
        <v>241</v>
      </c>
      <c r="H328" s="3">
        <v>327</v>
      </c>
      <c r="I328" s="2" t="s">
        <v>82</v>
      </c>
      <c r="J328" s="2" t="s">
        <v>3014</v>
      </c>
      <c r="K328" s="14">
        <v>361</v>
      </c>
      <c r="N328" s="3">
        <v>11</v>
      </c>
      <c r="O328" s="3" t="s">
        <v>298</v>
      </c>
      <c r="P328" s="3">
        <v>59</v>
      </c>
      <c r="Q328" s="16" t="s">
        <v>1547</v>
      </c>
      <c r="R328" s="3">
        <v>44</v>
      </c>
      <c r="S328" s="18" t="s">
        <v>1985</v>
      </c>
    </row>
    <row r="329" spans="4:19" ht="94.5" x14ac:dyDescent="0.2">
      <c r="D329" s="3">
        <v>328</v>
      </c>
      <c r="E329" s="3" t="s">
        <v>1127</v>
      </c>
      <c r="F329" s="3">
        <v>328</v>
      </c>
      <c r="G329" s="3" t="s">
        <v>43</v>
      </c>
      <c r="H329" s="3">
        <v>328</v>
      </c>
      <c r="I329" s="3" t="str">
        <f ca="1">"Mailman on a velocipede:  In the distance the Posse hears a low droning sound.   Off to the "&amp;VLOOKUP(RANDBETWEEN(1,4),Compas,2)&amp;" they can see a cloud of dust fast approaching.  With a scream the horses begin to panic as the droning becomes a loud roar..."</f>
        <v>Mailman on a velocipede:  In the distance the Posse hears a low droning sound.   Off to the east they can see a cloud of dust fast approaching.  With a scream the horses begin to panic as the droning becomes a loud roar...</v>
      </c>
      <c r="J329" s="3" t="s">
        <v>3014</v>
      </c>
      <c r="K329" s="14">
        <v>362</v>
      </c>
      <c r="N329" s="3">
        <v>12</v>
      </c>
      <c r="O329" s="3" t="s">
        <v>111</v>
      </c>
      <c r="P329" s="3">
        <v>60</v>
      </c>
      <c r="Q329" s="2" t="s">
        <v>1548</v>
      </c>
      <c r="R329" s="3">
        <v>45</v>
      </c>
      <c r="S329" s="18" t="s">
        <v>2709</v>
      </c>
    </row>
    <row r="330" spans="4:19" ht="63" x14ac:dyDescent="0.2">
      <c r="D330" s="3">
        <v>329</v>
      </c>
      <c r="E330" s="3" t="s">
        <v>1128</v>
      </c>
      <c r="F330" s="3">
        <v>329</v>
      </c>
      <c r="G330" s="3" t="s">
        <v>752</v>
      </c>
      <c r="H330" s="3">
        <v>329</v>
      </c>
      <c r="I330" s="3" t="str">
        <f ca="1">"One healthy detachment of "&amp;RANDBETWEEN(2,8)&amp;" Scouts heading "&amp;VLOOKUP(RANDBETWEEN(1,4),Compas,2)&amp;"."</f>
        <v>One healthy detachment of 8 Scouts heading north.</v>
      </c>
      <c r="J330" s="3" t="s">
        <v>3014</v>
      </c>
      <c r="K330" s="14">
        <v>363</v>
      </c>
      <c r="N330" s="3">
        <v>13</v>
      </c>
      <c r="O330" s="3" t="s">
        <v>299</v>
      </c>
      <c r="P330" s="3">
        <v>61</v>
      </c>
      <c r="Q330" s="2" t="str">
        <f ca="1">"the "&amp;VLOOKUP(RANDBETWEEN(1,100),profession,2)&amp;"'s gardens"</f>
        <v>the Town Councilor's gardens</v>
      </c>
      <c r="R330" s="3">
        <v>46</v>
      </c>
      <c r="S330" s="18" t="s">
        <v>1989</v>
      </c>
    </row>
    <row r="331" spans="4:19" ht="63" x14ac:dyDescent="0.2">
      <c r="D331" s="3">
        <v>330</v>
      </c>
      <c r="E331" s="3" t="s">
        <v>1129</v>
      </c>
      <c r="F331" s="3">
        <v>330</v>
      </c>
      <c r="G331" s="3" t="s">
        <v>9</v>
      </c>
      <c r="H331" s="3">
        <v>330</v>
      </c>
      <c r="I331" s="3" t="str">
        <f ca="1">"One healthy platoon of "&amp;RANDBETWEEN(2,16)&amp;" "&amp;VLOOKUP(RANDBETWEEN(1,2),Civil,2)&amp;" soldiers traveling "&amp;VLOOKUP(RANDBETWEEN(1,8),Compas,2)&amp;"."</f>
        <v>One healthy platoon of 5 Union soldiers traveling north east.</v>
      </c>
      <c r="J331" s="3" t="s">
        <v>3014</v>
      </c>
      <c r="K331" s="14">
        <v>364</v>
      </c>
      <c r="M331" s="3">
        <f ca="1">RANDBETWEEN(1,3)</f>
        <v>2</v>
      </c>
      <c r="N331" s="3">
        <v>14</v>
      </c>
      <c r="O331" s="3" t="s">
        <v>300</v>
      </c>
      <c r="P331" s="3">
        <v>62</v>
      </c>
      <c r="Q331" s="2" t="s">
        <v>1549</v>
      </c>
      <c r="R331" s="3">
        <v>47</v>
      </c>
      <c r="S331" s="18" t="s">
        <v>3004</v>
      </c>
    </row>
    <row r="332" spans="4:19" ht="47.25" x14ac:dyDescent="0.2">
      <c r="D332" s="3">
        <v>331</v>
      </c>
      <c r="E332" s="3" t="s">
        <v>1091</v>
      </c>
      <c r="F332" s="3">
        <v>331</v>
      </c>
      <c r="G332" s="3" t="s">
        <v>22</v>
      </c>
      <c r="H332" s="3">
        <v>331</v>
      </c>
      <c r="I332" s="3" t="s">
        <v>151</v>
      </c>
      <c r="J332" s="3" t="s">
        <v>3014</v>
      </c>
      <c r="K332" s="14">
        <v>365</v>
      </c>
      <c r="N332" s="3">
        <v>15</v>
      </c>
      <c r="O332" s="3" t="s">
        <v>301</v>
      </c>
      <c r="P332" s="3">
        <v>63</v>
      </c>
      <c r="Q332" s="2" t="s">
        <v>1550</v>
      </c>
      <c r="R332" s="3">
        <v>48</v>
      </c>
      <c r="S332" s="18" t="s">
        <v>1986</v>
      </c>
    </row>
    <row r="333" spans="4:19" ht="78.75" x14ac:dyDescent="0.2">
      <c r="D333" s="3">
        <v>332</v>
      </c>
      <c r="E333" s="3" t="s">
        <v>1130</v>
      </c>
      <c r="F333" s="3">
        <v>332</v>
      </c>
      <c r="G333" s="3" t="s">
        <v>2969</v>
      </c>
      <c r="H333" s="3">
        <v>332</v>
      </c>
      <c r="I333" s="3" t="s">
        <v>306</v>
      </c>
      <c r="J333" s="3" t="s">
        <v>3014</v>
      </c>
      <c r="K333" s="14">
        <v>366</v>
      </c>
      <c r="N333" s="3">
        <v>16</v>
      </c>
      <c r="O333" s="3" t="s">
        <v>302</v>
      </c>
      <c r="P333" s="3">
        <v>64</v>
      </c>
      <c r="Q333" s="2" t="s">
        <v>1551</v>
      </c>
      <c r="R333" s="3">
        <v>49</v>
      </c>
      <c r="S333" s="18" t="s">
        <v>3005</v>
      </c>
    </row>
    <row r="334" spans="4:19" ht="63" x14ac:dyDescent="0.2">
      <c r="D334" s="3">
        <v>333</v>
      </c>
      <c r="E334" s="3" t="s">
        <v>1131</v>
      </c>
      <c r="F334" s="3">
        <v>333</v>
      </c>
      <c r="G334" s="3" t="str">
        <f ca="1">"Mad Scientist:  A "&amp;VLOOKUP(RANDBETWEEN(1,2),sex,2)&amp;" dressed in a "&amp;VLOOKUP(RANDBETWEEN(1,4),coat,2)&amp;"coat meanders "&amp;VLOOKUP(RANDBETWEEN(1,4),Compas,2)&amp;", mumbling under his/her breath..."</f>
        <v>Mad Scientist:  A woman dressed in a greasycoat meanders west, mumbling under his/her breath...</v>
      </c>
      <c r="H334" s="3">
        <v>333</v>
      </c>
      <c r="I334" s="8" t="str">
        <f ca="1">"The Posse encounters "&amp;RANDBETWEEN(1,5)&amp;" poacher(s) who want to relate to the Posse and share glory stories."</f>
        <v>The Posse encounters 4 poacher(s) who want to relate to the Posse and share glory stories.</v>
      </c>
      <c r="J334" s="8" t="s">
        <v>3014</v>
      </c>
      <c r="K334" s="14">
        <v>367</v>
      </c>
      <c r="N334" s="3">
        <v>17</v>
      </c>
      <c r="O334" s="3" t="s">
        <v>115</v>
      </c>
      <c r="P334" s="3">
        <v>65</v>
      </c>
      <c r="Q334" s="2" t="s">
        <v>1551</v>
      </c>
      <c r="R334" s="3">
        <v>50</v>
      </c>
      <c r="S334" s="18" t="s">
        <v>1987</v>
      </c>
    </row>
    <row r="335" spans="4:19" ht="79.5" thickBot="1" x14ac:dyDescent="0.25">
      <c r="D335" s="3">
        <v>334</v>
      </c>
      <c r="E335" s="3" t="s">
        <v>1132</v>
      </c>
      <c r="F335" s="3">
        <v>334</v>
      </c>
      <c r="G335" s="3" t="str">
        <f ca="1">"Mailman on a velocipede:  In the distance the Posse hears a low droning sound.   Off to the "&amp;VLOOKUP(RANDBETWEEN(1,4),Compas,2)&amp;"they can see a cloud of dust fast approaching.  With a scream the horses begin to panic as the droning becomes a loud roar..."</f>
        <v>Mailman on a velocipede:  In the distance the Posse hears a low droning sound.   Off to the souththey can see a cloud of dust fast approaching.  With a scream the horses begin to panic as the droning becomes a loud roar...</v>
      </c>
      <c r="H335" s="3">
        <v>334</v>
      </c>
      <c r="I335" s="8" t="s">
        <v>165</v>
      </c>
      <c r="J335" s="8" t="s">
        <v>3014</v>
      </c>
      <c r="K335" s="14">
        <v>368</v>
      </c>
      <c r="N335" s="3">
        <v>18</v>
      </c>
      <c r="O335" s="3" t="s">
        <v>77</v>
      </c>
      <c r="P335" s="3">
        <v>66</v>
      </c>
      <c r="Q335" s="2" t="s">
        <v>1552</v>
      </c>
      <c r="R335" s="3">
        <v>51</v>
      </c>
      <c r="S335" s="20" t="s">
        <v>1988</v>
      </c>
    </row>
    <row r="336" spans="4:19" ht="79.5" thickTop="1" x14ac:dyDescent="0.2">
      <c r="D336" s="3">
        <v>335</v>
      </c>
      <c r="E336" s="3" t="s">
        <v>1133</v>
      </c>
      <c r="F336" s="3">
        <v>335</v>
      </c>
      <c r="G336" s="3" t="str">
        <f ca="1">"Many thousands of "&amp;VLOOKUP(RANDBETWEEN(19,25),Bugs,2)&amp;" scurry over 'something'…"</f>
        <v>Many thousands of termites scurry over 'something'…</v>
      </c>
      <c r="H336" s="3">
        <v>335</v>
      </c>
      <c r="I336" s="3" t="s">
        <v>597</v>
      </c>
      <c r="J336" s="3" t="s">
        <v>3014</v>
      </c>
      <c r="K336" s="14">
        <v>369</v>
      </c>
      <c r="N336" s="3">
        <v>19</v>
      </c>
      <c r="O336" s="3" t="s">
        <v>169</v>
      </c>
      <c r="P336" s="3">
        <v>67</v>
      </c>
      <c r="Q336" s="2" t="s">
        <v>1553</v>
      </c>
      <c r="R336" s="3">
        <v>52</v>
      </c>
      <c r="S336" s="3" t="s">
        <v>2258</v>
      </c>
    </row>
    <row r="337" spans="4:19" ht="78.75" x14ac:dyDescent="0.2">
      <c r="D337" s="3">
        <v>336</v>
      </c>
      <c r="E337" s="3" t="s">
        <v>1134</v>
      </c>
      <c r="F337" s="3">
        <v>336</v>
      </c>
      <c r="G337" s="3" t="s">
        <v>269</v>
      </c>
      <c r="H337" s="3">
        <v>336</v>
      </c>
      <c r="I337" s="3" t="s">
        <v>267</v>
      </c>
      <c r="J337" s="3" t="s">
        <v>3014</v>
      </c>
      <c r="K337" s="14">
        <v>370</v>
      </c>
      <c r="N337" s="3">
        <v>20</v>
      </c>
      <c r="O337" s="3" t="s">
        <v>170</v>
      </c>
      <c r="P337" s="3">
        <v>68</v>
      </c>
      <c r="Q337" s="2" t="s">
        <v>1554</v>
      </c>
      <c r="R337" s="3">
        <v>53</v>
      </c>
      <c r="S337" s="3" t="s">
        <v>2010</v>
      </c>
    </row>
    <row r="338" spans="4:19" ht="47.25" x14ac:dyDescent="0.2">
      <c r="D338" s="3">
        <v>337</v>
      </c>
      <c r="E338" s="18" t="str">
        <f ca="1">"A small group of street urchins have raided a local shop, they are thought to be hiding in the sewers.  There is a reward of $"&amp;RANDBETWEEN(10,75)&amp;" for disposing of them."</f>
        <v>A small group of street urchins have raided a local shop, they are thought to be hiding in the sewers.  There is a reward of $70 for disposing of them.</v>
      </c>
      <c r="F338" s="3">
        <v>337</v>
      </c>
      <c r="G338" s="3" t="s">
        <v>266</v>
      </c>
      <c r="H338" s="3">
        <v>337</v>
      </c>
      <c r="K338" s="14">
        <v>371</v>
      </c>
      <c r="N338" s="3">
        <v>21</v>
      </c>
      <c r="O338" s="3" t="s">
        <v>171</v>
      </c>
      <c r="P338" s="3">
        <v>69</v>
      </c>
      <c r="Q338" s="2" t="s">
        <v>1555</v>
      </c>
      <c r="R338" s="3">
        <v>54</v>
      </c>
      <c r="S338" s="3" t="s">
        <v>2011</v>
      </c>
    </row>
    <row r="339" spans="4:19" ht="31.5" x14ac:dyDescent="0.2">
      <c r="D339" s="3">
        <v>338</v>
      </c>
      <c r="E339" s="18" t="s">
        <v>2791</v>
      </c>
      <c r="F339" s="3">
        <v>338</v>
      </c>
      <c r="G339" s="3" t="str">
        <f ca="1">"Off on the horizon is a dark, dark cloud. It is practically purple. The lightning is striking the ground "&amp;RANDBETWEEN(30,50)&amp;" miles away."</f>
        <v>Off on the horizon is a dark, dark cloud. It is practically purple. The lightning is striking the ground 48 miles away.</v>
      </c>
      <c r="H339" s="3">
        <v>338</v>
      </c>
      <c r="K339" s="14">
        <v>372</v>
      </c>
      <c r="N339" s="3">
        <v>22</v>
      </c>
      <c r="O339" s="3" t="s">
        <v>78</v>
      </c>
      <c r="P339" s="3">
        <v>70</v>
      </c>
      <c r="Q339" s="2" t="s">
        <v>1556</v>
      </c>
      <c r="R339" s="3">
        <v>55</v>
      </c>
      <c r="S339" s="3" t="s">
        <v>2012</v>
      </c>
    </row>
    <row r="340" spans="4:19" ht="47.25" x14ac:dyDescent="0.2">
      <c r="D340" s="3">
        <v>339</v>
      </c>
      <c r="E340" s="18" t="s">
        <v>2823</v>
      </c>
      <c r="F340" s="3">
        <v>339</v>
      </c>
      <c r="G340" s="3" t="s">
        <v>605</v>
      </c>
      <c r="H340" s="3">
        <v>339</v>
      </c>
      <c r="K340" s="14">
        <v>373</v>
      </c>
      <c r="N340" s="3">
        <v>23</v>
      </c>
      <c r="O340" s="3" t="s">
        <v>172</v>
      </c>
      <c r="P340" s="3">
        <v>71</v>
      </c>
      <c r="Q340" s="2" t="s">
        <v>1557</v>
      </c>
      <c r="R340" s="3">
        <v>56</v>
      </c>
      <c r="S340" s="3" t="s">
        <v>2259</v>
      </c>
    </row>
    <row r="341" spans="4:19" ht="31.5" x14ac:dyDescent="0.2">
      <c r="D341" s="3">
        <v>340</v>
      </c>
      <c r="E341" s="18" t="s">
        <v>2912</v>
      </c>
      <c r="F341" s="3">
        <v>340</v>
      </c>
      <c r="G341" s="3" t="str">
        <f ca="1">"One broken, bloody "&amp;VLOOKUP(RANDBETWEEN(1,2),Civil,2)&amp;"scouting party of "&amp;RANDBETWEEN(2,4)&amp;"soldiers passes the Posse heading "&amp;VLOOKUP(RANDBETWEEN(1,4),Compas,2)&amp;"."</f>
        <v>One broken, bloody Unionscouting party of 4soldiers passes the Posse heading south.</v>
      </c>
      <c r="H341" s="3">
        <v>340</v>
      </c>
      <c r="K341" s="14">
        <v>374</v>
      </c>
      <c r="N341" s="3">
        <v>24</v>
      </c>
      <c r="O341" s="3" t="s">
        <v>173</v>
      </c>
      <c r="P341" s="3">
        <v>72</v>
      </c>
      <c r="Q341" s="2" t="s">
        <v>1558</v>
      </c>
      <c r="R341" s="3">
        <v>57</v>
      </c>
      <c r="S341" s="7" t="s">
        <v>2274</v>
      </c>
    </row>
    <row r="342" spans="4:19" ht="32.25" thickBot="1" x14ac:dyDescent="0.25">
      <c r="D342" s="3">
        <v>341</v>
      </c>
      <c r="E342" s="18" t="s">
        <v>2913</v>
      </c>
      <c r="F342" s="3">
        <v>341</v>
      </c>
      <c r="G342" s="3" t="s">
        <v>338</v>
      </c>
      <c r="H342" s="3">
        <v>341</v>
      </c>
      <c r="K342" s="14">
        <v>375</v>
      </c>
      <c r="N342" s="3">
        <v>25</v>
      </c>
      <c r="O342" s="3" t="s">
        <v>174</v>
      </c>
      <c r="P342" s="3">
        <v>73</v>
      </c>
      <c r="Q342" s="2" t="s">
        <v>1559</v>
      </c>
      <c r="R342" s="3">
        <v>58</v>
      </c>
      <c r="S342" s="19" t="s">
        <v>2260</v>
      </c>
    </row>
    <row r="343" spans="4:19" ht="32.25" thickTop="1" x14ac:dyDescent="0.2">
      <c r="D343" s="3">
        <v>342</v>
      </c>
      <c r="E343" s="18" t="str">
        <f ca="1">"A woman offers $"&amp;RANDBETWEEN(45,100)&amp;" for the safe return of her precious cat, which was catnapped."</f>
        <v>A woman offers $66 for the safe return of her precious cat, which was catnapped.</v>
      </c>
      <c r="F343" s="3">
        <v>342</v>
      </c>
      <c r="G343" s="3" t="s">
        <v>276</v>
      </c>
      <c r="H343" s="3">
        <v>342</v>
      </c>
      <c r="K343" s="14">
        <v>376</v>
      </c>
      <c r="N343" s="3">
        <v>26</v>
      </c>
      <c r="O343" s="3" t="s">
        <v>175</v>
      </c>
      <c r="P343" s="3">
        <v>74</v>
      </c>
      <c r="Q343" s="2" t="s">
        <v>1560</v>
      </c>
      <c r="R343" s="3">
        <v>59</v>
      </c>
      <c r="S343" s="3" t="s">
        <v>1999</v>
      </c>
    </row>
    <row r="344" spans="4:19" ht="47.25" x14ac:dyDescent="0.2">
      <c r="D344" s="3">
        <v>343</v>
      </c>
      <c r="E344" s="18" t="s">
        <v>2792</v>
      </c>
      <c r="F344" s="3">
        <v>343</v>
      </c>
      <c r="G344" s="3" t="s">
        <v>50</v>
      </c>
      <c r="H344" s="3">
        <v>343</v>
      </c>
      <c r="K344" s="14">
        <v>377</v>
      </c>
      <c r="N344" s="3">
        <v>27</v>
      </c>
      <c r="O344" s="3" t="s">
        <v>176</v>
      </c>
      <c r="P344" s="3">
        <v>75</v>
      </c>
      <c r="Q344" s="2" t="s">
        <v>1561</v>
      </c>
      <c r="R344" s="3">
        <v>60</v>
      </c>
      <c r="S344" s="3" t="s">
        <v>2000</v>
      </c>
    </row>
    <row r="345" spans="4:19" ht="47.25" x14ac:dyDescent="0.2">
      <c r="D345" s="3">
        <v>344</v>
      </c>
      <c r="E345" s="18" t="s">
        <v>2914</v>
      </c>
      <c r="F345" s="3">
        <v>344</v>
      </c>
      <c r="G345" s="3" t="str">
        <f ca="1">"One wounded detachment of "&amp;RANDBETWEEN(1,4)&amp;""&amp;VLOOKUP(RANDBETWEEN(1,2),Civil,2)&amp;"Scout(s) headed "&amp;VLOOKUP(RANDBETWEEN(1,4),Compas,2)&amp;"on foot."</f>
        <v>One wounded detachment of 3UnionScout(s) headed weston foot.</v>
      </c>
      <c r="H345" s="3">
        <v>344</v>
      </c>
      <c r="K345" s="14">
        <v>378</v>
      </c>
      <c r="N345" s="3">
        <v>28</v>
      </c>
      <c r="O345" s="3" t="s">
        <v>79</v>
      </c>
      <c r="P345" s="3">
        <v>76</v>
      </c>
      <c r="Q345" s="2" t="str">
        <f ca="1">"the home of the "&amp;VLOOKUP(RANDBETWEEN(1,51),profession,2)</f>
        <v>the home of the Buffalo Hunter</v>
      </c>
      <c r="R345" s="3">
        <v>61</v>
      </c>
      <c r="S345" s="3" t="s">
        <v>2001</v>
      </c>
    </row>
    <row r="346" spans="4:19" ht="63" x14ac:dyDescent="0.2">
      <c r="D346" s="3">
        <v>345</v>
      </c>
      <c r="E346" s="18" t="s">
        <v>2824</v>
      </c>
      <c r="F346" s="3">
        <v>345</v>
      </c>
      <c r="G346" s="3" t="str">
        <f ca="1">"One wounded platoon of "&amp;RANDBETWEEN(4,16)&amp;""&amp;VLOOKUP(RANDBETWEEN(1,2),Civil,2)&amp;"Scout(s) headed "&amp;VLOOKUP(RANDBETWEEN(1,4),Compas,2)&amp;"on foot and horse."</f>
        <v>One wounded platoon of 5ConfederateScout(s) headed southon foot and horse.</v>
      </c>
      <c r="H346" s="3">
        <v>345</v>
      </c>
      <c r="K346" s="14">
        <v>379</v>
      </c>
      <c r="N346" s="3">
        <v>29</v>
      </c>
      <c r="O346" s="3" t="s">
        <v>126</v>
      </c>
      <c r="P346" s="3">
        <v>77</v>
      </c>
      <c r="Q346" s="16" t="s">
        <v>1562</v>
      </c>
      <c r="R346" s="3">
        <v>62</v>
      </c>
      <c r="S346" s="3" t="s">
        <v>2002</v>
      </c>
    </row>
    <row r="347" spans="4:19" ht="47.25" x14ac:dyDescent="0.2">
      <c r="D347" s="3">
        <v>346</v>
      </c>
      <c r="E347" s="18" t="str">
        <f ca="1">"A caravan of important goods is about to leave for a trip through a dangerous area, there is an offer of $"&amp;RANDBETWEEN(71,150)&amp;" per person to escort the caravan."</f>
        <v>A caravan of important goods is about to leave for a trip through a dangerous area, there is an offer of $109 per person to escort the caravan.</v>
      </c>
      <c r="F347" s="3">
        <v>346</v>
      </c>
      <c r="G347" s="3" t="s">
        <v>158</v>
      </c>
      <c r="H347" s="3">
        <v>346</v>
      </c>
      <c r="K347" s="14">
        <v>380</v>
      </c>
      <c r="N347" s="3">
        <v>30</v>
      </c>
      <c r="O347" s="3" t="s">
        <v>177</v>
      </c>
      <c r="P347" s="3">
        <v>78</v>
      </c>
      <c r="Q347" s="2" t="s">
        <v>1563</v>
      </c>
      <c r="R347" s="3">
        <v>63</v>
      </c>
      <c r="S347" s="3" t="s">
        <v>2003</v>
      </c>
    </row>
    <row r="348" spans="4:19" ht="31.5" x14ac:dyDescent="0.2">
      <c r="D348" s="3">
        <v>347</v>
      </c>
      <c r="E348" s="18" t="s">
        <v>2825</v>
      </c>
      <c r="F348" s="3">
        <v>347</v>
      </c>
      <c r="G348" s="3" t="s">
        <v>373</v>
      </c>
      <c r="H348" s="3">
        <v>347</v>
      </c>
      <c r="K348" s="14">
        <v>381</v>
      </c>
      <c r="N348" s="3">
        <v>31</v>
      </c>
      <c r="O348" s="3" t="s">
        <v>178</v>
      </c>
      <c r="P348" s="3">
        <v>79</v>
      </c>
      <c r="Q348" s="2" t="s">
        <v>1564</v>
      </c>
      <c r="R348" s="3">
        <v>64</v>
      </c>
      <c r="S348" s="3" t="s">
        <v>2261</v>
      </c>
    </row>
    <row r="349" spans="4:19" ht="63" x14ac:dyDescent="0.2">
      <c r="D349" s="3">
        <v>348</v>
      </c>
      <c r="E349" s="18" t="s">
        <v>2795</v>
      </c>
      <c r="F349" s="3">
        <v>348</v>
      </c>
      <c r="G349" s="8" t="s">
        <v>197</v>
      </c>
      <c r="H349" s="3">
        <v>348</v>
      </c>
      <c r="K349" s="14">
        <v>382</v>
      </c>
      <c r="N349" s="3">
        <v>32</v>
      </c>
      <c r="O349" s="3" t="s">
        <v>179</v>
      </c>
      <c r="P349" s="3">
        <v>80</v>
      </c>
      <c r="Q349" s="2" t="s">
        <v>1565</v>
      </c>
      <c r="R349" s="3">
        <v>65</v>
      </c>
      <c r="S349" s="3" t="s">
        <v>2275</v>
      </c>
    </row>
    <row r="350" spans="4:19" ht="47.25" x14ac:dyDescent="0.2">
      <c r="D350" s="3">
        <v>349</v>
      </c>
      <c r="E350" s="18" t="str">
        <f ca="1">"A local boy is mauled by a wild dog, though the dog was killed, the boy's family is offering $"&amp;RANDBETWEEN(25,75)&amp;" for the party to rid the town of all stray dogs."</f>
        <v>A local boy is mauled by a wild dog, though the dog was killed, the boy's family is offering $43 for the party to rid the town of all stray dogs.</v>
      </c>
      <c r="F350" s="3">
        <v>349</v>
      </c>
      <c r="G350" s="3" t="s">
        <v>151</v>
      </c>
      <c r="H350" s="3">
        <v>349</v>
      </c>
      <c r="K350" s="14">
        <v>383</v>
      </c>
      <c r="N350" s="3">
        <v>33</v>
      </c>
      <c r="O350" s="3" t="s">
        <v>180</v>
      </c>
      <c r="P350" s="3">
        <v>81</v>
      </c>
      <c r="Q350" s="2" t="s">
        <v>1566</v>
      </c>
      <c r="R350" s="3">
        <v>66</v>
      </c>
      <c r="S350" s="3" t="s">
        <v>3006</v>
      </c>
    </row>
    <row r="351" spans="4:19" ht="63" x14ac:dyDescent="0.2">
      <c r="D351" s="3">
        <v>350</v>
      </c>
      <c r="E351" s="18" t="s">
        <v>2826</v>
      </c>
      <c r="F351" s="3">
        <v>350</v>
      </c>
      <c r="G351" s="3" t="s">
        <v>352</v>
      </c>
      <c r="H351" s="3">
        <v>350</v>
      </c>
      <c r="K351" s="14">
        <v>384</v>
      </c>
      <c r="N351" s="3">
        <v>34</v>
      </c>
      <c r="O351" s="3" t="s">
        <v>181</v>
      </c>
      <c r="P351" s="3">
        <v>82</v>
      </c>
      <c r="Q351" s="2" t="s">
        <v>1567</v>
      </c>
      <c r="R351" s="3">
        <v>67</v>
      </c>
      <c r="S351" s="3" t="s">
        <v>2262</v>
      </c>
    </row>
    <row r="352" spans="4:19" ht="48" thickBot="1" x14ac:dyDescent="0.25">
      <c r="D352" s="3">
        <v>351</v>
      </c>
      <c r="E352" s="18" t="s">
        <v>2827</v>
      </c>
      <c r="F352" s="3">
        <v>351</v>
      </c>
      <c r="G352" s="3" t="s">
        <v>413</v>
      </c>
      <c r="H352" s="3">
        <v>351</v>
      </c>
      <c r="K352" s="14">
        <v>385</v>
      </c>
      <c r="N352" s="3">
        <v>35</v>
      </c>
      <c r="O352" s="3" t="s">
        <v>182</v>
      </c>
      <c r="P352" s="3">
        <v>83</v>
      </c>
      <c r="Q352" s="2" t="s">
        <v>1568</v>
      </c>
      <c r="R352" s="3">
        <v>68</v>
      </c>
      <c r="S352" s="19" t="s">
        <v>2263</v>
      </c>
    </row>
    <row r="353" spans="4:19" ht="32.25" thickTop="1" x14ac:dyDescent="0.2">
      <c r="D353" s="3">
        <v>352</v>
      </c>
      <c r="E353" s="18" t="s">
        <v>2822</v>
      </c>
      <c r="F353" s="3">
        <v>352</v>
      </c>
      <c r="G353" s="3" t="str">
        <f ca="1">"Rich Tinhorn Traveler {worth $"&amp;RANDBETWEEN(2000,10000)&amp;".00} who is looking for fellows to travel with."</f>
        <v>Rich Tinhorn Traveler {worth $6294.00} who is looking for fellows to travel with.</v>
      </c>
      <c r="H353" s="3">
        <v>352</v>
      </c>
      <c r="K353" s="14">
        <v>386</v>
      </c>
      <c r="N353" s="3">
        <v>36</v>
      </c>
      <c r="O353" s="3" t="s">
        <v>184</v>
      </c>
      <c r="P353" s="3">
        <v>84</v>
      </c>
      <c r="Q353" s="16" t="s">
        <v>1569</v>
      </c>
      <c r="R353" s="3">
        <v>69</v>
      </c>
      <c r="S353" s="3" t="s">
        <v>2004</v>
      </c>
    </row>
    <row r="354" spans="4:19" ht="31.5" x14ac:dyDescent="0.2">
      <c r="D354" s="3">
        <v>353</v>
      </c>
      <c r="E354" s="18" t="s">
        <v>2802</v>
      </c>
      <c r="F354" s="3">
        <v>353</v>
      </c>
      <c r="G354" s="3" t="s">
        <v>49</v>
      </c>
      <c r="H354" s="3">
        <v>353</v>
      </c>
      <c r="K354" s="14">
        <v>387</v>
      </c>
      <c r="N354" s="3">
        <v>37</v>
      </c>
      <c r="O354" s="3" t="s">
        <v>183</v>
      </c>
      <c r="P354" s="3">
        <v>85</v>
      </c>
      <c r="Q354" s="2" t="s">
        <v>1570</v>
      </c>
      <c r="R354" s="3">
        <v>70</v>
      </c>
      <c r="S354" s="3" t="s">
        <v>2264</v>
      </c>
    </row>
    <row r="355" spans="4:19" ht="47.25" x14ac:dyDescent="0.2">
      <c r="D355" s="3">
        <v>354</v>
      </c>
      <c r="E355" s="18" t="s">
        <v>2954</v>
      </c>
      <c r="F355" s="3">
        <v>354</v>
      </c>
      <c r="G355" s="3" t="s">
        <v>402</v>
      </c>
      <c r="H355" s="3">
        <v>354</v>
      </c>
      <c r="K355" s="14">
        <v>388</v>
      </c>
      <c r="N355" s="3">
        <v>38</v>
      </c>
      <c r="O355" s="3" t="s">
        <v>185</v>
      </c>
      <c r="P355" s="3">
        <v>86</v>
      </c>
      <c r="Q355" s="2" t="s">
        <v>1571</v>
      </c>
      <c r="R355" s="3">
        <v>71</v>
      </c>
      <c r="S355" s="3" t="str">
        <f ca="1">"Isaac Stone, Nightfall till Daybreak, Volume 2, Issue 3, part 1"&amp;VLOOKUP(RANDBETWEEN(1,24),OCCULT,2)</f>
        <v>Isaac Stone, Nightfall till Daybreak, Volume 2, Issue 3, part 1: Character may gain a one time bonus level to their Occult, but must succeed 3 Gut Checks at a -4, failure means they must roll on the Scart Table.</v>
      </c>
    </row>
    <row r="356" spans="4:19" ht="63" x14ac:dyDescent="0.2">
      <c r="D356" s="3">
        <v>355</v>
      </c>
      <c r="E356" s="18" t="s">
        <v>2803</v>
      </c>
      <c r="F356" s="3">
        <v>355</v>
      </c>
      <c r="G356" s="3" t="str">
        <f ca="1">"Several hoof prints lead off to the "&amp;VLOOKUP(RANDBETWEEN(1,8),Compas,2)&amp;"..."</f>
        <v>Several hoof prints lead off to the south...</v>
      </c>
      <c r="H356" s="3">
        <v>355</v>
      </c>
      <c r="K356" s="14">
        <v>389</v>
      </c>
      <c r="N356" s="3">
        <v>39</v>
      </c>
      <c r="O356" s="3" t="s">
        <v>186</v>
      </c>
      <c r="P356" s="3">
        <v>87</v>
      </c>
      <c r="Q356" s="2" t="s">
        <v>1572</v>
      </c>
      <c r="R356" s="3">
        <v>72</v>
      </c>
      <c r="S356" s="3" t="str">
        <f ca="1">"Isaac Stone, Nightfall till Daybreak: Texas Blood Dinero, Volume 2, Issue 3, part 2"&amp;VLOOKUP(RANDBETWEEN(1,24),OCCULT,2)</f>
        <v xml:space="preserve">Isaac Stone, Nightfall till Daybreak: Texas Blood Dinero, Volume 2, Issue 3, part 2 </v>
      </c>
    </row>
    <row r="357" spans="4:19" ht="63" x14ac:dyDescent="0.2">
      <c r="D357" s="3">
        <v>356</v>
      </c>
      <c r="E357" s="18" t="s">
        <v>2794</v>
      </c>
      <c r="F357" s="3">
        <v>356</v>
      </c>
      <c r="G357" s="3" t="s">
        <v>574</v>
      </c>
      <c r="H357" s="3">
        <v>356</v>
      </c>
      <c r="K357" s="14">
        <v>390</v>
      </c>
      <c r="N357" s="3">
        <v>40</v>
      </c>
      <c r="O357" s="3" t="str">
        <f ca="1">"touting a champion boxer: Johnny "&amp;VLOOKUP(RANDBETWEEN(1,83),NAME,2)&amp;"."</f>
        <v>touting a champion boxer: Johnny McGowan.</v>
      </c>
      <c r="P357" s="3">
        <v>88</v>
      </c>
      <c r="Q357" s="2" t="s">
        <v>1573</v>
      </c>
      <c r="R357" s="3">
        <v>73</v>
      </c>
      <c r="S357" s="3" t="str">
        <f ca="1">"Isaac Stone, Nightfall till Daybreak: Hangman's Child, Volume 2, Issue 3, part 3"&amp;VLOOKUP(RANDBETWEEN(1,24),OCCULT,2)</f>
        <v>Isaac Stone, Nightfall till Daybreak: Hangman's Child, Volume 2, Issue 3, part 3: If read the Posse member gains +1 to his/her Occult, but they gain a minor phobia or quirk.</v>
      </c>
    </row>
    <row r="358" spans="4:19" ht="31.5" x14ac:dyDescent="0.2">
      <c r="D358" s="3">
        <v>357</v>
      </c>
      <c r="E358" s="18" t="s">
        <v>2798</v>
      </c>
      <c r="F358" s="3">
        <v>357</v>
      </c>
      <c r="G358" s="3" t="s">
        <v>284</v>
      </c>
      <c r="H358" s="3">
        <v>357</v>
      </c>
      <c r="K358" s="14">
        <v>391</v>
      </c>
      <c r="P358" s="3">
        <v>89</v>
      </c>
      <c r="Q358" s="2" t="str">
        <f ca="1">"the "&amp;VLOOKUP(RANDBETWEEN(52,85),profession,2)&amp;"'s shop"</f>
        <v>the Mason's shop</v>
      </c>
      <c r="R358" s="3">
        <v>74</v>
      </c>
      <c r="S358" s="3" t="s">
        <v>2265</v>
      </c>
    </row>
    <row r="359" spans="4:19" ht="31.5" x14ac:dyDescent="0.2">
      <c r="D359" s="3">
        <v>358</v>
      </c>
      <c r="E359" s="18" t="s">
        <v>2955</v>
      </c>
      <c r="F359" s="3">
        <v>358</v>
      </c>
      <c r="G359" s="3" t="s">
        <v>372</v>
      </c>
      <c r="H359" s="3">
        <v>358</v>
      </c>
      <c r="K359" s="14">
        <v>392</v>
      </c>
      <c r="O359" s="22" t="s">
        <v>928</v>
      </c>
      <c r="P359" s="3">
        <v>90</v>
      </c>
      <c r="Q359" s="2" t="s">
        <v>1574</v>
      </c>
      <c r="R359" s="3">
        <v>75</v>
      </c>
      <c r="S359" s="3" t="s">
        <v>2266</v>
      </c>
    </row>
    <row r="360" spans="4:19" ht="78.75" x14ac:dyDescent="0.2">
      <c r="D360" s="3">
        <v>359</v>
      </c>
      <c r="E360" s="18" t="s">
        <v>2915</v>
      </c>
      <c r="F360" s="3">
        <v>359</v>
      </c>
      <c r="G360" s="3" t="s">
        <v>435</v>
      </c>
      <c r="H360" s="3">
        <v>359</v>
      </c>
      <c r="K360" s="14">
        <v>393</v>
      </c>
      <c r="N360" s="3">
        <v>1</v>
      </c>
      <c r="O360" s="13" t="s">
        <v>1693</v>
      </c>
      <c r="P360" s="3">
        <v>91</v>
      </c>
      <c r="Q360" s="2" t="s">
        <v>1575</v>
      </c>
      <c r="R360" s="3">
        <v>76</v>
      </c>
      <c r="S360" s="3" t="s">
        <v>2267</v>
      </c>
    </row>
    <row r="361" spans="4:19" ht="63" x14ac:dyDescent="0.2">
      <c r="D361" s="3">
        <v>360</v>
      </c>
      <c r="E361" s="18" t="s">
        <v>2909</v>
      </c>
      <c r="F361" s="3">
        <v>360</v>
      </c>
      <c r="G361" s="3" t="str">
        <f ca="1">"Some "&amp;VLOOKUP(RANDBETWEEN(1,30),varmints,2)&amp;"s are following you…"</f>
        <v>Some skunks are following you…</v>
      </c>
      <c r="H361" s="3">
        <v>360</v>
      </c>
      <c r="K361" s="14">
        <v>394</v>
      </c>
      <c r="N361" s="3">
        <v>2</v>
      </c>
      <c r="O361" s="13" t="s">
        <v>1694</v>
      </c>
      <c r="P361" s="3">
        <v>92</v>
      </c>
      <c r="Q361" s="2" t="s">
        <v>1576</v>
      </c>
      <c r="R361" s="3">
        <v>77</v>
      </c>
      <c r="S361" s="3" t="s">
        <v>2268</v>
      </c>
    </row>
    <row r="362" spans="4:19" ht="78.75" x14ac:dyDescent="0.2">
      <c r="D362" s="3">
        <v>361</v>
      </c>
      <c r="E362" s="18" t="s">
        <v>2910</v>
      </c>
      <c r="F362" s="3">
        <v>361</v>
      </c>
      <c r="G362" s="3" t="s">
        <v>573</v>
      </c>
      <c r="H362" s="3">
        <v>361</v>
      </c>
      <c r="K362" s="14">
        <v>395</v>
      </c>
      <c r="N362" s="3">
        <v>3</v>
      </c>
      <c r="O362" s="13" t="s">
        <v>1695</v>
      </c>
      <c r="P362" s="3">
        <v>93</v>
      </c>
      <c r="Q362" s="2" t="s">
        <v>1577</v>
      </c>
      <c r="R362" s="3">
        <v>78</v>
      </c>
      <c r="S362" s="3" t="s">
        <v>2269</v>
      </c>
    </row>
    <row r="363" spans="4:19" ht="31.5" x14ac:dyDescent="0.2">
      <c r="D363" s="3">
        <v>362</v>
      </c>
      <c r="E363" s="18" t="str">
        <f ca="1">"Someone has kidnapped the local cattle baron's daughter, the cattle baron will pay $"&amp;RANDBETWEEN(100,500)&amp;" as reward for her safe return."</f>
        <v>Someone has kidnapped the local cattle baron's daughter, the cattle baron will pay $320 as reward for her safe return.</v>
      </c>
      <c r="F363" s="3">
        <v>362</v>
      </c>
      <c r="G363" s="3" t="s">
        <v>157</v>
      </c>
      <c r="H363" s="3">
        <v>362</v>
      </c>
      <c r="K363" s="14">
        <v>396</v>
      </c>
      <c r="N363" s="3">
        <v>4</v>
      </c>
      <c r="O363" s="13" t="s">
        <v>1696</v>
      </c>
      <c r="P363" s="3">
        <v>94</v>
      </c>
      <c r="Q363" s="2" t="str">
        <f ca="1">"the "&amp;VLOOKUP(RANDBETWEEN(82,92),profession,2)&amp;"'s home"</f>
        <v>the The Mysterious yet Helpful Stranger's home</v>
      </c>
      <c r="R363" s="3">
        <v>79</v>
      </c>
      <c r="S363" s="3" t="s">
        <v>2270</v>
      </c>
    </row>
    <row r="364" spans="4:19" x14ac:dyDescent="0.2">
      <c r="D364" s="3">
        <v>363</v>
      </c>
      <c r="E364" s="18" t="s">
        <v>2911</v>
      </c>
      <c r="F364" s="3">
        <v>363</v>
      </c>
      <c r="G364" s="3" t="str">
        <f ca="1">"Storyteller with a random story about a(n) "&amp;VLOOKUP(RANDBETWEEN(300,1386),creature,2)&amp;"."</f>
        <v>Storyteller with a random story about a(n) Will o’ the Wisp (15).</v>
      </c>
      <c r="H364" s="3">
        <v>363</v>
      </c>
      <c r="K364" s="14">
        <v>397</v>
      </c>
      <c r="N364" s="3">
        <v>5</v>
      </c>
      <c r="O364" s="13" t="s">
        <v>1697</v>
      </c>
      <c r="P364" s="3">
        <v>95</v>
      </c>
      <c r="Q364" s="2" t="str">
        <f ca="1">"the "&amp;VLOOKUP(RANDBETWEEN(1,100),profession,2)&amp;"'s kitchen"</f>
        <v>the Leather Smith's kitchen</v>
      </c>
      <c r="R364" s="3">
        <v>80</v>
      </c>
      <c r="S364" s="3" t="s">
        <v>2271</v>
      </c>
    </row>
    <row r="365" spans="4:19" ht="31.5" x14ac:dyDescent="0.2">
      <c r="D365" s="3">
        <v>364</v>
      </c>
      <c r="E365" s="18" t="s">
        <v>2799</v>
      </c>
      <c r="F365" s="3">
        <v>364</v>
      </c>
      <c r="G365" s="3" t="s">
        <v>585</v>
      </c>
      <c r="H365" s="3">
        <v>364</v>
      </c>
      <c r="K365" s="14">
        <v>398</v>
      </c>
      <c r="N365" s="3">
        <v>6</v>
      </c>
      <c r="O365" s="13" t="s">
        <v>1698</v>
      </c>
      <c r="P365" s="3">
        <v>96</v>
      </c>
      <c r="Q365" s="2" t="s">
        <v>1578</v>
      </c>
      <c r="R365" s="3">
        <v>81</v>
      </c>
      <c r="S365" s="3" t="str">
        <f ca="1">"Isaac Stone's Bodacious Odyssey, Volume 2, Issue 9"&amp;VLOOKUP(RANDBETWEEN(1,24),OCCULT,2)</f>
        <v xml:space="preserve">Isaac Stone's Bodacious Odyssey, Volume 2, Issue 9 </v>
      </c>
    </row>
    <row r="366" spans="4:19" ht="31.5" x14ac:dyDescent="0.2">
      <c r="D366" s="3">
        <v>365</v>
      </c>
      <c r="E366" s="18" t="s">
        <v>2916</v>
      </c>
      <c r="F366" s="3">
        <v>365</v>
      </c>
      <c r="G366" s="3" t="s">
        <v>65</v>
      </c>
      <c r="H366" s="3">
        <v>365</v>
      </c>
      <c r="K366" s="14">
        <v>399</v>
      </c>
      <c r="N366" s="3">
        <v>7</v>
      </c>
      <c r="O366" s="13" t="s">
        <v>1699</v>
      </c>
      <c r="P366" s="3">
        <v>97</v>
      </c>
      <c r="Q366" s="2" t="s">
        <v>1579</v>
      </c>
      <c r="R366" s="3">
        <v>82</v>
      </c>
      <c r="S366" s="3" t="s">
        <v>2272</v>
      </c>
    </row>
    <row r="367" spans="4:19" ht="63.75" thickBot="1" x14ac:dyDescent="0.25">
      <c r="D367" s="3">
        <v>366</v>
      </c>
      <c r="E367" s="18" t="s">
        <v>2796</v>
      </c>
      <c r="F367" s="3">
        <v>366</v>
      </c>
      <c r="G367" s="3" t="s">
        <v>570</v>
      </c>
      <c r="H367" s="3">
        <v>366</v>
      </c>
      <c r="K367" s="14">
        <v>400</v>
      </c>
      <c r="N367" s="3">
        <v>8</v>
      </c>
      <c r="O367" s="13" t="s">
        <v>1700</v>
      </c>
      <c r="P367" s="3">
        <v>98</v>
      </c>
      <c r="Q367" s="2" t="s">
        <v>1580</v>
      </c>
      <c r="R367" s="3">
        <v>83</v>
      </c>
      <c r="S367" s="19" t="s">
        <v>2273</v>
      </c>
    </row>
    <row r="368" spans="4:19" ht="32.25" thickTop="1" x14ac:dyDescent="0.2">
      <c r="D368" s="3">
        <v>367</v>
      </c>
      <c r="E368" s="18" t="s">
        <v>2953</v>
      </c>
      <c r="F368" s="3">
        <v>367</v>
      </c>
      <c r="G368" s="3" t="s">
        <v>73</v>
      </c>
      <c r="H368" s="3">
        <v>367</v>
      </c>
      <c r="K368" s="14">
        <v>401</v>
      </c>
      <c r="N368" s="3">
        <v>9</v>
      </c>
      <c r="O368" s="13" t="s">
        <v>1701</v>
      </c>
      <c r="P368" s="3">
        <v>99</v>
      </c>
      <c r="Q368" s="2" t="s">
        <v>1581</v>
      </c>
      <c r="R368" s="3">
        <v>84</v>
      </c>
      <c r="S368" s="3" t="str">
        <f ca="1">"Isaac Stone, Myth, Mystery or Madman, Volume 3, Issue 1"&amp;VLOOKUP(RANDBETWEEN(1,24),OCCULT,2)</f>
        <v xml:space="preserve">Isaac Stone, Myth, Mystery or Madman, Volume 3, Issue 1 </v>
      </c>
    </row>
    <row r="369" spans="4:19" ht="47.25" x14ac:dyDescent="0.2">
      <c r="D369" s="3">
        <v>368</v>
      </c>
      <c r="E369" s="18" t="s">
        <v>2956</v>
      </c>
      <c r="F369" s="3">
        <v>368</v>
      </c>
      <c r="G369" s="1" t="s">
        <v>101</v>
      </c>
      <c r="H369" s="3">
        <v>368</v>
      </c>
      <c r="K369" s="14">
        <v>402</v>
      </c>
      <c r="N369" s="3">
        <v>10</v>
      </c>
      <c r="O369" s="13" t="s">
        <v>1702</v>
      </c>
      <c r="P369" s="3">
        <v>100</v>
      </c>
      <c r="Q369" s="2" t="s">
        <v>2276</v>
      </c>
      <c r="R369" s="3">
        <v>85</v>
      </c>
      <c r="S369" s="3" t="str">
        <f ca="1">"Isaac Stone Stalks the River Leviathan, Volume 3, Issue 2"&amp;VLOOKUP(RANDBETWEEN(1,24),OCCULT,2)</f>
        <v>Isaac Stone Stalks the River Leviathan, Volume 3, Issue 2: If read the Posse member gains one time +1 bonus to their Occult.</v>
      </c>
    </row>
    <row r="370" spans="4:19" ht="47.25" x14ac:dyDescent="0.2">
      <c r="D370" s="3">
        <v>369</v>
      </c>
      <c r="E370" s="18" t="s">
        <v>2957</v>
      </c>
      <c r="F370" s="3">
        <v>369</v>
      </c>
      <c r="G370" s="3" t="s">
        <v>606</v>
      </c>
      <c r="H370" s="3">
        <v>369</v>
      </c>
      <c r="K370" s="14">
        <v>403</v>
      </c>
      <c r="N370" s="3">
        <v>11</v>
      </c>
      <c r="O370" s="13" t="s">
        <v>1703</v>
      </c>
      <c r="P370" s="3">
        <v>101</v>
      </c>
      <c r="Q370" s="2" t="s">
        <v>1582</v>
      </c>
      <c r="R370" s="3">
        <v>86</v>
      </c>
      <c r="S370" s="3" t="str">
        <f ca="1">"Stoney and the Hunt for the White Wendigo, Volume 3, Issue 3"&amp;VLOOKUP(RANDBETWEEN(1,24),OCCULT,2)</f>
        <v xml:space="preserve">Stoney and the Hunt for the White Wendigo, Volume 3, Issue 3 </v>
      </c>
    </row>
    <row r="371" spans="4:19" ht="63" x14ac:dyDescent="0.2">
      <c r="D371" s="3">
        <v>370</v>
      </c>
      <c r="E371" s="18" t="s">
        <v>2958</v>
      </c>
      <c r="F371" s="3">
        <v>370</v>
      </c>
      <c r="G371" s="3" t="s">
        <v>569</v>
      </c>
      <c r="H371" s="3">
        <v>370</v>
      </c>
      <c r="K371" s="14">
        <v>404</v>
      </c>
      <c r="N371" s="3">
        <v>12</v>
      </c>
      <c r="O371" s="13" t="s">
        <v>1704</v>
      </c>
      <c r="P371" s="3">
        <v>102</v>
      </c>
      <c r="Q371" s="2" t="s">
        <v>1583</v>
      </c>
      <c r="R371" s="3">
        <v>87</v>
      </c>
      <c r="S371" s="3" t="s">
        <v>2005</v>
      </c>
    </row>
    <row r="372" spans="4:19" ht="47.25" x14ac:dyDescent="0.2">
      <c r="D372" s="3">
        <v>371</v>
      </c>
      <c r="E372" s="18" t="s">
        <v>2797</v>
      </c>
      <c r="F372" s="3">
        <v>371</v>
      </c>
      <c r="G372" s="3" t="s">
        <v>442</v>
      </c>
      <c r="H372" s="3">
        <v>371</v>
      </c>
      <c r="K372" s="14">
        <v>405</v>
      </c>
      <c r="N372" s="3">
        <v>13</v>
      </c>
      <c r="O372" s="13" t="s">
        <v>1705</v>
      </c>
      <c r="P372" s="3">
        <v>103</v>
      </c>
      <c r="Q372" s="2" t="s">
        <v>1584</v>
      </c>
      <c r="R372" s="3">
        <v>88</v>
      </c>
      <c r="S372" s="3" t="s">
        <v>2006</v>
      </c>
    </row>
    <row r="373" spans="4:19" ht="94.5" x14ac:dyDescent="0.2">
      <c r="D373" s="3">
        <v>372</v>
      </c>
      <c r="E373" s="18" t="str">
        <f ca="1">"While in a saloon the Posse herea a rumor that a mine about two days ride from where they are is looking for spelunkers to explore newly discovered caverns. The pay is very good at $"&amp;RANDBETWEEN(15,60)&amp;" a day but few are interested because it is said that almost all of the previous spelunkers have dissappeared under rather frightening cercumstances."</f>
        <v>While in a saloon the Posse herea a rumor that a mine about two days ride from where they are is looking for spelunkers to explore newly discovered caverns. The pay is very good at $51 a day but few are interested because it is said that almost all of the previous spelunkers have dissappeared under rather frightening cercumstances.</v>
      </c>
      <c r="F373" s="3">
        <v>372</v>
      </c>
      <c r="G373" s="3" t="s">
        <v>602</v>
      </c>
      <c r="H373" s="3">
        <v>372</v>
      </c>
      <c r="K373" s="14">
        <v>406</v>
      </c>
      <c r="N373" s="3">
        <v>14</v>
      </c>
      <c r="O373" s="13" t="s">
        <v>1706</v>
      </c>
      <c r="P373" s="3">
        <v>104</v>
      </c>
      <c r="Q373" s="2" t="s">
        <v>1585</v>
      </c>
      <c r="R373" s="3">
        <v>89</v>
      </c>
      <c r="S373" s="3" t="str">
        <f ca="1">"Isaac Stone and the Night Haunts, Volume 3, Issue 6"&amp;VLOOKUP(RANDBETWEEN(1,24),OCCULT,2)</f>
        <v xml:space="preserve">Isaac Stone and the Night Haunts, Volume 3, Issue 6 </v>
      </c>
    </row>
    <row r="374" spans="4:19" ht="47.25" x14ac:dyDescent="0.2">
      <c r="D374" s="3">
        <v>373</v>
      </c>
      <c r="E374" s="18" t="s">
        <v>2960</v>
      </c>
      <c r="F374" s="3">
        <v>373</v>
      </c>
      <c r="G374" s="3" t="str">
        <f ca="1">"The "&amp;VLOOKUP(RANDBETWEEN(1,83),NAME,2)&amp;"Boys."</f>
        <v>The McDanielBoys.</v>
      </c>
      <c r="H374" s="3">
        <v>373</v>
      </c>
      <c r="K374" s="14">
        <v>407</v>
      </c>
      <c r="N374" s="3">
        <v>15</v>
      </c>
      <c r="O374" s="13" t="s">
        <v>1707</v>
      </c>
      <c r="P374" s="3">
        <v>105</v>
      </c>
      <c r="Q374" s="2" t="s">
        <v>1586</v>
      </c>
      <c r="R374" s="3">
        <v>90</v>
      </c>
      <c r="S374" s="3" t="str">
        <f ca="1">"Isaac Stone and The Mojave Rattler, Volume 3, Issue 7"&amp;VLOOKUP(RANDBETWEEN(1,24),OCCULT,2)</f>
        <v>Isaac Stone and The Mojave Rattler, Volume 3, Issue 7: If read the Posse member gains a +1 bonus to a skill related to the book's theme, however they gain a minor phobia or quirk.</v>
      </c>
    </row>
    <row r="375" spans="4:19" ht="63" x14ac:dyDescent="0.2">
      <c r="D375" s="3">
        <v>374</v>
      </c>
      <c r="E375" s="18" t="str">
        <f ca="1">VLOOKUP(RANDBETWEEN(179,233),NAME,2)&amp;" "&amp;VLOOKUP(RANDBETWEEN(1,178),NAME,2)&amp;", a wealthy and powerful man about town was seen strolling through the park with a pair of young women, but in the morning the women's bodies were found dead.  He was arrested, and is offering $"&amp;RANDBETWEEN(2,10)*100&amp;" to anyone who can prove his innocence."</f>
        <v>Rayburn McKay, a wealthy and powerful man about town was seen strolling through the park with a pair of young women, but in the morning the women's bodies were found dead.  He was arrested, and is offering $900 to anyone who can prove his innocence.</v>
      </c>
      <c r="F375" s="3">
        <v>374</v>
      </c>
      <c r="G375" s="3" t="s">
        <v>581</v>
      </c>
      <c r="H375" s="3">
        <v>374</v>
      </c>
      <c r="K375" s="14">
        <v>408</v>
      </c>
      <c r="N375" s="3">
        <v>16</v>
      </c>
      <c r="O375" s="13" t="s">
        <v>1708</v>
      </c>
      <c r="P375" s="3">
        <v>106</v>
      </c>
      <c r="Q375" s="2" t="s">
        <v>1587</v>
      </c>
      <c r="R375" s="3">
        <v>91</v>
      </c>
      <c r="S375" s="3" t="str">
        <f ca="1">"Isaac Stone and the Walking Dead, Volume 3, Issue 8, Part 1"&amp;VLOOKUP(RANDBETWEEN(1,24),OCCULT,2)</f>
        <v xml:space="preserve">Isaac Stone and the Walking Dead, Volume 3, Issue 8, Part 1 </v>
      </c>
    </row>
    <row r="376" spans="4:19" ht="47.25" x14ac:dyDescent="0.2">
      <c r="D376" s="3">
        <v>375</v>
      </c>
      <c r="E376" s="18" t="str">
        <f ca="1">"Wealthy merchants are being killed in their homes, the local merchants remaining have banned together to create a  $"&amp;RANDBETWEEN(10,20)*100&amp;" reward for finding and bringing the murderer(s) to swift justice."</f>
        <v>Wealthy merchants are being killed in their homes, the local merchants remaining have banned together to create a  $1800 reward for finding and bringing the murderer(s) to swift justice.</v>
      </c>
      <c r="F376" s="3">
        <v>375</v>
      </c>
      <c r="G376" s="2" t="s">
        <v>83</v>
      </c>
      <c r="H376" s="3">
        <v>375</v>
      </c>
      <c r="K376" s="14">
        <v>409</v>
      </c>
      <c r="N376" s="3">
        <v>17</v>
      </c>
      <c r="O376" s="13" t="s">
        <v>1709</v>
      </c>
      <c r="P376" s="3">
        <v>107</v>
      </c>
      <c r="Q376" s="2" t="s">
        <v>1588</v>
      </c>
      <c r="R376" s="3">
        <v>92</v>
      </c>
      <c r="S376" s="3" t="str">
        <f ca="1">"Isaac Stone and the Walking Dead: Dead by Daybreak, Volume 3, Issue 8, part 2"&amp;VLOOKUP(RANDBETWEEN(1,24),OCCULT,2)</f>
        <v xml:space="preserve">Isaac Stone and the Walking Dead: Dead by Daybreak, Volume 3, Issue 8, part 2 </v>
      </c>
    </row>
    <row r="377" spans="4:19" ht="78.75" x14ac:dyDescent="0.2">
      <c r="D377" s="3">
        <v>376</v>
      </c>
      <c r="E377" s="18" t="s">
        <v>2961</v>
      </c>
      <c r="F377" s="3">
        <v>376</v>
      </c>
      <c r="G377" s="3" t="s">
        <v>306</v>
      </c>
      <c r="H377" s="3">
        <v>376</v>
      </c>
      <c r="K377" s="14">
        <v>410</v>
      </c>
      <c r="N377" s="3">
        <v>18</v>
      </c>
      <c r="O377" s="13" t="s">
        <v>1710</v>
      </c>
      <c r="P377" s="3">
        <v>108</v>
      </c>
      <c r="Q377" s="2" t="s">
        <v>1589</v>
      </c>
      <c r="R377" s="3">
        <v>93</v>
      </c>
      <c r="S377" s="3" t="str">
        <f ca="1">"Isaac Stone and the Militia of Darkness, Volume 3, Issue 8, part 3"&amp;VLOOKUP(RANDBETWEEN(1,24),OCCULT,2)</f>
        <v>Isaac Stone and the Militia of Darkness, Volume 3, Issue 8, part 3: If read the Posse member gains one time +1 bonus to their Occult.</v>
      </c>
    </row>
    <row r="378" spans="4:19" ht="78.75" x14ac:dyDescent="0.2">
      <c r="D378" s="3">
        <v>377</v>
      </c>
      <c r="E378" s="18" t="s">
        <v>3007</v>
      </c>
      <c r="F378" s="3">
        <v>377</v>
      </c>
      <c r="G378" s="8" t="str">
        <f ca="1">"The Posse encounters "&amp;RANDBETWEEN(1,5)&amp;"poacher(s) who want to relate to the Posse and share glory stories."</f>
        <v>The Posse encounters 1poacher(s) who want to relate to the Posse and share glory stories.</v>
      </c>
      <c r="H378" s="3">
        <v>377</v>
      </c>
      <c r="K378" s="14">
        <v>411</v>
      </c>
      <c r="N378" s="3">
        <v>19</v>
      </c>
      <c r="O378" s="13" t="s">
        <v>1711</v>
      </c>
      <c r="R378" s="3">
        <v>94</v>
      </c>
      <c r="S378" s="3" t="s">
        <v>3008</v>
      </c>
    </row>
    <row r="379" spans="4:19" ht="78.75" x14ac:dyDescent="0.2">
      <c r="D379" s="3">
        <v>378</v>
      </c>
      <c r="E379" s="18" t="s">
        <v>2959</v>
      </c>
      <c r="F379" s="3">
        <v>378</v>
      </c>
      <c r="G379" s="8" t="s">
        <v>203</v>
      </c>
      <c r="H379" s="3">
        <v>378</v>
      </c>
      <c r="K379" s="14">
        <v>412</v>
      </c>
      <c r="N379" s="3">
        <v>20</v>
      </c>
      <c r="O379" s="13" t="s">
        <v>1712</v>
      </c>
      <c r="R379" s="3">
        <v>95</v>
      </c>
      <c r="S379" s="3" t="str">
        <f ca="1">"Isaac Stone Rides the Ghost Train, Volume 3, Issue 10"&amp;VLOOKUP(RANDBETWEEN(1,24),OCCULT,2)</f>
        <v>Isaac Stone Rides the Ghost Train, Volume 3, Issue 10: Character may gain a one time bonus level to their Occult, but must succeed 3 Gut Checks at a -4, failure means they must roll on the Scart Table.</v>
      </c>
    </row>
    <row r="380" spans="4:19" ht="78.75" x14ac:dyDescent="0.2">
      <c r="D380" s="3">
        <v>379</v>
      </c>
      <c r="E380" s="18" t="str">
        <f ca="1">"A local saloon owner, tired of having to pay fines to the city for having fights in his bar, has hired the Posse as bouncers. They are paid $"&amp;RANDBETWEEN(5,10)*10&amp;" a week and are given free meals as long as they work there. While breaking up fights they have made enemies with the local street gang and now the are in serious danger."</f>
        <v>A local saloon owner, tired of having to pay fines to the city for having fights in his bar, has hired the Posse as bouncers. They are paid $70 a week and are given free meals as long as they work there. While breaking up fights they have made enemies with the local street gang and now the are in serious danger.</v>
      </c>
      <c r="F380" s="3">
        <v>379</v>
      </c>
      <c r="G380" s="8" t="str">
        <f ca="1">"The Posse fall into a trap with "&amp;RANDBETWEEN(2,5)&amp;"hostile injuns and are forced to put differences aside to help each other."</f>
        <v>The Posse fall into a trap with 4hostile injuns and are forced to put differences aside to help each other.</v>
      </c>
      <c r="H380" s="3">
        <v>379</v>
      </c>
      <c r="K380" s="14">
        <v>413</v>
      </c>
      <c r="N380" s="3">
        <v>21</v>
      </c>
      <c r="O380" s="13" t="s">
        <v>1713</v>
      </c>
      <c r="Q380" s="21" t="s">
        <v>1590</v>
      </c>
      <c r="R380" s="3">
        <v>96</v>
      </c>
      <c r="S380" s="3" t="s">
        <v>2007</v>
      </c>
    </row>
    <row r="381" spans="4:19" ht="78.75" x14ac:dyDescent="0.2">
      <c r="D381" s="3">
        <v>380</v>
      </c>
      <c r="E381" s="3" t="str">
        <f ca="1">VLOOKUP(RANDBETWEEN(1,264),NPCS,2)</f>
        <v>A rancher planning a crime.</v>
      </c>
      <c r="F381" s="3">
        <v>380</v>
      </c>
      <c r="G381" s="3" t="str">
        <f ca="1">"The Posse finds a half charred wagon and some bleached bones, if they search it through they find $"&amp;RANDBETWEEN(2,12)&amp;".00, should they investigate further they will find the wagon must have been burned ages ago and it would be impossible to find out who it was, but one could always assume..."</f>
        <v>The Posse finds a half charred wagon and some bleached bones, if they search it through they find $11.00, should they investigate further they will find the wagon must have been burned ages ago and it would be impossible to find out who it was, but one could always assume...</v>
      </c>
      <c r="H381" s="3">
        <v>380</v>
      </c>
      <c r="K381" s="14">
        <v>414</v>
      </c>
      <c r="N381" s="3">
        <v>22</v>
      </c>
      <c r="O381" s="13" t="s">
        <v>1714</v>
      </c>
      <c r="P381" s="3">
        <v>1</v>
      </c>
      <c r="Q381" s="2" t="s">
        <v>1591</v>
      </c>
      <c r="R381" s="3">
        <v>97</v>
      </c>
      <c r="S381" s="3" t="str">
        <f ca="1">"Isaac Stone Hunts the Chupa-Thingie, Volume 3, Issue 12"&amp;VLOOKUP(RANDBETWEEN(1,24),OCCULT,2)</f>
        <v xml:space="preserve">Isaac Stone Hunts the Chupa-Thingie, Volume 3, Issue 12 </v>
      </c>
    </row>
    <row r="382" spans="4:19" ht="63" x14ac:dyDescent="0.2">
      <c r="D382" s="3">
        <v>381</v>
      </c>
      <c r="F382" s="3">
        <v>381</v>
      </c>
      <c r="G382" s="2" t="s">
        <v>253</v>
      </c>
      <c r="H382" s="3">
        <v>381</v>
      </c>
      <c r="K382" s="14">
        <v>415</v>
      </c>
      <c r="N382" s="3">
        <v>23</v>
      </c>
      <c r="O382" s="13" t="s">
        <v>1715</v>
      </c>
      <c r="P382" s="3">
        <v>2</v>
      </c>
      <c r="Q382" s="2" t="s">
        <v>1592</v>
      </c>
      <c r="R382" s="3">
        <v>98</v>
      </c>
      <c r="S382" s="3" t="s">
        <v>2008</v>
      </c>
    </row>
    <row r="383" spans="4:19" ht="63" x14ac:dyDescent="0.2">
      <c r="D383" s="3">
        <v>382</v>
      </c>
      <c r="F383" s="3">
        <v>382</v>
      </c>
      <c r="G383" s="8" t="s">
        <v>199</v>
      </c>
      <c r="H383" s="3">
        <v>382</v>
      </c>
      <c r="K383" s="14">
        <v>416</v>
      </c>
      <c r="N383" s="3">
        <v>24</v>
      </c>
      <c r="O383" s="13" t="s">
        <v>1716</v>
      </c>
      <c r="P383" s="3">
        <v>3</v>
      </c>
      <c r="Q383" s="2" t="s">
        <v>1593</v>
      </c>
      <c r="R383" s="3">
        <v>99</v>
      </c>
      <c r="S383" s="3" t="s">
        <v>2009</v>
      </c>
    </row>
    <row r="384" spans="4:19" ht="48" thickBot="1" x14ac:dyDescent="0.25">
      <c r="D384" s="3">
        <v>383</v>
      </c>
      <c r="F384" s="3">
        <v>383</v>
      </c>
      <c r="G384" s="3" t="s">
        <v>141</v>
      </c>
      <c r="H384" s="3">
        <v>383</v>
      </c>
      <c r="K384" s="14">
        <v>417</v>
      </c>
      <c r="N384" s="3">
        <v>25</v>
      </c>
      <c r="O384" s="13" t="s">
        <v>1717</v>
      </c>
      <c r="P384" s="3">
        <v>4</v>
      </c>
      <c r="Q384" s="2" t="s">
        <v>1594</v>
      </c>
      <c r="R384" s="3">
        <v>100</v>
      </c>
      <c r="S384" s="19" t="str">
        <f ca="1">"Isaac Stone and the Great Maze Dragon, Volume 3, Issue 13 part 4"&amp;VLOOKUP(RANDBETWEEN(1,24),OCCULT,2)</f>
        <v xml:space="preserve">Isaac Stone and the Great Maze Dragon, Volume 3, Issue 13 part 4 </v>
      </c>
    </row>
    <row r="385" spans="4:19" ht="63.75" thickTop="1" x14ac:dyDescent="0.2">
      <c r="D385" s="3">
        <v>384</v>
      </c>
      <c r="F385" s="3">
        <v>384</v>
      </c>
      <c r="G385" s="1" t="s">
        <v>81</v>
      </c>
      <c r="H385" s="3">
        <v>384</v>
      </c>
      <c r="K385" s="14">
        <v>418</v>
      </c>
      <c r="N385" s="3">
        <v>26</v>
      </c>
      <c r="O385" s="13" t="s">
        <v>1718</v>
      </c>
      <c r="P385" s="3">
        <v>5</v>
      </c>
      <c r="Q385" s="2" t="s">
        <v>1489</v>
      </c>
    </row>
    <row r="386" spans="4:19" x14ac:dyDescent="0.2">
      <c r="D386" s="3">
        <v>385</v>
      </c>
      <c r="F386" s="3">
        <v>385</v>
      </c>
      <c r="G386" s="1" t="s">
        <v>3009</v>
      </c>
      <c r="H386" s="3">
        <v>385</v>
      </c>
      <c r="K386" s="14">
        <v>419</v>
      </c>
      <c r="N386" s="3">
        <v>27</v>
      </c>
      <c r="O386" s="13" t="s">
        <v>1719</v>
      </c>
      <c r="P386" s="3">
        <v>6</v>
      </c>
      <c r="Q386" s="2" t="s">
        <v>1595</v>
      </c>
      <c r="S386" s="22" t="s">
        <v>2081</v>
      </c>
    </row>
    <row r="387" spans="4:19" ht="47.25" x14ac:dyDescent="0.2">
      <c r="D387" s="3">
        <v>386</v>
      </c>
      <c r="F387" s="3">
        <v>386</v>
      </c>
      <c r="G387" s="3" t="s">
        <v>615</v>
      </c>
      <c r="H387" s="3">
        <v>386</v>
      </c>
      <c r="K387" s="14">
        <v>420</v>
      </c>
      <c r="N387" s="3">
        <v>28</v>
      </c>
      <c r="O387" s="13" t="s">
        <v>1720</v>
      </c>
      <c r="P387" s="3">
        <v>7</v>
      </c>
      <c r="Q387" s="2" t="s">
        <v>1596</v>
      </c>
      <c r="R387" s="3">
        <v>1</v>
      </c>
      <c r="S387" s="3" t="s">
        <v>1188</v>
      </c>
    </row>
    <row r="388" spans="4:19" ht="47.25" x14ac:dyDescent="0.2">
      <c r="D388" s="3">
        <v>387</v>
      </c>
      <c r="F388" s="3">
        <v>387</v>
      </c>
      <c r="G388" s="3" t="s">
        <v>59</v>
      </c>
      <c r="H388" s="3">
        <v>387</v>
      </c>
      <c r="K388" s="14">
        <v>421</v>
      </c>
      <c r="N388" s="3">
        <v>29</v>
      </c>
      <c r="O388" s="13" t="s">
        <v>1721</v>
      </c>
      <c r="P388" s="3">
        <v>8</v>
      </c>
      <c r="Q388" s="2" t="s">
        <v>1597</v>
      </c>
      <c r="R388" s="7">
        <v>2</v>
      </c>
      <c r="S388" s="3" t="s">
        <v>1189</v>
      </c>
    </row>
    <row r="389" spans="4:19" x14ac:dyDescent="0.2">
      <c r="D389" s="3">
        <v>388</v>
      </c>
      <c r="F389" s="3">
        <v>388</v>
      </c>
      <c r="G389" s="3" t="s">
        <v>351</v>
      </c>
      <c r="H389" s="3">
        <v>388</v>
      </c>
      <c r="K389" s="14">
        <v>422</v>
      </c>
      <c r="N389" s="3">
        <v>30</v>
      </c>
      <c r="O389" s="13" t="s">
        <v>1722</v>
      </c>
      <c r="P389" s="3">
        <v>9</v>
      </c>
      <c r="Q389" s="2" t="s">
        <v>1598</v>
      </c>
      <c r="R389" s="3">
        <v>3</v>
      </c>
      <c r="S389" s="3" t="s">
        <v>2076</v>
      </c>
    </row>
    <row r="390" spans="4:19" x14ac:dyDescent="0.2">
      <c r="D390" s="3">
        <v>389</v>
      </c>
      <c r="F390" s="3">
        <v>389</v>
      </c>
      <c r="G390" s="3" t="s">
        <v>282</v>
      </c>
      <c r="H390" s="3">
        <v>389</v>
      </c>
      <c r="K390" s="14">
        <v>423</v>
      </c>
      <c r="N390" s="3">
        <v>31</v>
      </c>
      <c r="O390" s="13" t="s">
        <v>1723</v>
      </c>
      <c r="P390" s="3">
        <v>10</v>
      </c>
      <c r="Q390" s="2" t="s">
        <v>1599</v>
      </c>
      <c r="R390" s="7">
        <v>4</v>
      </c>
      <c r="S390" s="3" t="s">
        <v>1190</v>
      </c>
    </row>
    <row r="391" spans="4:19" ht="31.5" x14ac:dyDescent="0.2">
      <c r="D391" s="3">
        <v>390</v>
      </c>
      <c r="F391" s="3">
        <v>390</v>
      </c>
      <c r="G391" s="3" t="s">
        <v>304</v>
      </c>
      <c r="H391" s="3">
        <v>390</v>
      </c>
      <c r="K391" s="14">
        <v>424</v>
      </c>
      <c r="N391" s="3">
        <v>32</v>
      </c>
      <c r="O391" s="13" t="s">
        <v>1724</v>
      </c>
      <c r="P391" s="3">
        <v>11</v>
      </c>
      <c r="Q391" s="2" t="s">
        <v>1600</v>
      </c>
      <c r="R391" s="3">
        <v>5</v>
      </c>
      <c r="S391" s="3" t="s">
        <v>1191</v>
      </c>
    </row>
    <row r="392" spans="4:19" x14ac:dyDescent="0.2">
      <c r="D392" s="3">
        <v>391</v>
      </c>
      <c r="F392" s="3">
        <v>391</v>
      </c>
      <c r="G392" s="3" t="s">
        <v>13</v>
      </c>
      <c r="H392" s="3">
        <v>391</v>
      </c>
      <c r="K392" s="14">
        <v>425</v>
      </c>
      <c r="N392" s="3">
        <v>33</v>
      </c>
      <c r="O392" s="13" t="s">
        <v>1725</v>
      </c>
      <c r="P392" s="3">
        <v>12</v>
      </c>
      <c r="Q392" s="2" t="s">
        <v>1601</v>
      </c>
      <c r="R392" s="7">
        <v>6</v>
      </c>
      <c r="S392" s="3" t="s">
        <v>1194</v>
      </c>
    </row>
    <row r="393" spans="4:19" ht="31.5" x14ac:dyDescent="0.2">
      <c r="D393" s="3">
        <v>392</v>
      </c>
      <c r="F393" s="3">
        <v>392</v>
      </c>
      <c r="G393" s="3" t="s">
        <v>596</v>
      </c>
      <c r="H393" s="3">
        <v>392</v>
      </c>
      <c r="K393" s="14">
        <v>426</v>
      </c>
      <c r="N393" s="3">
        <v>34</v>
      </c>
      <c r="O393" s="13" t="s">
        <v>1726</v>
      </c>
      <c r="P393" s="3">
        <v>13</v>
      </c>
      <c r="Q393" s="2" t="s">
        <v>1602</v>
      </c>
      <c r="R393" s="3">
        <v>7</v>
      </c>
      <c r="S393" s="3" t="s">
        <v>2080</v>
      </c>
    </row>
    <row r="394" spans="4:19" ht="63" x14ac:dyDescent="0.2">
      <c r="D394" s="3">
        <v>393</v>
      </c>
      <c r="F394" s="3">
        <v>393</v>
      </c>
      <c r="G394" s="3" t="s">
        <v>601</v>
      </c>
      <c r="H394" s="3">
        <v>393</v>
      </c>
      <c r="K394" s="14">
        <v>427</v>
      </c>
      <c r="N394" s="3">
        <v>35</v>
      </c>
      <c r="O394" s="13" t="s">
        <v>1727</v>
      </c>
      <c r="P394" s="3">
        <v>14</v>
      </c>
      <c r="Q394" s="2" t="s">
        <v>1603</v>
      </c>
      <c r="R394" s="7">
        <v>8</v>
      </c>
      <c r="S394" s="3" t="s">
        <v>1198</v>
      </c>
    </row>
    <row r="395" spans="4:19" ht="31.5" x14ac:dyDescent="0.2">
      <c r="D395" s="3">
        <v>394</v>
      </c>
      <c r="F395" s="3">
        <v>394</v>
      </c>
      <c r="G395" s="3" t="s">
        <v>587</v>
      </c>
      <c r="H395" s="3">
        <v>394</v>
      </c>
      <c r="K395" s="14">
        <v>428</v>
      </c>
      <c r="N395" s="3">
        <v>36</v>
      </c>
      <c r="O395" s="13" t="s">
        <v>1728</v>
      </c>
      <c r="P395" s="3">
        <v>15</v>
      </c>
      <c r="Q395" s="2" t="s">
        <v>1604</v>
      </c>
      <c r="R395" s="3">
        <v>9</v>
      </c>
      <c r="S395" s="3" t="s">
        <v>1204</v>
      </c>
    </row>
    <row r="396" spans="4:19" ht="63" x14ac:dyDescent="0.2">
      <c r="D396" s="3">
        <v>395</v>
      </c>
      <c r="F396" s="3">
        <v>395</v>
      </c>
      <c r="G396" s="3" t="s">
        <v>604</v>
      </c>
      <c r="H396" s="3">
        <v>395</v>
      </c>
      <c r="K396" s="14">
        <v>429</v>
      </c>
      <c r="N396" s="3">
        <v>37</v>
      </c>
      <c r="O396" s="13" t="s">
        <v>1729</v>
      </c>
      <c r="P396" s="3">
        <v>16</v>
      </c>
      <c r="Q396" s="2" t="s">
        <v>1495</v>
      </c>
      <c r="R396" s="7">
        <v>10</v>
      </c>
      <c r="S396" s="3" t="s">
        <v>2078</v>
      </c>
    </row>
    <row r="397" spans="4:19" ht="47.25" x14ac:dyDescent="0.2">
      <c r="D397" s="3">
        <v>396</v>
      </c>
      <c r="F397" s="3">
        <v>396</v>
      </c>
      <c r="G397" s="3" t="s">
        <v>580</v>
      </c>
      <c r="H397" s="3">
        <v>396</v>
      </c>
      <c r="K397" s="14">
        <v>430</v>
      </c>
      <c r="N397" s="3">
        <v>38</v>
      </c>
      <c r="O397" s="13" t="s">
        <v>1730</v>
      </c>
      <c r="P397" s="3">
        <v>17</v>
      </c>
      <c r="Q397" s="2" t="s">
        <v>1605</v>
      </c>
      <c r="R397" s="3">
        <v>11</v>
      </c>
      <c r="S397" s="3" t="s">
        <v>1203</v>
      </c>
    </row>
    <row r="398" spans="4:19" ht="31.5" x14ac:dyDescent="0.2">
      <c r="D398" s="3">
        <v>397</v>
      </c>
      <c r="F398" s="3">
        <v>397</v>
      </c>
      <c r="G398" s="3" t="s">
        <v>621</v>
      </c>
      <c r="H398" s="3">
        <v>397</v>
      </c>
      <c r="K398" s="14">
        <v>431</v>
      </c>
      <c r="N398" s="3">
        <v>39</v>
      </c>
      <c r="O398" s="13" t="s">
        <v>1731</v>
      </c>
      <c r="P398" s="3">
        <v>18</v>
      </c>
      <c r="Q398" s="2" t="s">
        <v>1606</v>
      </c>
      <c r="R398" s="7">
        <v>12</v>
      </c>
      <c r="S398" s="3" t="s">
        <v>2079</v>
      </c>
    </row>
    <row r="399" spans="4:19" ht="31.5" x14ac:dyDescent="0.2">
      <c r="D399" s="3">
        <v>398</v>
      </c>
      <c r="F399" s="3">
        <v>398</v>
      </c>
      <c r="G399" s="3" t="s">
        <v>754</v>
      </c>
      <c r="H399" s="3">
        <v>398</v>
      </c>
      <c r="K399" s="14">
        <v>432</v>
      </c>
      <c r="N399" s="3">
        <v>40</v>
      </c>
      <c r="O399" s="13" t="s">
        <v>1732</v>
      </c>
      <c r="P399" s="3">
        <v>19</v>
      </c>
      <c r="Q399" s="2" t="s">
        <v>1607</v>
      </c>
      <c r="R399" s="3">
        <v>13</v>
      </c>
      <c r="S399" s="3" t="s">
        <v>1199</v>
      </c>
    </row>
    <row r="400" spans="4:19" x14ac:dyDescent="0.2">
      <c r="D400" s="3">
        <v>399</v>
      </c>
      <c r="F400" s="3">
        <v>399</v>
      </c>
      <c r="G400" s="3" t="str">
        <f ca="1">"Thunder rumbles off to the "&amp;VLOOKUP(RANDBETWEEN(1,4),Compas,2)&amp;"."</f>
        <v>Thunder rumbles off to the north.</v>
      </c>
      <c r="H400" s="3">
        <v>399</v>
      </c>
      <c r="K400" s="14">
        <v>433</v>
      </c>
      <c r="N400" s="3">
        <v>41</v>
      </c>
      <c r="O400" s="13" t="s">
        <v>1733</v>
      </c>
      <c r="P400" s="3">
        <v>20</v>
      </c>
      <c r="Q400" s="2" t="s">
        <v>1500</v>
      </c>
      <c r="R400" s="7">
        <v>14</v>
      </c>
      <c r="S400" s="3" t="s">
        <v>2077</v>
      </c>
    </row>
    <row r="401" spans="4:19" ht="31.5" x14ac:dyDescent="0.2">
      <c r="D401" s="3">
        <v>400</v>
      </c>
      <c r="F401" s="3">
        <v>400</v>
      </c>
      <c r="G401" s="3" t="str">
        <f ca="1">"To the "&amp;VLOOKUP(RANDBETWEEN(1,8),Compas,2)&amp;" a lake gleams in the sun…  Something stirs below the water's surface!"</f>
        <v>To the west a lake gleams in the sun…  Something stirs below the water's surface!</v>
      </c>
      <c r="H401" s="3">
        <v>400</v>
      </c>
      <c r="K401" s="14">
        <v>434</v>
      </c>
      <c r="N401" s="3">
        <v>42</v>
      </c>
      <c r="O401" s="13" t="s">
        <v>1734</v>
      </c>
      <c r="P401" s="3">
        <v>21</v>
      </c>
      <c r="Q401" s="2" t="s">
        <v>1608</v>
      </c>
      <c r="R401" s="3">
        <v>15</v>
      </c>
      <c r="S401" s="3" t="s">
        <v>1193</v>
      </c>
    </row>
    <row r="402" spans="4:19" ht="31.5" x14ac:dyDescent="0.2">
      <c r="D402" s="3">
        <v>401</v>
      </c>
      <c r="F402" s="3">
        <v>401</v>
      </c>
      <c r="G402" s="3" t="str">
        <f ca="1">"To the "&amp;VLOOKUP(RANDBETWEEN(1,8),Compas,2)&amp;" a bog can be seen.  There are "&amp;RANDBETWEEN(5,50)&amp;"Will o'the Whisps dancing around it…"</f>
        <v>To the south a bog can be seen.  There are 16Will o'the Whisps dancing around it…</v>
      </c>
      <c r="H402" s="3">
        <v>401</v>
      </c>
      <c r="K402" s="14">
        <v>435</v>
      </c>
      <c r="N402" s="3">
        <v>43</v>
      </c>
      <c r="O402" s="13" t="s">
        <v>1735</v>
      </c>
      <c r="P402" s="3">
        <v>22</v>
      </c>
      <c r="Q402" s="2" t="s">
        <v>1609</v>
      </c>
      <c r="R402" s="7">
        <v>16</v>
      </c>
      <c r="S402" s="3" t="s">
        <v>2075</v>
      </c>
    </row>
    <row r="403" spans="4:19" x14ac:dyDescent="0.2">
      <c r="D403" s="3">
        <v>402</v>
      </c>
      <c r="F403" s="3">
        <v>402</v>
      </c>
      <c r="G403" s="3" t="str">
        <f ca="1">"To the "&amp;VLOOKUP(RANDBETWEEN(1,8),Compas,2)&amp;" stands a grove of birch trees."</f>
        <v>To the north west stands a grove of birch trees.</v>
      </c>
      <c r="H403" s="3">
        <v>402</v>
      </c>
      <c r="K403" s="14">
        <v>436</v>
      </c>
      <c r="N403" s="3">
        <v>44</v>
      </c>
      <c r="O403" s="13" t="s">
        <v>1736</v>
      </c>
      <c r="P403" s="3">
        <v>23</v>
      </c>
      <c r="Q403" s="2" t="s">
        <v>1501</v>
      </c>
      <c r="R403" s="3">
        <v>17</v>
      </c>
      <c r="S403" s="3" t="s">
        <v>1196</v>
      </c>
    </row>
    <row r="404" spans="4:19" x14ac:dyDescent="0.2">
      <c r="D404" s="3">
        <v>403</v>
      </c>
      <c r="F404" s="3">
        <v>403</v>
      </c>
      <c r="G404" s="3" t="s">
        <v>11</v>
      </c>
      <c r="H404" s="3">
        <v>403</v>
      </c>
      <c r="K404" s="14">
        <v>437</v>
      </c>
      <c r="N404" s="3">
        <v>45</v>
      </c>
      <c r="O404" s="13" t="s">
        <v>1737</v>
      </c>
      <c r="P404" s="3">
        <v>24</v>
      </c>
      <c r="Q404" s="2" t="s">
        <v>1610</v>
      </c>
      <c r="R404" s="7">
        <v>18</v>
      </c>
      <c r="S404" s="3" t="s">
        <v>1202</v>
      </c>
    </row>
    <row r="405" spans="4:19" ht="31.5" x14ac:dyDescent="0.2">
      <c r="D405" s="3">
        <v>404</v>
      </c>
      <c r="F405" s="3">
        <v>404</v>
      </c>
      <c r="G405" s="3" t="s">
        <v>751</v>
      </c>
      <c r="H405" s="3">
        <v>404</v>
      </c>
      <c r="K405" s="14">
        <v>438</v>
      </c>
      <c r="N405" s="3">
        <v>46</v>
      </c>
      <c r="O405" s="13" t="s">
        <v>1738</v>
      </c>
      <c r="P405" s="3">
        <v>25</v>
      </c>
      <c r="Q405" s="2" t="s">
        <v>1611</v>
      </c>
      <c r="R405" s="3">
        <v>19</v>
      </c>
      <c r="S405" s="3" t="s">
        <v>1201</v>
      </c>
    </row>
    <row r="406" spans="4:19" x14ac:dyDescent="0.2">
      <c r="D406" s="3">
        <v>405</v>
      </c>
      <c r="F406" s="3">
        <v>405</v>
      </c>
      <c r="G406" s="3" t="s">
        <v>396</v>
      </c>
      <c r="H406" s="3">
        <v>405</v>
      </c>
      <c r="K406" s="14">
        <v>439</v>
      </c>
      <c r="N406" s="3">
        <v>47</v>
      </c>
      <c r="O406" s="13" t="s">
        <v>1739</v>
      </c>
      <c r="P406" s="3">
        <v>26</v>
      </c>
      <c r="Q406" s="2" t="s">
        <v>1612</v>
      </c>
      <c r="R406" s="7">
        <v>20</v>
      </c>
      <c r="S406" s="3" t="s">
        <v>2985</v>
      </c>
    </row>
    <row r="407" spans="4:19" ht="63" x14ac:dyDescent="0.2">
      <c r="D407" s="3">
        <v>406</v>
      </c>
      <c r="F407" s="3">
        <v>406</v>
      </c>
      <c r="G407" s="3" t="s">
        <v>162</v>
      </c>
      <c r="H407" s="3">
        <v>406</v>
      </c>
      <c r="K407" s="14">
        <v>440</v>
      </c>
      <c r="N407" s="3">
        <v>48</v>
      </c>
      <c r="O407" s="13" t="s">
        <v>1740</v>
      </c>
      <c r="P407" s="3">
        <v>27</v>
      </c>
      <c r="Q407" s="2" t="s">
        <v>1613</v>
      </c>
      <c r="R407" s="3">
        <v>21</v>
      </c>
      <c r="S407" s="3" t="s">
        <v>1200</v>
      </c>
    </row>
    <row r="408" spans="4:19" x14ac:dyDescent="0.2">
      <c r="D408" s="3">
        <v>407</v>
      </c>
      <c r="F408" s="3">
        <v>407</v>
      </c>
      <c r="G408" s="3" t="s">
        <v>66</v>
      </c>
      <c r="H408" s="3">
        <v>407</v>
      </c>
      <c r="K408" s="14">
        <v>441</v>
      </c>
      <c r="N408" s="3">
        <v>49</v>
      </c>
      <c r="O408" s="13" t="s">
        <v>1741</v>
      </c>
      <c r="P408" s="3">
        <v>28</v>
      </c>
      <c r="Q408" s="2" t="s">
        <v>1614</v>
      </c>
      <c r="R408" s="7">
        <v>22</v>
      </c>
      <c r="S408" s="3" t="s">
        <v>2074</v>
      </c>
    </row>
    <row r="409" spans="4:19" ht="47.25" x14ac:dyDescent="0.2">
      <c r="D409" s="3">
        <v>408</v>
      </c>
      <c r="F409" s="3">
        <v>408</v>
      </c>
      <c r="G409" s="3" t="s">
        <v>436</v>
      </c>
      <c r="H409" s="3">
        <v>408</v>
      </c>
      <c r="K409" s="14">
        <v>442</v>
      </c>
      <c r="N409" s="3">
        <v>50</v>
      </c>
      <c r="O409" s="13" t="s">
        <v>1742</v>
      </c>
      <c r="P409" s="3">
        <v>29</v>
      </c>
      <c r="Q409" s="2" t="s">
        <v>1615</v>
      </c>
    </row>
    <row r="410" spans="4:19" x14ac:dyDescent="0.2">
      <c r="D410" s="3">
        <v>409</v>
      </c>
      <c r="F410" s="3">
        <v>409</v>
      </c>
      <c r="G410" s="3" t="s">
        <v>288</v>
      </c>
      <c r="H410" s="3">
        <v>409</v>
      </c>
      <c r="K410" s="14">
        <v>443</v>
      </c>
      <c r="N410" s="3">
        <v>51</v>
      </c>
      <c r="O410" s="13" t="s">
        <v>1743</v>
      </c>
      <c r="P410" s="3">
        <v>30</v>
      </c>
      <c r="Q410" s="2" t="s">
        <v>1616</v>
      </c>
      <c r="S410" s="22" t="s">
        <v>2114</v>
      </c>
    </row>
    <row r="411" spans="4:19" ht="63" x14ac:dyDescent="0.2">
      <c r="D411" s="3">
        <v>410</v>
      </c>
      <c r="F411" s="3">
        <v>410</v>
      </c>
      <c r="G411" s="3" t="s">
        <v>20</v>
      </c>
      <c r="H411" s="3">
        <v>410</v>
      </c>
      <c r="K411" s="14">
        <v>444</v>
      </c>
      <c r="N411" s="3">
        <v>52</v>
      </c>
      <c r="O411" s="13" t="s">
        <v>1744</v>
      </c>
      <c r="P411" s="3">
        <v>31</v>
      </c>
      <c r="Q411" s="2" t="s">
        <v>1617</v>
      </c>
      <c r="R411" s="3">
        <v>1</v>
      </c>
      <c r="S411" s="3" t="s">
        <v>2110</v>
      </c>
    </row>
    <row r="412" spans="4:19" ht="78.75" x14ac:dyDescent="0.2">
      <c r="D412" s="3">
        <v>411</v>
      </c>
      <c r="F412" s="3">
        <v>411</v>
      </c>
      <c r="G412" s="3" t="s">
        <v>572</v>
      </c>
      <c r="H412" s="3">
        <v>411</v>
      </c>
      <c r="K412" s="14">
        <v>445</v>
      </c>
      <c r="N412" s="3">
        <v>53</v>
      </c>
      <c r="O412" s="13" t="s">
        <v>1745</v>
      </c>
      <c r="P412" s="3">
        <v>32</v>
      </c>
      <c r="Q412" s="2" t="s">
        <v>1618</v>
      </c>
      <c r="R412" s="3">
        <v>2</v>
      </c>
      <c r="S412" s="3" t="s">
        <v>2111</v>
      </c>
    </row>
    <row r="413" spans="4:19" ht="31.5" x14ac:dyDescent="0.2">
      <c r="D413" s="3">
        <v>412</v>
      </c>
      <c r="F413" s="3">
        <v>412</v>
      </c>
      <c r="G413" s="3" t="s">
        <v>270</v>
      </c>
      <c r="H413" s="3">
        <v>412</v>
      </c>
      <c r="K413" s="14">
        <v>446</v>
      </c>
      <c r="N413" s="3">
        <v>54</v>
      </c>
      <c r="O413" s="13" t="s">
        <v>1746</v>
      </c>
      <c r="P413" s="3">
        <v>33</v>
      </c>
      <c r="Q413" s="2" t="s">
        <v>1619</v>
      </c>
      <c r="R413" s="3">
        <v>3</v>
      </c>
      <c r="S413" s="3" t="s">
        <v>2112</v>
      </c>
    </row>
    <row r="414" spans="4:19" ht="63" x14ac:dyDescent="0.2">
      <c r="D414" s="3">
        <v>413</v>
      </c>
      <c r="F414" s="3">
        <v>413</v>
      </c>
      <c r="G414" s="3" t="s">
        <v>46</v>
      </c>
      <c r="H414" s="3">
        <v>413</v>
      </c>
      <c r="K414" s="14">
        <v>447</v>
      </c>
      <c r="N414" s="3">
        <v>55</v>
      </c>
      <c r="O414" s="13" t="s">
        <v>1747</v>
      </c>
      <c r="P414" s="3">
        <v>34</v>
      </c>
      <c r="Q414" s="2" t="s">
        <v>1620</v>
      </c>
      <c r="R414" s="3">
        <v>4</v>
      </c>
      <c r="S414" s="3" t="s">
        <v>2123</v>
      </c>
    </row>
    <row r="415" spans="4:19" x14ac:dyDescent="0.2">
      <c r="D415" s="3">
        <v>414</v>
      </c>
      <c r="F415" s="3">
        <v>414</v>
      </c>
      <c r="G415" s="3" t="str">
        <f ca="1">"Off to the "&amp;VLOOKUP(RANDBETWEEN(1,8),Compas,2)&amp;" the Posse spies "&amp;VLOOKUP(RANDBETWEEN(1,82),Hunt,2)&amp;"."</f>
        <v>Off to the south west the Posse spies a puma.</v>
      </c>
      <c r="H415" s="3">
        <v>414</v>
      </c>
      <c r="K415" s="14">
        <v>448</v>
      </c>
      <c r="N415" s="3">
        <v>56</v>
      </c>
      <c r="O415" s="13" t="s">
        <v>1748</v>
      </c>
      <c r="P415" s="3">
        <v>35</v>
      </c>
      <c r="Q415" s="2" t="s">
        <v>1621</v>
      </c>
      <c r="R415" s="3">
        <v>5</v>
      </c>
      <c r="S415" s="3" t="s">
        <v>2122</v>
      </c>
    </row>
    <row r="416" spans="4:19" ht="78.75" x14ac:dyDescent="0.2">
      <c r="D416" s="3">
        <v>415</v>
      </c>
      <c r="F416" s="3">
        <v>415</v>
      </c>
      <c r="G416" s="18" t="s">
        <v>2961</v>
      </c>
      <c r="H416" s="3">
        <v>415</v>
      </c>
      <c r="K416" s="14">
        <v>449</v>
      </c>
      <c r="N416" s="3">
        <v>57</v>
      </c>
      <c r="O416" s="13" t="s">
        <v>1749</v>
      </c>
      <c r="P416" s="3">
        <v>36</v>
      </c>
      <c r="Q416" s="2" t="s">
        <v>1622</v>
      </c>
      <c r="R416" s="3">
        <v>6</v>
      </c>
      <c r="S416" s="3" t="s">
        <v>2113</v>
      </c>
    </row>
    <row r="417" spans="4:19" ht="31.5" x14ac:dyDescent="0.2">
      <c r="D417" s="3">
        <v>416</v>
      </c>
      <c r="F417" s="3">
        <v>416</v>
      </c>
      <c r="G417" s="18" t="s">
        <v>2960</v>
      </c>
      <c r="H417" s="3">
        <v>416</v>
      </c>
      <c r="K417" s="14">
        <v>450</v>
      </c>
      <c r="N417" s="3">
        <v>58</v>
      </c>
      <c r="O417" s="13" t="s">
        <v>1750</v>
      </c>
      <c r="P417" s="3">
        <v>37</v>
      </c>
      <c r="Q417" s="2" t="s">
        <v>1623</v>
      </c>
    </row>
    <row r="418" spans="4:19" ht="63" x14ac:dyDescent="0.2">
      <c r="D418" s="3">
        <v>417</v>
      </c>
      <c r="F418" s="3">
        <v>417</v>
      </c>
      <c r="G418" s="18" t="s">
        <v>2795</v>
      </c>
      <c r="H418" s="3">
        <v>417</v>
      </c>
      <c r="K418" s="14">
        <v>451</v>
      </c>
      <c r="N418" s="3">
        <v>59</v>
      </c>
      <c r="O418" s="13" t="s">
        <v>1751</v>
      </c>
      <c r="P418" s="3">
        <v>38</v>
      </c>
      <c r="Q418" s="2" t="s">
        <v>1624</v>
      </c>
      <c r="S418" s="22" t="s">
        <v>2144</v>
      </c>
    </row>
    <row r="419" spans="4:19" ht="31.5" x14ac:dyDescent="0.2">
      <c r="D419" s="3">
        <v>418</v>
      </c>
      <c r="F419" s="3">
        <v>418</v>
      </c>
      <c r="G419" s="18" t="s">
        <v>2800</v>
      </c>
      <c r="H419" s="3">
        <v>418</v>
      </c>
      <c r="K419" s="14">
        <v>452</v>
      </c>
      <c r="N419" s="3">
        <v>60</v>
      </c>
      <c r="O419" s="13" t="s">
        <v>1752</v>
      </c>
      <c r="P419" s="3">
        <v>39</v>
      </c>
      <c r="Q419" s="2" t="s">
        <v>1625</v>
      </c>
      <c r="R419" s="3">
        <v>1</v>
      </c>
      <c r="S419" s="14" t="s">
        <v>2143</v>
      </c>
    </row>
    <row r="420" spans="4:19" ht="31.5" x14ac:dyDescent="0.2">
      <c r="D420" s="3">
        <v>419</v>
      </c>
      <c r="F420" s="3">
        <v>419</v>
      </c>
      <c r="G420" s="18" t="s">
        <v>2794</v>
      </c>
      <c r="H420" s="3">
        <v>419</v>
      </c>
      <c r="K420" s="14">
        <v>453</v>
      </c>
      <c r="O420" s="13"/>
      <c r="P420" s="3">
        <v>40</v>
      </c>
      <c r="Q420" s="2" t="s">
        <v>1626</v>
      </c>
      <c r="R420" s="3">
        <v>900</v>
      </c>
      <c r="S420" s="14" t="s">
        <v>2142</v>
      </c>
    </row>
    <row r="421" spans="4:19" x14ac:dyDescent="0.2">
      <c r="D421" s="3">
        <v>420</v>
      </c>
      <c r="F421" s="3">
        <v>420</v>
      </c>
      <c r="G421" s="18" t="s">
        <v>2801</v>
      </c>
      <c r="H421" s="3">
        <v>420</v>
      </c>
      <c r="K421" s="14">
        <v>454</v>
      </c>
      <c r="O421" s="49" t="s">
        <v>929</v>
      </c>
      <c r="P421" s="3">
        <v>41</v>
      </c>
      <c r="Q421" s="2" t="s">
        <v>1627</v>
      </c>
      <c r="R421" s="3">
        <v>1000</v>
      </c>
      <c r="S421" s="14" t="s">
        <v>2141</v>
      </c>
    </row>
    <row r="422" spans="4:19" x14ac:dyDescent="0.2">
      <c r="D422" s="3">
        <v>421</v>
      </c>
      <c r="F422" s="3">
        <v>421</v>
      </c>
      <c r="G422" s="18" t="s">
        <v>2910</v>
      </c>
      <c r="H422" s="3">
        <v>421</v>
      </c>
      <c r="K422" s="14">
        <v>455</v>
      </c>
      <c r="N422" s="3">
        <v>1</v>
      </c>
      <c r="O422" s="3" t="s">
        <v>610</v>
      </c>
      <c r="P422" s="3">
        <v>42</v>
      </c>
      <c r="Q422" s="2" t="s">
        <v>1628</v>
      </c>
      <c r="R422" s="3">
        <v>1050</v>
      </c>
      <c r="S422" s="14" t="s">
        <v>2140</v>
      </c>
    </row>
    <row r="423" spans="4:19" ht="31.5" x14ac:dyDescent="0.2">
      <c r="D423" s="3">
        <v>422</v>
      </c>
      <c r="F423" s="3">
        <v>422</v>
      </c>
      <c r="G423" s="18" t="s">
        <v>2951</v>
      </c>
      <c r="H423" s="3">
        <v>422</v>
      </c>
      <c r="K423" s="14">
        <v>456</v>
      </c>
      <c r="N423" s="3">
        <v>2</v>
      </c>
      <c r="O423" s="3" t="s">
        <v>448</v>
      </c>
      <c r="P423" s="3">
        <v>43</v>
      </c>
      <c r="Q423" s="2" t="s">
        <v>1629</v>
      </c>
      <c r="R423" s="3">
        <v>1100</v>
      </c>
      <c r="S423" s="14" t="s">
        <v>2139</v>
      </c>
    </row>
    <row r="424" spans="4:19" ht="63" x14ac:dyDescent="0.2">
      <c r="D424" s="3">
        <v>423</v>
      </c>
      <c r="F424" s="3">
        <v>423</v>
      </c>
      <c r="G424" s="18" t="s">
        <v>2952</v>
      </c>
      <c r="H424" s="3">
        <v>423</v>
      </c>
      <c r="K424" s="14">
        <v>457</v>
      </c>
      <c r="N424" s="3">
        <v>3</v>
      </c>
      <c r="O424" s="3" t="s">
        <v>611</v>
      </c>
      <c r="P424" s="3">
        <v>44</v>
      </c>
      <c r="Q424" s="2" t="s">
        <v>1630</v>
      </c>
      <c r="R424" s="3">
        <v>1150</v>
      </c>
      <c r="S424" s="14" t="s">
        <v>2138</v>
      </c>
    </row>
    <row r="425" spans="4:19" x14ac:dyDescent="0.2">
      <c r="D425" s="3">
        <v>424</v>
      </c>
      <c r="F425" s="3">
        <v>424</v>
      </c>
      <c r="G425" s="18" t="s">
        <v>2964</v>
      </c>
      <c r="H425" s="3">
        <v>424</v>
      </c>
      <c r="K425" s="14">
        <v>458</v>
      </c>
      <c r="N425" s="3">
        <v>4</v>
      </c>
      <c r="O425" s="3" t="s">
        <v>612</v>
      </c>
      <c r="P425" s="3">
        <v>45</v>
      </c>
      <c r="Q425" s="2" t="s">
        <v>1631</v>
      </c>
    </row>
    <row r="426" spans="4:19" ht="63" x14ac:dyDescent="0.2">
      <c r="D426" s="3">
        <v>425</v>
      </c>
      <c r="F426" s="3">
        <v>425</v>
      </c>
      <c r="G426" s="18" t="s">
        <v>2963</v>
      </c>
      <c r="H426" s="3">
        <v>425</v>
      </c>
      <c r="K426" s="14">
        <v>459</v>
      </c>
      <c r="N426" s="3">
        <v>5</v>
      </c>
      <c r="O426" s="3" t="s">
        <v>449</v>
      </c>
      <c r="P426" s="3">
        <v>46</v>
      </c>
      <c r="Q426" s="2" t="s">
        <v>1632</v>
      </c>
      <c r="S426" s="22" t="s">
        <v>2145</v>
      </c>
    </row>
    <row r="427" spans="4:19" ht="31.5" x14ac:dyDescent="0.2">
      <c r="D427" s="3">
        <v>426</v>
      </c>
      <c r="F427" s="3">
        <v>426</v>
      </c>
      <c r="H427" s="3">
        <v>426</v>
      </c>
      <c r="K427" s="14">
        <v>460</v>
      </c>
      <c r="N427" s="3">
        <v>6</v>
      </c>
      <c r="O427" s="3" t="s">
        <v>450</v>
      </c>
      <c r="P427" s="3">
        <v>47</v>
      </c>
      <c r="Q427" s="2" t="s">
        <v>1633</v>
      </c>
      <c r="R427" s="3">
        <v>1</v>
      </c>
      <c r="S427" s="3" t="str">
        <f ca="1">"a copy of the Chicago Tribune newspaper, dated: "&amp;VLOOKUP(RANDBETWEEN(1,12),DATE,2)&amp;", "&amp;RANDBETWEEN(1863,1878)</f>
        <v>a copy of the Chicago Tribune newspaper, dated: July 1, 1864</v>
      </c>
    </row>
    <row r="428" spans="4:19" x14ac:dyDescent="0.2">
      <c r="D428" s="3">
        <v>427</v>
      </c>
      <c r="F428" s="3">
        <v>427</v>
      </c>
      <c r="H428" s="3">
        <v>427</v>
      </c>
      <c r="K428" s="14">
        <v>461</v>
      </c>
      <c r="N428" s="3">
        <v>7</v>
      </c>
      <c r="O428" s="3" t="s">
        <v>625</v>
      </c>
      <c r="P428" s="3">
        <v>48</v>
      </c>
      <c r="Q428" s="2" t="s">
        <v>1634</v>
      </c>
      <c r="R428" s="3">
        <v>2</v>
      </c>
      <c r="S428" s="3" t="str">
        <f ca="1">"a copy of The "&amp;VLOOKUP(RANDBETWEEN(1,13),PAPER,2)&amp;" newspaper, dated: "&amp;VLOOKUP(RANDBETWEEN(1,12),DATE,2)&amp;", "&amp;RANDBETWEEN(1863,1878)</f>
        <v>a copy of The Register newspaper, dated: August 19, 1878</v>
      </c>
    </row>
    <row r="429" spans="4:19" x14ac:dyDescent="0.2">
      <c r="D429" s="3">
        <v>428</v>
      </c>
      <c r="F429" s="3">
        <v>428</v>
      </c>
      <c r="H429" s="3">
        <v>428</v>
      </c>
      <c r="K429" s="14">
        <v>462</v>
      </c>
      <c r="N429" s="3">
        <v>8</v>
      </c>
      <c r="O429" s="3" t="s">
        <v>451</v>
      </c>
      <c r="P429" s="3">
        <v>49</v>
      </c>
      <c r="Q429" s="2" t="s">
        <v>1635</v>
      </c>
      <c r="R429" s="3">
        <v>3</v>
      </c>
      <c r="S429" s="3" t="str">
        <f ca="1">"a copy of The Nugget newspaper, dated: "&amp;VLOOKUP(RANDBETWEEN(1,12),DATE,2)&amp;", "&amp;RANDBETWEEN(1863,1878)</f>
        <v>a copy of The Nugget newspaper, dated: October 1, 1873</v>
      </c>
    </row>
    <row r="430" spans="4:19" x14ac:dyDescent="0.2">
      <c r="D430" s="3">
        <v>429</v>
      </c>
      <c r="F430" s="3">
        <v>429</v>
      </c>
      <c r="H430" s="3">
        <v>429</v>
      </c>
      <c r="K430" s="14">
        <v>463</v>
      </c>
      <c r="N430" s="3">
        <v>9</v>
      </c>
      <c r="O430" s="3" t="s">
        <v>613</v>
      </c>
      <c r="P430" s="3">
        <v>50</v>
      </c>
      <c r="Q430" s="2" t="s">
        <v>1636</v>
      </c>
      <c r="R430" s="3">
        <v>4</v>
      </c>
      <c r="S430" s="3" t="str">
        <f ca="1">"a copy of The Tombstone Epitaph, dated: "&amp;VLOOKUP(RANDBETWEEN(1,12),DATE,2)&amp;", "&amp;RANDBETWEEN(1863,1878)</f>
        <v>a copy of The Tombstone Epitaph, dated: March 24, 1875</v>
      </c>
    </row>
    <row r="431" spans="4:19" x14ac:dyDescent="0.2">
      <c r="D431" s="3">
        <v>430</v>
      </c>
      <c r="F431" s="3">
        <v>430</v>
      </c>
      <c r="H431" s="3">
        <v>430</v>
      </c>
      <c r="K431" s="14">
        <v>464</v>
      </c>
      <c r="N431" s="3">
        <v>10</v>
      </c>
      <c r="O431" s="3" t="s">
        <v>452</v>
      </c>
      <c r="P431" s="3">
        <v>51</v>
      </c>
      <c r="Q431" s="2" t="s">
        <v>1637</v>
      </c>
      <c r="R431" s="3">
        <v>5</v>
      </c>
      <c r="S431" s="3" t="str">
        <f ca="1">"a copy of The Democratic Press, dated: "&amp;VLOOKUP(RANDBETWEEN(1,12),DATE,2)&amp;", "&amp;RANDBETWEEN(1863,1878)</f>
        <v>a copy of The Democratic Press, dated: August 19, 1865</v>
      </c>
    </row>
    <row r="432" spans="4:19" x14ac:dyDescent="0.2">
      <c r="D432" s="3">
        <v>431</v>
      </c>
      <c r="F432" s="3">
        <v>431</v>
      </c>
      <c r="H432" s="3">
        <v>431</v>
      </c>
      <c r="K432" s="14">
        <v>465</v>
      </c>
      <c r="N432" s="3">
        <v>11</v>
      </c>
      <c r="O432" s="3" t="s">
        <v>624</v>
      </c>
      <c r="P432" s="3">
        <v>52</v>
      </c>
      <c r="Q432" s="2" t="s">
        <v>1638</v>
      </c>
      <c r="R432" s="3">
        <v>6</v>
      </c>
      <c r="S432" s="3" t="str">
        <f ca="1">"a copy of The Whisper newspaper, dated: "&amp;VLOOKUP(RANDBETWEEN(1,12),DATE,2)&amp;", "&amp;RANDBETWEEN(1863,1878)</f>
        <v>a copy of The Whisper newspaper, dated: April 12, 1864</v>
      </c>
    </row>
    <row r="433" spans="4:19" x14ac:dyDescent="0.2">
      <c r="D433" s="3">
        <v>432</v>
      </c>
      <c r="F433" s="3">
        <v>432</v>
      </c>
      <c r="H433" s="3">
        <v>432</v>
      </c>
      <c r="K433" s="14">
        <v>466</v>
      </c>
      <c r="N433" s="3">
        <v>12</v>
      </c>
      <c r="O433" s="3" t="s">
        <v>626</v>
      </c>
      <c r="P433" s="3">
        <v>53</v>
      </c>
      <c r="Q433" s="2" t="s">
        <v>1639</v>
      </c>
      <c r="R433" s="3">
        <v>7</v>
      </c>
      <c r="S433" s="3" t="str">
        <f ca="1">"a copy of The RavenSpeak newspaper, dated: "&amp;VLOOKUP(RANDBETWEEN(1,12),DATE,2)&amp;", "&amp;RANDBETWEEN(1863,1878)</f>
        <v>a copy of The RavenSpeak newspaper, dated: October 1, 1870</v>
      </c>
    </row>
    <row r="434" spans="4:19" x14ac:dyDescent="0.2">
      <c r="D434" s="3">
        <v>433</v>
      </c>
      <c r="F434" s="3">
        <v>433</v>
      </c>
      <c r="H434" s="3">
        <v>433</v>
      </c>
      <c r="K434" s="14">
        <v>467</v>
      </c>
      <c r="N434" s="3">
        <v>13</v>
      </c>
      <c r="O434" s="3" t="s">
        <v>633</v>
      </c>
      <c r="P434" s="3">
        <v>54</v>
      </c>
      <c r="Q434" s="2" t="s">
        <v>1640</v>
      </c>
      <c r="R434" s="3">
        <v>8</v>
      </c>
      <c r="S434" s="3" t="str">
        <f ca="1">"a copy of The Californian newspaper, dated: "&amp;VLOOKUP(RANDBETWEEN(1,12),DATE,2)&amp;", "&amp;RANDBETWEEN(1863,1878)</f>
        <v>a copy of The Californian newspaper, dated: September 5, 1865</v>
      </c>
    </row>
    <row r="435" spans="4:19" ht="31.5" x14ac:dyDescent="0.2">
      <c r="D435" s="3">
        <v>434</v>
      </c>
      <c r="F435" s="3">
        <v>434</v>
      </c>
      <c r="H435" s="3">
        <v>434</v>
      </c>
      <c r="K435" s="14">
        <v>468</v>
      </c>
      <c r="N435" s="3">
        <v>14</v>
      </c>
      <c r="O435" s="3" t="s">
        <v>634</v>
      </c>
      <c r="P435" s="3">
        <v>55</v>
      </c>
      <c r="Q435" s="2" t="s">
        <v>1641</v>
      </c>
      <c r="R435" s="3">
        <v>9</v>
      </c>
      <c r="S435" s="3" t="str">
        <f ca="1">"a copy of The Daily "&amp;VLOOKUP(RANDBETWEEN(1,15),PAPER,2)&amp;" newspaper, dated: "&amp;VLOOKUP(RANDBETWEEN(1,12),DATE,2)&amp;", "&amp;RANDBETWEEN(1863,1878)</f>
        <v>a copy of The Daily Telegraph newspaper, dated: November 12, 1874</v>
      </c>
    </row>
    <row r="436" spans="4:19" x14ac:dyDescent="0.2">
      <c r="D436" s="3">
        <v>435</v>
      </c>
      <c r="F436" s="3">
        <v>435</v>
      </c>
      <c r="H436" s="3">
        <v>435</v>
      </c>
      <c r="K436" s="14">
        <v>469</v>
      </c>
      <c r="N436" s="3">
        <v>15</v>
      </c>
      <c r="O436" s="3" t="s">
        <v>628</v>
      </c>
      <c r="P436" s="3">
        <v>56</v>
      </c>
      <c r="Q436" s="2" t="s">
        <v>1642</v>
      </c>
      <c r="R436" s="3">
        <v>10</v>
      </c>
      <c r="S436" s="3" t="str">
        <f ca="1">"a copy of Around The Corner newspaper, dated: "&amp;VLOOKUP(RANDBETWEEN(1,12),DATE,2)&amp;", "&amp;RANDBETWEEN(1863,1878)</f>
        <v>a copy of Around The Corner newspaper, dated: June 7, 1868</v>
      </c>
    </row>
    <row r="437" spans="4:19" x14ac:dyDescent="0.2">
      <c r="D437" s="3">
        <v>436</v>
      </c>
      <c r="F437" s="3">
        <v>436</v>
      </c>
      <c r="H437" s="3">
        <v>436</v>
      </c>
      <c r="K437" s="14">
        <v>470</v>
      </c>
      <c r="N437" s="3">
        <v>16</v>
      </c>
      <c r="O437" s="3" t="s">
        <v>627</v>
      </c>
      <c r="P437" s="3">
        <v>57</v>
      </c>
      <c r="Q437" s="2" t="s">
        <v>1643</v>
      </c>
      <c r="R437" s="3">
        <v>11</v>
      </c>
      <c r="S437" s="3" t="str">
        <f ca="1">"a copy of the Rocky Mountain News, dated: "&amp;VLOOKUP(RANDBETWEEN(1,12),DATE,2)&amp;", "&amp;RANDBETWEEN(1863,1878)</f>
        <v>a copy of the Rocky Mountain News, dated: January 28, 1863</v>
      </c>
    </row>
    <row r="438" spans="4:19" ht="31.5" x14ac:dyDescent="0.2">
      <c r="D438" s="3">
        <v>437</v>
      </c>
      <c r="F438" s="3">
        <v>437</v>
      </c>
      <c r="H438" s="3">
        <v>437</v>
      </c>
      <c r="K438" s="14">
        <v>471</v>
      </c>
      <c r="N438" s="3">
        <v>17</v>
      </c>
      <c r="O438" s="3" t="s">
        <v>629</v>
      </c>
      <c r="P438" s="3">
        <v>58</v>
      </c>
      <c r="Q438" s="2" t="s">
        <v>1644</v>
      </c>
      <c r="R438" s="3">
        <v>12</v>
      </c>
      <c r="S438" s="3" t="str">
        <f ca="1">"a copy of The Black Hills Pioneer newspaper, dated: "&amp;VLOOKUP(RANDBETWEEN(1,12),DATE,2)&amp;", "&amp;RANDBETWEEN(1863,1878)</f>
        <v>a copy of The Black Hills Pioneer newspaper, dated: June 7, 1878</v>
      </c>
    </row>
    <row r="439" spans="4:19" ht="31.5" x14ac:dyDescent="0.2">
      <c r="D439" s="3">
        <v>438</v>
      </c>
      <c r="F439" s="3">
        <v>438</v>
      </c>
      <c r="H439" s="3">
        <v>438</v>
      </c>
      <c r="K439" s="14">
        <v>472</v>
      </c>
      <c r="N439" s="3">
        <v>18</v>
      </c>
      <c r="O439" s="3" t="s">
        <v>630</v>
      </c>
      <c r="P439" s="3">
        <v>59</v>
      </c>
      <c r="Q439" s="2" t="s">
        <v>1645</v>
      </c>
      <c r="R439" s="3">
        <v>13</v>
      </c>
      <c r="S439" s="3" t="str">
        <f ca="1">"a copy of The Territorial Enterprise newspaper, dated: "&amp;VLOOKUP(RANDBETWEEN(1,12),DATE,2)&amp;", "&amp;RANDBETWEEN(1863,1878)</f>
        <v>a copy of The Territorial Enterprise newspaper, dated: March 24, 1878</v>
      </c>
    </row>
    <row r="440" spans="4:19" x14ac:dyDescent="0.2">
      <c r="D440" s="3">
        <v>439</v>
      </c>
      <c r="F440" s="3">
        <v>439</v>
      </c>
      <c r="H440" s="3">
        <v>439</v>
      </c>
      <c r="K440" s="14">
        <v>473</v>
      </c>
      <c r="N440" s="3">
        <v>19</v>
      </c>
      <c r="O440" s="3" t="s">
        <v>631</v>
      </c>
      <c r="P440" s="3">
        <v>60</v>
      </c>
      <c r="Q440" s="2" t="s">
        <v>1646</v>
      </c>
      <c r="R440" s="3">
        <v>14</v>
      </c>
      <c r="S440" s="3" t="str">
        <f ca="1">"a copy of Our Brother in Red newspaper, dated: "&amp;VLOOKUP(RANDBETWEEN(1,12),DATE,2)&amp;", "&amp;RANDBETWEEN(1863,1878)</f>
        <v>a copy of Our Brother in Red newspaper, dated: June 7, 1875</v>
      </c>
    </row>
    <row r="441" spans="4:19" ht="31.5" x14ac:dyDescent="0.2">
      <c r="D441" s="3">
        <v>440</v>
      </c>
      <c r="F441" s="3">
        <v>440</v>
      </c>
      <c r="H441" s="3">
        <v>440</v>
      </c>
      <c r="K441" s="14">
        <v>474</v>
      </c>
      <c r="N441" s="3">
        <v>20</v>
      </c>
      <c r="O441" s="3" t="s">
        <v>632</v>
      </c>
      <c r="P441" s="3">
        <v>61</v>
      </c>
      <c r="Q441" s="2" t="s">
        <v>1647</v>
      </c>
      <c r="R441" s="3">
        <v>15</v>
      </c>
      <c r="S441" s="3" t="str">
        <f ca="1">"a copy of The Tahlequah Telegraph newspaper, dated: "&amp;VLOOKUP(RANDBETWEEN(1,12),DATE,2)&amp;", "&amp;RANDBETWEEN(1863,1878)</f>
        <v>a copy of The Tahlequah Telegraph newspaper, dated: May 14, 1875</v>
      </c>
    </row>
    <row r="442" spans="4:19" ht="31.5" x14ac:dyDescent="0.2">
      <c r="D442" s="3">
        <v>441</v>
      </c>
      <c r="F442" s="3">
        <v>441</v>
      </c>
      <c r="H442" s="3">
        <v>441</v>
      </c>
      <c r="K442" s="14">
        <v>475</v>
      </c>
      <c r="P442" s="3">
        <v>62</v>
      </c>
      <c r="Q442" s="2" t="s">
        <v>1648</v>
      </c>
      <c r="R442" s="3">
        <v>16</v>
      </c>
      <c r="S442" s="3" t="str">
        <f ca="1">"a copy of The Indian Chieftain newspaper, dated: "&amp;VLOOKUP(RANDBETWEEN(1,12),DATE,2)&amp;", "&amp;RANDBETWEEN(1863,1878)</f>
        <v>a copy of The Indian Chieftain newspaper, dated: August 19, 1868</v>
      </c>
    </row>
    <row r="443" spans="4:19" ht="31.5" x14ac:dyDescent="0.2">
      <c r="D443" s="3">
        <v>442</v>
      </c>
      <c r="F443" s="3">
        <v>442</v>
      </c>
      <c r="H443" s="3">
        <v>442</v>
      </c>
      <c r="K443" s="14">
        <v>476</v>
      </c>
      <c r="O443" s="22" t="s">
        <v>930</v>
      </c>
      <c r="P443" s="3">
        <v>63</v>
      </c>
      <c r="Q443" s="2" t="s">
        <v>1649</v>
      </c>
      <c r="R443" s="3">
        <v>17</v>
      </c>
      <c r="S443" s="3" t="str">
        <f ca="1">"a copy of The Flumgudgeon Gazette newspaper, dated: "&amp;VLOOKUP(RANDBETWEEN(1,12),DATE,2)&amp;", "&amp;RANDBETWEEN(1863,1878)</f>
        <v>a copy of The Flumgudgeon Gazette newspaper, dated: August 19, 1876</v>
      </c>
    </row>
    <row r="444" spans="4:19" ht="31.5" x14ac:dyDescent="0.2">
      <c r="D444" s="3">
        <v>443</v>
      </c>
      <c r="F444" s="3">
        <v>443</v>
      </c>
      <c r="H444" s="3">
        <v>443</v>
      </c>
      <c r="K444" s="14">
        <v>477</v>
      </c>
      <c r="N444" s="3">
        <v>1</v>
      </c>
      <c r="O444" s="3" t="s">
        <v>980</v>
      </c>
      <c r="P444" s="3">
        <v>64</v>
      </c>
      <c r="Q444" s="2" t="s">
        <v>1650</v>
      </c>
      <c r="R444" s="3">
        <v>18</v>
      </c>
      <c r="S444" s="3" t="str">
        <f ca="1">"a copy of The London "&amp;VLOOKUP(RANDBETWEEN(1,13),PAPER,2)&amp;" newspaper, dated: "&amp;VLOOKUP(RANDBETWEEN(1,12),DATE,2)&amp;", "&amp;RANDBETWEEN(1863,1878)</f>
        <v>a copy of The London Register newspaper, dated: July 1, 1863</v>
      </c>
    </row>
    <row r="445" spans="4:19" x14ac:dyDescent="0.2">
      <c r="D445" s="3">
        <v>444</v>
      </c>
      <c r="F445" s="3">
        <v>444</v>
      </c>
      <c r="H445" s="3">
        <v>444</v>
      </c>
      <c r="K445" s="14">
        <v>478</v>
      </c>
      <c r="N445" s="3">
        <v>2</v>
      </c>
      <c r="O445" s="3" t="s">
        <v>938</v>
      </c>
      <c r="P445" s="3">
        <v>65</v>
      </c>
      <c r="Q445" s="2" t="s">
        <v>1651</v>
      </c>
      <c r="R445" s="3">
        <v>19</v>
      </c>
      <c r="S445" s="3" t="str">
        <f ca="1">"a copy of The "&amp;U216&amp;" Echo newspaper, dated: "&amp;VLOOKUP(RANDBETWEEN(1,12),DATE,2)&amp;", "&amp;RANDBETWEEN(1863,1878)</f>
        <v>a copy of The Belymow Echo newspaper, dated: February 5, 1870</v>
      </c>
    </row>
    <row r="446" spans="4:19" x14ac:dyDescent="0.2">
      <c r="D446" s="3">
        <v>445</v>
      </c>
      <c r="F446" s="3">
        <v>445</v>
      </c>
      <c r="H446" s="3">
        <v>445</v>
      </c>
      <c r="K446" s="14">
        <v>479</v>
      </c>
      <c r="N446" s="3">
        <v>3</v>
      </c>
      <c r="O446" s="3" t="s">
        <v>891</v>
      </c>
      <c r="P446" s="3">
        <v>66</v>
      </c>
      <c r="Q446" s="2" t="s">
        <v>1652</v>
      </c>
      <c r="R446" s="3">
        <v>20</v>
      </c>
      <c r="S446" s="3" t="str">
        <f ca="1">"a copy of The "&amp;U215&amp;" "&amp;VLOOKUP(RANDBETWEEN(1,15),PAPER,2)&amp;" newspaper, dated: "&amp;VLOOKUP(RANDBETWEEN(1,12),DATE,2)&amp;", "&amp;RANDBETWEEN(1863,1878)</f>
        <v>a copy of The Coland Inquirer newspaper, dated: September 5, 1877</v>
      </c>
    </row>
    <row r="447" spans="4:19" ht="31.5" x14ac:dyDescent="0.2">
      <c r="D447" s="3">
        <v>446</v>
      </c>
      <c r="F447" s="3">
        <v>446</v>
      </c>
      <c r="H447" s="3">
        <v>446</v>
      </c>
      <c r="K447" s="14">
        <v>480</v>
      </c>
      <c r="N447" s="3">
        <v>4</v>
      </c>
      <c r="O447" s="3" t="s">
        <v>981</v>
      </c>
      <c r="P447" s="3">
        <v>67</v>
      </c>
      <c r="Q447" s="2" t="s">
        <v>1653</v>
      </c>
      <c r="R447" s="3">
        <v>21</v>
      </c>
      <c r="S447" s="3" t="str">
        <f ca="1">"a copy of The Black Water Ledger newspaper, dated: "&amp;VLOOKUP(RANDBETWEEN(1,12),DATE,2)&amp;", "&amp;RANDBETWEEN(1863,1878)</f>
        <v>a copy of The Black Water Ledger newspaper, dated: May 14, 1878</v>
      </c>
    </row>
    <row r="448" spans="4:19" ht="31.5" x14ac:dyDescent="0.2">
      <c r="D448" s="3">
        <v>447</v>
      </c>
      <c r="F448" s="3">
        <v>447</v>
      </c>
      <c r="H448" s="3">
        <v>447</v>
      </c>
      <c r="K448" s="14">
        <v>481</v>
      </c>
      <c r="N448" s="3">
        <v>5</v>
      </c>
      <c r="O448" s="3" t="s">
        <v>977</v>
      </c>
      <c r="P448" s="3">
        <v>68</v>
      </c>
      <c r="Q448" s="2" t="s">
        <v>1654</v>
      </c>
      <c r="R448" s="3">
        <v>22</v>
      </c>
      <c r="S448" s="3" t="str">
        <f ca="1">"a copy of the New-York Daily Tribune newspaper, dated: "&amp;VLOOKUP(RANDBETWEEN(1,12),DATE,2)&amp;", "&amp;RANDBETWEEN(1863,1878)</f>
        <v>a copy of the New-York Daily Tribune newspaper, dated: August 19, 1868</v>
      </c>
    </row>
    <row r="449" spans="4:19" x14ac:dyDescent="0.2">
      <c r="D449" s="3">
        <v>448</v>
      </c>
      <c r="F449" s="3">
        <v>448</v>
      </c>
      <c r="H449" s="3">
        <v>448</v>
      </c>
      <c r="K449" s="14">
        <v>482</v>
      </c>
      <c r="N449" s="3">
        <v>6</v>
      </c>
      <c r="O449" s="3" t="s">
        <v>982</v>
      </c>
      <c r="P449" s="3">
        <v>69</v>
      </c>
      <c r="Q449" s="2" t="s">
        <v>1655</v>
      </c>
      <c r="R449" s="3">
        <v>23</v>
      </c>
      <c r="S449" s="3" t="str">
        <f ca="1">"a copy of the New York Observer newspaper, dated: "&amp;VLOOKUP(RANDBETWEEN(1,12),DATE,2)&amp;", "&amp;RANDBETWEEN(1863,1878)</f>
        <v>a copy of the New York Observer newspaper, dated: December 3, 1874</v>
      </c>
    </row>
    <row r="450" spans="4:19" ht="31.5" x14ac:dyDescent="0.2">
      <c r="D450" s="3">
        <v>449</v>
      </c>
      <c r="F450" s="3">
        <v>449</v>
      </c>
      <c r="H450" s="3">
        <v>449</v>
      </c>
      <c r="K450" s="14">
        <v>483</v>
      </c>
      <c r="N450" s="3">
        <v>7</v>
      </c>
      <c r="O450" s="3" t="s">
        <v>892</v>
      </c>
      <c r="P450" s="3">
        <v>70</v>
      </c>
      <c r="Q450" s="2" t="s">
        <v>1656</v>
      </c>
      <c r="R450" s="3">
        <v>24</v>
      </c>
      <c r="S450" s="3" t="str">
        <f ca="1">"a copy of the Pennsylvania Inquirer newspaper, dated: "&amp;VLOOKUP(RANDBETWEEN(1,12),DATE,2)&amp;", "&amp;RANDBETWEEN(1863,1878)</f>
        <v>a copy of the Pennsylvania Inquirer newspaper, dated: June 7, 1872</v>
      </c>
    </row>
    <row r="451" spans="4:19" ht="47.25" x14ac:dyDescent="0.2">
      <c r="D451" s="3">
        <v>450</v>
      </c>
      <c r="F451" s="3">
        <v>450</v>
      </c>
      <c r="H451" s="3">
        <v>450</v>
      </c>
      <c r="K451" s="14">
        <v>484</v>
      </c>
      <c r="N451" s="3">
        <v>8</v>
      </c>
      <c r="O451" s="3" t="s">
        <v>2974</v>
      </c>
      <c r="P451" s="3">
        <v>71</v>
      </c>
      <c r="Q451" s="2" t="s">
        <v>1657</v>
      </c>
      <c r="R451" s="3">
        <v>25</v>
      </c>
      <c r="S451" s="3" t="str">
        <f ca="1">"a copy of The Lost Angels Herald newspaper, dated: "&amp;VLOOKUP(RANDBETWEEN(1,12),DATE,2)&amp;", "&amp;RANDBETWEEN(1863,1878)</f>
        <v>a copy of The Lost Angels Herald newspaper, dated: March 24, 1872</v>
      </c>
    </row>
    <row r="452" spans="4:19" ht="31.5" x14ac:dyDescent="0.2">
      <c r="D452" s="3">
        <v>451</v>
      </c>
      <c r="F452" s="3">
        <v>451</v>
      </c>
      <c r="H452" s="3">
        <v>451</v>
      </c>
      <c r="K452" s="14">
        <v>485</v>
      </c>
      <c r="N452" s="3">
        <v>9</v>
      </c>
      <c r="O452" s="3" t="s">
        <v>893</v>
      </c>
      <c r="P452" s="3">
        <v>72</v>
      </c>
      <c r="Q452" s="2" t="s">
        <v>1658</v>
      </c>
      <c r="R452" s="3">
        <v>26</v>
      </c>
      <c r="S452" s="3" t="str">
        <f ca="1">"a copy of The Deseret Watchman newspaper, dated: "&amp;VLOOKUP(RANDBETWEEN(1,12),DATE,2)&amp;", "&amp;RANDBETWEEN(1863,1878)</f>
        <v>a copy of The Deseret Watchman newspaper, dated: August 19, 1869</v>
      </c>
    </row>
    <row r="453" spans="4:19" ht="31.5" x14ac:dyDescent="0.2">
      <c r="D453" s="3">
        <v>452</v>
      </c>
      <c r="F453" s="3">
        <v>452</v>
      </c>
      <c r="H453" s="3">
        <v>452</v>
      </c>
      <c r="K453" s="14">
        <v>486</v>
      </c>
      <c r="N453" s="3">
        <v>10</v>
      </c>
      <c r="O453" s="3" t="s">
        <v>889</v>
      </c>
      <c r="P453" s="3">
        <v>73</v>
      </c>
      <c r="Q453" s="2" t="s">
        <v>1659</v>
      </c>
      <c r="R453" s="3">
        <v>27</v>
      </c>
      <c r="S453" s="3" t="str">
        <f ca="1">"a copy of The Shan Fan Register newspaper, dated: "&amp;VLOOKUP(RANDBETWEEN(1,12),DATE,2)&amp;", "&amp;RANDBETWEEN(1863,1878)</f>
        <v>a copy of The Shan Fan Register newspaper, dated: October 1, 1873</v>
      </c>
    </row>
    <row r="454" spans="4:19" ht="31.5" x14ac:dyDescent="0.2">
      <c r="D454" s="3">
        <v>453</v>
      </c>
      <c r="F454" s="3">
        <v>453</v>
      </c>
      <c r="H454" s="3">
        <v>453</v>
      </c>
      <c r="K454" s="14">
        <v>487</v>
      </c>
      <c r="N454" s="3">
        <v>11</v>
      </c>
      <c r="O454" s="3" t="s">
        <v>894</v>
      </c>
      <c r="P454" s="3">
        <v>74</v>
      </c>
      <c r="Q454" s="2" t="s">
        <v>1660</v>
      </c>
      <c r="R454" s="3">
        <v>28</v>
      </c>
      <c r="S454" s="3" t="str">
        <f ca="1">"a copy of The Portland Ledger newspaper, dated: "&amp;VLOOKUP(RANDBETWEEN(1,12),DATE,2)&amp;", "&amp;RANDBETWEEN(1863,1878)</f>
        <v>a copy of The Portland Ledger newspaper, dated: December 3, 1873</v>
      </c>
    </row>
    <row r="455" spans="4:19" ht="31.5" x14ac:dyDescent="0.2">
      <c r="D455" s="3">
        <v>454</v>
      </c>
      <c r="F455" s="3">
        <v>454</v>
      </c>
      <c r="H455" s="3">
        <v>454</v>
      </c>
      <c r="K455" s="14">
        <v>488</v>
      </c>
      <c r="N455" s="3">
        <v>12</v>
      </c>
      <c r="O455" s="3" t="s">
        <v>983</v>
      </c>
      <c r="P455" s="3">
        <v>75</v>
      </c>
      <c r="Q455" s="2" t="s">
        <v>1661</v>
      </c>
      <c r="R455" s="3">
        <v>29</v>
      </c>
      <c r="S455" s="3" t="str">
        <f ca="1">"a copy of The Dodge City Press newspaper, dated: "&amp;VLOOKUP(RANDBETWEEN(1,12),DATE,2)&amp;", "&amp;RANDBETWEEN(1863,1878)</f>
        <v>a copy of The Dodge City Press newspaper, dated: February 5, 1868</v>
      </c>
    </row>
    <row r="456" spans="4:19" x14ac:dyDescent="0.2">
      <c r="D456" s="3">
        <v>455</v>
      </c>
      <c r="F456" s="3">
        <v>455</v>
      </c>
      <c r="H456" s="3">
        <v>455</v>
      </c>
      <c r="K456" s="14">
        <v>489</v>
      </c>
      <c r="N456" s="3">
        <v>13</v>
      </c>
      <c r="O456" s="3" t="s">
        <v>888</v>
      </c>
      <c r="P456" s="3">
        <v>76</v>
      </c>
      <c r="Q456" s="2" t="s">
        <v>1662</v>
      </c>
      <c r="R456" s="3">
        <v>30</v>
      </c>
      <c r="S456" s="3" t="str">
        <f ca="1">"a copy of the Quill &amp; Lace newspaper, dated: "&amp;VLOOKUP(RANDBETWEEN(1,12),DATE,2)&amp;", "&amp;RANDBETWEEN(1863,1878)</f>
        <v>a copy of the Quill &amp; Lace newspaper, dated: October 1, 1873</v>
      </c>
    </row>
    <row r="457" spans="4:19" ht="31.5" x14ac:dyDescent="0.2">
      <c r="D457" s="3">
        <v>456</v>
      </c>
      <c r="F457" s="3">
        <v>456</v>
      </c>
      <c r="H457" s="3">
        <v>456</v>
      </c>
      <c r="K457" s="14">
        <v>490</v>
      </c>
      <c r="N457" s="3">
        <v>14</v>
      </c>
      <c r="O457" s="3" t="s">
        <v>848</v>
      </c>
      <c r="P457" s="3">
        <v>77</v>
      </c>
      <c r="Q457" s="2" t="s">
        <v>1663</v>
      </c>
      <c r="R457" s="3">
        <v>31</v>
      </c>
      <c r="S457" s="3" t="str">
        <f ca="1">"a copy of the Houston Times newspaper, dated: "&amp;VLOOKUP(RANDBETWEEN(1,12),DATE,2)&amp;", "&amp;RANDBETWEEN(1863,1878)</f>
        <v>a copy of the Houston Times newspaper, dated: July 1, 1878</v>
      </c>
    </row>
    <row r="458" spans="4:19" ht="31.5" x14ac:dyDescent="0.2">
      <c r="D458" s="3">
        <v>457</v>
      </c>
      <c r="F458" s="3">
        <v>457</v>
      </c>
      <c r="H458" s="3">
        <v>457</v>
      </c>
      <c r="K458" s="14">
        <v>491</v>
      </c>
      <c r="N458" s="3">
        <v>15</v>
      </c>
      <c r="O458" s="3" t="s">
        <v>972</v>
      </c>
      <c r="P458" s="3">
        <v>78</v>
      </c>
      <c r="Q458" s="2" t="s">
        <v>1664</v>
      </c>
      <c r="R458" s="3">
        <v>32</v>
      </c>
      <c r="S458" s="3" t="str">
        <f ca="1">"a copy of The Humboldt Inquirer newspaper, dated: "&amp;VLOOKUP(RANDBETWEEN(1,12),DATE,2)&amp;", "&amp;RANDBETWEEN(1863,1878)</f>
        <v>a copy of The Humboldt Inquirer newspaper, dated: January 28, 1866</v>
      </c>
    </row>
    <row r="459" spans="4:19" x14ac:dyDescent="0.2">
      <c r="D459" s="3">
        <v>458</v>
      </c>
      <c r="F459" s="3">
        <v>458</v>
      </c>
      <c r="H459" s="3">
        <v>458</v>
      </c>
      <c r="K459" s="14">
        <v>492</v>
      </c>
      <c r="N459" s="3">
        <v>16</v>
      </c>
      <c r="O459" s="3" t="s">
        <v>895</v>
      </c>
      <c r="P459" s="3">
        <v>79</v>
      </c>
      <c r="Q459" s="2" t="s">
        <v>1665</v>
      </c>
      <c r="R459" s="3">
        <v>33</v>
      </c>
      <c r="S459" s="3" t="str">
        <f ca="1">"a copy of The Free Press newspaper, dated: "&amp;VLOOKUP(RANDBETWEEN(1,12),DATE,2)&amp;", "&amp;RANDBETWEEN(1863,1878)</f>
        <v>a copy of The Free Press newspaper, dated: August 19, 1871</v>
      </c>
    </row>
    <row r="460" spans="4:19" ht="31.5" x14ac:dyDescent="0.2">
      <c r="D460" s="3">
        <v>459</v>
      </c>
      <c r="F460" s="3">
        <v>459</v>
      </c>
      <c r="H460" s="3">
        <v>459</v>
      </c>
      <c r="K460" s="14">
        <v>493</v>
      </c>
      <c r="N460" s="3">
        <v>17</v>
      </c>
      <c r="O460" s="3" t="s">
        <v>896</v>
      </c>
      <c r="P460" s="3">
        <v>80</v>
      </c>
      <c r="Q460" s="2" t="s">
        <v>1666</v>
      </c>
      <c r="R460" s="3">
        <v>34</v>
      </c>
      <c r="S460" s="3" t="str">
        <f ca="1">"a copy of The New Orleans Chronicle newspaper, dated: "&amp;VLOOKUP(RANDBETWEEN(1,12),DATE,2)&amp;", "&amp;RANDBETWEEN(1863,1878)</f>
        <v>a copy of The New Orleans Chronicle newspaper, dated: April 12, 1877</v>
      </c>
    </row>
    <row r="461" spans="4:19" ht="31.5" x14ac:dyDescent="0.2">
      <c r="D461" s="3">
        <v>460</v>
      </c>
      <c r="F461" s="3">
        <v>460</v>
      </c>
      <c r="H461" s="3">
        <v>460</v>
      </c>
      <c r="K461" s="14">
        <v>494</v>
      </c>
      <c r="N461" s="3">
        <v>18</v>
      </c>
      <c r="O461" s="3" t="s">
        <v>973</v>
      </c>
      <c r="P461" s="3">
        <v>81</v>
      </c>
      <c r="Q461" s="2" t="s">
        <v>1667</v>
      </c>
      <c r="R461" s="3">
        <v>35</v>
      </c>
      <c r="S461" s="3" t="str">
        <f ca="1">"a copy of the Kansas City Press newspaper, dated: "&amp;VLOOKUP(RANDBETWEEN(1,12),DATE,2)&amp;", "&amp;RANDBETWEEN(1863,1878)</f>
        <v>a copy of the Kansas City Press newspaper, dated: March 24, 1867</v>
      </c>
    </row>
    <row r="462" spans="4:19" ht="31.5" x14ac:dyDescent="0.2">
      <c r="D462" s="3">
        <v>461</v>
      </c>
      <c r="F462" s="3">
        <v>461</v>
      </c>
      <c r="H462" s="3">
        <v>461</v>
      </c>
      <c r="K462" s="14">
        <v>495</v>
      </c>
      <c r="N462" s="3">
        <v>19</v>
      </c>
      <c r="O462" s="3" t="s">
        <v>897</v>
      </c>
      <c r="P462" s="3">
        <v>82</v>
      </c>
      <c r="Q462" s="2" t="s">
        <v>1668</v>
      </c>
      <c r="R462" s="3">
        <v>36</v>
      </c>
      <c r="S462" s="3" t="str">
        <f ca="1">"a copy of the Albuquerque News newspaper, dated: "&amp;VLOOKUP(RANDBETWEEN(1,12),DATE,2)&amp;", "&amp;RANDBETWEEN(1863,1878)</f>
        <v>a copy of the Albuquerque News newspaper, dated: September 5, 1867</v>
      </c>
    </row>
    <row r="463" spans="4:19" ht="31.5" x14ac:dyDescent="0.2">
      <c r="D463" s="3">
        <v>462</v>
      </c>
      <c r="F463" s="3">
        <v>462</v>
      </c>
      <c r="H463" s="3">
        <v>462</v>
      </c>
      <c r="K463" s="14">
        <v>496</v>
      </c>
      <c r="N463" s="3">
        <v>20</v>
      </c>
      <c r="O463" s="3" t="s">
        <v>3010</v>
      </c>
      <c r="P463" s="3">
        <v>83</v>
      </c>
      <c r="Q463" s="2" t="s">
        <v>1669</v>
      </c>
      <c r="R463" s="3">
        <v>37</v>
      </c>
      <c r="S463" s="3" t="str">
        <f ca="1">"a copy of The Denver Post newspaper, dated: "&amp;VLOOKUP(RANDBETWEEN(1,12),DATE,2)&amp;", "&amp;RANDBETWEEN(1863,1878)</f>
        <v>a copy of The Denver Post newspaper, dated: August 19, 1873</v>
      </c>
    </row>
    <row r="464" spans="4:19" ht="31.5" x14ac:dyDescent="0.2">
      <c r="D464" s="3">
        <v>463</v>
      </c>
      <c r="F464" s="3">
        <v>463</v>
      </c>
      <c r="H464" s="3">
        <v>463</v>
      </c>
      <c r="K464" s="14">
        <v>497</v>
      </c>
      <c r="N464" s="3">
        <v>21</v>
      </c>
      <c r="O464" s="3" t="s">
        <v>939</v>
      </c>
      <c r="P464" s="3">
        <v>84</v>
      </c>
      <c r="Q464" s="2" t="s">
        <v>1670</v>
      </c>
      <c r="R464" s="3">
        <v>38</v>
      </c>
      <c r="S464" s="3" t="str">
        <f ca="1">"a copy of The Cheyenne Ledger newspaper, dated: "&amp;VLOOKUP(RANDBETWEEN(1,12),DATE,2)&amp;", "&amp;RANDBETWEEN(1863,1878)</f>
        <v>a copy of The Cheyenne Ledger newspaper, dated: December 3, 1873</v>
      </c>
    </row>
    <row r="465" spans="4:19" ht="31.5" x14ac:dyDescent="0.2">
      <c r="D465" s="3">
        <v>464</v>
      </c>
      <c r="F465" s="3">
        <v>464</v>
      </c>
      <c r="H465" s="3">
        <v>464</v>
      </c>
      <c r="K465" s="14">
        <v>498</v>
      </c>
      <c r="N465" s="3">
        <v>22</v>
      </c>
      <c r="O465" s="3" t="s">
        <v>898</v>
      </c>
      <c r="P465" s="3">
        <v>85</v>
      </c>
      <c r="Q465" s="2" t="s">
        <v>3011</v>
      </c>
      <c r="R465" s="3">
        <v>39</v>
      </c>
      <c r="S465" s="3" t="str">
        <f ca="1">"a copy of the Butte City Telegraph newspaper, dated: "&amp;VLOOKUP(RANDBETWEEN(1,12),DATE,2)&amp;", "&amp;RANDBETWEEN(1863,1878)</f>
        <v>a copy of the Butte City Telegraph newspaper, dated: February 5, 1863</v>
      </c>
    </row>
    <row r="466" spans="4:19" ht="31.5" x14ac:dyDescent="0.2">
      <c r="D466" s="3">
        <v>465</v>
      </c>
      <c r="F466" s="3">
        <v>465</v>
      </c>
      <c r="H466" s="3">
        <v>465</v>
      </c>
      <c r="K466" s="14">
        <v>499</v>
      </c>
      <c r="N466" s="3">
        <v>23</v>
      </c>
      <c r="O466" s="3" t="s">
        <v>886</v>
      </c>
      <c r="P466" s="3">
        <v>86</v>
      </c>
      <c r="Q466" s="2" t="s">
        <v>1671</v>
      </c>
      <c r="R466" s="3">
        <v>40</v>
      </c>
      <c r="S466" s="3" t="str">
        <f ca="1">"a copy of The Rusty Glenn Gazette newspaper, dated: "&amp;VLOOKUP(RANDBETWEEN(1,12),DATE,2)&amp;", "&amp;RANDBETWEEN(1863,1877)</f>
        <v>a copy of The Rusty Glenn Gazette newspaper, dated: April 12, 1871</v>
      </c>
    </row>
    <row r="467" spans="4:19" ht="31.5" x14ac:dyDescent="0.2">
      <c r="D467" s="3">
        <v>466</v>
      </c>
      <c r="F467" s="3">
        <v>466</v>
      </c>
      <c r="H467" s="3">
        <v>466</v>
      </c>
      <c r="K467" s="14">
        <v>500</v>
      </c>
      <c r="N467" s="3">
        <v>24</v>
      </c>
      <c r="O467" s="3" t="s">
        <v>864</v>
      </c>
      <c r="P467" s="3">
        <v>87</v>
      </c>
      <c r="Q467" s="2" t="s">
        <v>1672</v>
      </c>
    </row>
    <row r="468" spans="4:19" x14ac:dyDescent="0.2">
      <c r="D468" s="3">
        <v>467</v>
      </c>
      <c r="F468" s="3">
        <v>467</v>
      </c>
      <c r="H468" s="3">
        <v>467</v>
      </c>
      <c r="K468" s="14">
        <v>501</v>
      </c>
      <c r="N468" s="3">
        <v>25</v>
      </c>
      <c r="O468" s="3" t="s">
        <v>984</v>
      </c>
      <c r="P468" s="3">
        <v>88</v>
      </c>
      <c r="Q468" s="2" t="s">
        <v>1673</v>
      </c>
      <c r="S468" s="22" t="s">
        <v>2279</v>
      </c>
    </row>
    <row r="469" spans="4:19" ht="47.25" x14ac:dyDescent="0.2">
      <c r="D469" s="3">
        <v>468</v>
      </c>
      <c r="F469" s="3">
        <v>468</v>
      </c>
      <c r="H469" s="3">
        <v>468</v>
      </c>
      <c r="K469" s="14">
        <v>502</v>
      </c>
      <c r="N469" s="3">
        <v>26</v>
      </c>
      <c r="O469" s="3" t="s">
        <v>940</v>
      </c>
      <c r="P469" s="3">
        <v>89</v>
      </c>
      <c r="Q469" s="2" t="s">
        <v>1674</v>
      </c>
      <c r="R469" s="3">
        <v>1</v>
      </c>
      <c r="S469" s="3" t="str">
        <f ca="1">"A(n) "&amp;VLOOKUP(RANDBETWEEN(1,12),MONTH,2)&amp;" "&amp;RANDBETWEEN(1830,1880)&amp;" Harper's Bazarr"&amp;VLOOKUP(RANDBETWEEN(1,6),Bonus,2)</f>
        <v>A(n) March 1872 Harper's Bazarr, if read it has an article one of the posse can use for a one time +2 bonus to a skill related to the magazine's theme.</v>
      </c>
    </row>
    <row r="470" spans="4:19" ht="47.25" x14ac:dyDescent="0.2">
      <c r="D470" s="3">
        <v>469</v>
      </c>
      <c r="F470" s="3">
        <v>469</v>
      </c>
      <c r="H470" s="3">
        <v>469</v>
      </c>
      <c r="K470" s="14">
        <v>503</v>
      </c>
      <c r="N470" s="3">
        <v>27</v>
      </c>
      <c r="O470" s="3" t="s">
        <v>866</v>
      </c>
      <c r="P470" s="3">
        <v>90</v>
      </c>
      <c r="Q470" s="2" t="s">
        <v>1675</v>
      </c>
      <c r="R470" s="3">
        <v>2</v>
      </c>
      <c r="S470" s="3" t="str">
        <f ca="1">"A(n) "&amp;VLOOKUP(RANDBETWEEN(1,12),MONTH,2)&amp;" "&amp;RANDBETWEEN(1830,1880)&amp;" Farmer's Almanack"&amp;VLOOKUP(RANDBETWEEN(1,6),Bonus,2)</f>
        <v>A(n) June 1873 Farmer's Almanack.</v>
      </c>
    </row>
    <row r="471" spans="4:19" ht="47.25" x14ac:dyDescent="0.2">
      <c r="D471" s="3">
        <v>470</v>
      </c>
      <c r="F471" s="3">
        <v>470</v>
      </c>
      <c r="H471" s="3">
        <v>470</v>
      </c>
      <c r="K471" s="14">
        <v>504</v>
      </c>
      <c r="N471" s="3">
        <v>28</v>
      </c>
      <c r="O471" s="3" t="s">
        <v>877</v>
      </c>
      <c r="P471" s="3">
        <v>91</v>
      </c>
      <c r="Q471" s="2" t="s">
        <v>1676</v>
      </c>
      <c r="R471" s="3">
        <v>3</v>
      </c>
      <c r="S471" s="3" t="str">
        <f ca="1">"A(n) "&amp;VLOOKUP(RANDBETWEEN(1,12),MONTH,2)&amp;" "&amp;RANDBETWEEN(1850,1878)&amp;" Adventures to Go Magazine"&amp;VLOOKUP(RANDBETWEEN(1,6),Bonus,2)</f>
        <v>A(n) April 1878 Adventures to Go Magazine.</v>
      </c>
    </row>
    <row r="472" spans="4:19" x14ac:dyDescent="0.2">
      <c r="D472" s="3">
        <v>471</v>
      </c>
      <c r="F472" s="3">
        <v>471</v>
      </c>
      <c r="H472" s="3">
        <v>471</v>
      </c>
      <c r="K472" s="14">
        <v>505</v>
      </c>
      <c r="N472" s="3">
        <v>29</v>
      </c>
      <c r="O472" s="3" t="s">
        <v>853</v>
      </c>
      <c r="P472" s="3">
        <v>92</v>
      </c>
      <c r="Q472" s="2" t="s">
        <v>1677</v>
      </c>
      <c r="R472" s="3">
        <v>4</v>
      </c>
      <c r="S472" s="3" t="str">
        <f ca="1">"A(n) "&amp;VLOOKUP(RANDBETWEEN(1,12),MONTH,2)&amp;" "&amp;RANDBETWEEN(1870,1878)&amp;" Smith &amp; Robards Catalogue"&amp;VLOOKUP(RANDBETWEEN(1,6),Bonus,2)</f>
        <v>A(n) October 1873 Smith &amp; Robards Catalogue.</v>
      </c>
    </row>
    <row r="473" spans="4:19" ht="31.5" x14ac:dyDescent="0.2">
      <c r="D473" s="3">
        <v>472</v>
      </c>
      <c r="F473" s="3">
        <v>472</v>
      </c>
      <c r="H473" s="3">
        <v>472</v>
      </c>
      <c r="K473" s="14">
        <v>506</v>
      </c>
      <c r="N473" s="3">
        <v>30</v>
      </c>
      <c r="O473" s="3" t="s">
        <v>868</v>
      </c>
      <c r="P473" s="3">
        <v>93</v>
      </c>
      <c r="Q473" s="2" t="s">
        <v>1678</v>
      </c>
      <c r="R473" s="3">
        <v>5</v>
      </c>
      <c r="S473" s="3" t="str">
        <f ca="1">"A(n) "&amp;VLOOKUP(RANDBETWEEN(1,12),MONTH,2)&amp;" "&amp;RANDBETWEEN(1830,1878)&amp;" Sears &amp; Robuck Catalogue"&amp;VLOOKUP(RANDBETWEEN(1,6),Bonus,2)</f>
        <v>A(n) March 1854 Sears &amp; Robuck Catalogue.</v>
      </c>
    </row>
    <row r="474" spans="4:19" ht="31.5" x14ac:dyDescent="0.2">
      <c r="D474" s="3">
        <v>473</v>
      </c>
      <c r="F474" s="3">
        <v>473</v>
      </c>
      <c r="H474" s="3">
        <v>473</v>
      </c>
      <c r="K474" s="14">
        <v>507</v>
      </c>
      <c r="N474" s="3">
        <v>31</v>
      </c>
      <c r="O474" s="3" t="s">
        <v>978</v>
      </c>
      <c r="P474" s="3">
        <v>94</v>
      </c>
      <c r="Q474" s="2" t="s">
        <v>1679</v>
      </c>
      <c r="R474" s="3">
        <v>6</v>
      </c>
      <c r="S474" s="3" t="str">
        <f ca="1">"A(n) "&amp;VLOOKUP(RANDBETWEEN(1,12),MONTH,2)&amp;" "&amp;RANDBETWEEN(1830,1878)&amp;" Montgomery Ward's Catalogue"&amp;VLOOKUP(RANDBETWEEN(1,6),Bonus,2)</f>
        <v>A(n) April 1841 Montgomery Ward's Catalogue.</v>
      </c>
    </row>
    <row r="475" spans="4:19" x14ac:dyDescent="0.2">
      <c r="D475" s="3">
        <v>474</v>
      </c>
      <c r="F475" s="3">
        <v>474</v>
      </c>
      <c r="H475" s="3">
        <v>474</v>
      </c>
      <c r="K475" s="14">
        <v>508</v>
      </c>
      <c r="N475" s="3">
        <v>32</v>
      </c>
      <c r="O475" s="3" t="s">
        <v>941</v>
      </c>
      <c r="P475" s="3">
        <v>95</v>
      </c>
      <c r="Q475" s="2" t="s">
        <v>1680</v>
      </c>
      <c r="R475" s="3">
        <v>7</v>
      </c>
      <c r="S475" s="3" t="str">
        <f ca="1">"A(n) "&amp;VLOOKUP(RANDBETWEEN(1,12),MONTH,2)&amp;" "&amp;RANDBETWEEN(1870,1878)&amp;" copy of The Guardian {children's magazine}"&amp;VLOOKUP(RANDBETWEEN(1,6),Bonus,2)</f>
        <v>A(n) April 1877 copy of The Guardian {children's magazine}.</v>
      </c>
    </row>
    <row r="476" spans="4:19" ht="47.25" x14ac:dyDescent="0.2">
      <c r="D476" s="3">
        <v>475</v>
      </c>
      <c r="F476" s="3">
        <v>475</v>
      </c>
      <c r="H476" s="3">
        <v>475</v>
      </c>
      <c r="K476" s="14">
        <v>509</v>
      </c>
      <c r="N476" s="3">
        <v>33</v>
      </c>
      <c r="O476" s="3" t="s">
        <v>851</v>
      </c>
      <c r="P476" s="3">
        <v>96</v>
      </c>
      <c r="Q476" s="2" t="s">
        <v>1681</v>
      </c>
      <c r="R476" s="3">
        <v>8</v>
      </c>
      <c r="S476" s="3" t="str">
        <f ca="1">"A(n) "&amp;VLOOKUP(RANDBETWEEN(1,12),MONTH,2)&amp;" "&amp;RANDBETWEEN(1870,1872)&amp;" copy of American Boy's Magazine {children's magazine}"&amp;VLOOKUP(RANDBETWEEN(1,6),Bonus,2)</f>
        <v>A(n) October 1871 copy of American Boy's Magazine {children's magazine}.</v>
      </c>
    </row>
    <row r="477" spans="4:19" ht="31.5" x14ac:dyDescent="0.2">
      <c r="D477" s="3">
        <v>476</v>
      </c>
      <c r="F477" s="3">
        <v>476</v>
      </c>
      <c r="H477" s="3">
        <v>476</v>
      </c>
      <c r="K477" s="14">
        <v>510</v>
      </c>
      <c r="N477" s="3">
        <v>34</v>
      </c>
      <c r="O477" s="3" t="s">
        <v>942</v>
      </c>
      <c r="P477" s="3">
        <v>97</v>
      </c>
      <c r="Q477" s="2" t="s">
        <v>1682</v>
      </c>
      <c r="R477" s="3">
        <v>9</v>
      </c>
      <c r="S477" s="3" t="str">
        <f ca="1">"A(n) "&amp;VLOOKUP(RANDBETWEEN(1,12),MONTH,2)&amp;" "&amp;RANDBETWEEN(1843,1880)&amp;" copy of Boy's and Girl's Magazine {children's magazine}"&amp;VLOOKUP(RANDBETWEEN(1,6),Bonus,2)</f>
        <v>A(n) April 1866 copy of Boy's and Girl's Magazine {children's magazine}.</v>
      </c>
    </row>
    <row r="478" spans="4:19" ht="31.5" x14ac:dyDescent="0.2">
      <c r="D478" s="3">
        <v>477</v>
      </c>
      <c r="F478" s="3">
        <v>477</v>
      </c>
      <c r="H478" s="3">
        <v>477</v>
      </c>
      <c r="K478" s="14">
        <v>511</v>
      </c>
      <c r="N478" s="3">
        <v>35</v>
      </c>
      <c r="O478" s="3" t="s">
        <v>870</v>
      </c>
      <c r="P478" s="3">
        <v>98</v>
      </c>
      <c r="Q478" s="2" t="s">
        <v>1683</v>
      </c>
      <c r="R478" s="3">
        <v>10</v>
      </c>
      <c r="S478" s="3" t="str">
        <f ca="1">"A(n) "&amp;VLOOKUP(RANDBETWEEN(1,12),MONTH,2)&amp;" "&amp;RANDBETWEEN(1800,1880)&amp;" copy of Uncle "&amp;VLOOKUP(RANDBETWEEN(1,233),NAME,2)&amp;"'s Magazine {children's magazine}"&amp;VLOOKUP(RANDBETWEEN(1,6),Bonus,2)</f>
        <v>A(n) April 1854 copy of Uncle Neal's Magazine {children's magazine}.</v>
      </c>
    </row>
    <row r="479" spans="4:19" ht="31.5" x14ac:dyDescent="0.2">
      <c r="D479" s="3">
        <v>478</v>
      </c>
      <c r="F479" s="3">
        <v>478</v>
      </c>
      <c r="H479" s="3">
        <v>478</v>
      </c>
      <c r="K479" s="14">
        <v>512</v>
      </c>
      <c r="N479" s="3">
        <v>36</v>
      </c>
      <c r="O479" s="3" t="s">
        <v>908</v>
      </c>
      <c r="P479" s="3">
        <v>99</v>
      </c>
      <c r="Q479" s="2" t="s">
        <v>1684</v>
      </c>
      <c r="R479" s="3">
        <v>11</v>
      </c>
      <c r="S479" s="3" t="str">
        <f ca="1">"A(n) "&amp;VLOOKUP(RANDBETWEEN(1,12),MONTH,2)&amp;" "&amp;RANDBETWEEN(1850,1878)&amp;" copy of Advocate of Science Magazine"&amp;VLOOKUP(RANDBETWEEN(1,6),Bonus,2)</f>
        <v>A(n) November 1862 copy of Advocate of Science Magazine.</v>
      </c>
    </row>
    <row r="480" spans="4:19" ht="31.5" x14ac:dyDescent="0.2">
      <c r="D480" s="3">
        <v>479</v>
      </c>
      <c r="F480" s="3">
        <v>479</v>
      </c>
      <c r="H480" s="3">
        <v>479</v>
      </c>
      <c r="K480" s="14">
        <v>513</v>
      </c>
      <c r="N480" s="3">
        <v>37</v>
      </c>
      <c r="O480" s="3" t="s">
        <v>909</v>
      </c>
      <c r="P480" s="3">
        <v>100</v>
      </c>
      <c r="Q480" s="2" t="s">
        <v>1622</v>
      </c>
      <c r="R480" s="3">
        <v>12</v>
      </c>
      <c r="S480" s="3" t="str">
        <f ca="1">"A(n) "&amp;VLOOKUP(RANDBETWEEN(1,12),MONTH,2)&amp;" "&amp;RANDBETWEEN(1850,1878)&amp;" copy of American Journal of Homoeopathy Magazine"&amp;VLOOKUP(RANDBETWEEN(1,6),Bonus,2)</f>
        <v>A(n) February 1871 copy of American Journal of Homoeopathy Magazine.</v>
      </c>
    </row>
    <row r="481" spans="4:19" ht="31.5" x14ac:dyDescent="0.2">
      <c r="D481" s="3">
        <v>480</v>
      </c>
      <c r="F481" s="3">
        <v>480</v>
      </c>
      <c r="H481" s="3">
        <v>480</v>
      </c>
      <c r="K481" s="14">
        <v>514</v>
      </c>
      <c r="N481" s="3">
        <v>38</v>
      </c>
      <c r="O481" s="3" t="s">
        <v>985</v>
      </c>
      <c r="R481" s="3">
        <v>13</v>
      </c>
      <c r="S481" s="3" t="str">
        <f ca="1">"A(n) "&amp;VLOOKUP(RANDBETWEEN(1,12),MONTH,2)&amp;" "&amp;RANDBETWEEN(1850,1878)&amp;" copy of American Journal of Medical Science Magazine"&amp;VLOOKUP(RANDBETWEEN(1,6),Bonus,2)</f>
        <v>A(n) March 1850 copy of American Journal of Medical Science Magazine.</v>
      </c>
    </row>
    <row r="482" spans="4:19" ht="31.5" x14ac:dyDescent="0.2">
      <c r="D482" s="3">
        <v>481</v>
      </c>
      <c r="F482" s="3">
        <v>481</v>
      </c>
      <c r="H482" s="3">
        <v>481</v>
      </c>
      <c r="K482" s="14">
        <v>515</v>
      </c>
      <c r="N482" s="3">
        <v>39</v>
      </c>
      <c r="O482" s="3" t="s">
        <v>854</v>
      </c>
      <c r="Q482" s="21" t="s">
        <v>1685</v>
      </c>
      <c r="R482" s="3">
        <v>14</v>
      </c>
      <c r="S482" s="3" t="str">
        <f ca="1">"A(n) "&amp;VLOOKUP(RANDBETWEEN(1,12),MONTH,2)&amp;" "&amp;RANDBETWEEN(1850,1878)&amp;" copy of the American Law Journal"&amp;VLOOKUP(RANDBETWEEN(1,6),Bonus,2)</f>
        <v>A(n) July 1868 copy of the American Law Journal.</v>
      </c>
    </row>
    <row r="483" spans="4:19" ht="47.25" x14ac:dyDescent="0.2">
      <c r="D483" s="3">
        <v>482</v>
      </c>
      <c r="F483" s="3">
        <v>482</v>
      </c>
      <c r="H483" s="3">
        <v>482</v>
      </c>
      <c r="K483" s="14">
        <v>516</v>
      </c>
      <c r="N483" s="3">
        <v>40</v>
      </c>
      <c r="O483" s="3" t="s">
        <v>943</v>
      </c>
      <c r="P483" s="3">
        <v>1</v>
      </c>
      <c r="Q483" s="2" t="s">
        <v>1686</v>
      </c>
      <c r="R483" s="3">
        <v>15</v>
      </c>
      <c r="S483" s="3" t="str">
        <f ca="1">"A(n) "&amp;VLOOKUP(RANDBETWEEN(1,12),MONTH,2)&amp;" "&amp;RANDBETWEEN(1850,1878)&amp;" copy of the American Mechanics Magazine"&amp;VLOOKUP(RANDBETWEEN(1,6),Bonus,2)</f>
        <v>A(n) May 1858 copy of the American Mechanics Magazine.</v>
      </c>
    </row>
    <row r="484" spans="4:19" ht="47.25" x14ac:dyDescent="0.2">
      <c r="D484" s="3">
        <v>483</v>
      </c>
      <c r="F484" s="3">
        <v>483</v>
      </c>
      <c r="H484" s="3">
        <v>483</v>
      </c>
      <c r="K484" s="14">
        <v>517</v>
      </c>
      <c r="N484" s="3">
        <v>41</v>
      </c>
      <c r="O484" s="3" t="s">
        <v>944</v>
      </c>
      <c r="P484" s="3">
        <v>2</v>
      </c>
      <c r="Q484" s="2" t="s">
        <v>1687</v>
      </c>
      <c r="R484" s="3">
        <v>16</v>
      </c>
      <c r="S484" s="3" t="str">
        <f ca="1">"A(n) "&amp;VLOOKUP(RANDBETWEEN(1,12),MONTH,2)&amp;" "&amp;RANDBETWEEN(1850,1878)&amp;" copy of Banker's Magazine"&amp;VLOOKUP(RANDBETWEEN(1,6),Bonus,2)</f>
        <v>A(n) November 1855 copy of Banker's Magazine.</v>
      </c>
    </row>
    <row r="485" spans="4:19" ht="31.5" x14ac:dyDescent="0.2">
      <c r="D485" s="3">
        <v>484</v>
      </c>
      <c r="F485" s="3">
        <v>484</v>
      </c>
      <c r="H485" s="3">
        <v>484</v>
      </c>
      <c r="K485" s="14">
        <v>518</v>
      </c>
      <c r="N485" s="3">
        <v>42</v>
      </c>
      <c r="O485" s="3" t="s">
        <v>979</v>
      </c>
      <c r="P485" s="3">
        <v>3</v>
      </c>
      <c r="Q485" s="2" t="s">
        <v>1688</v>
      </c>
      <c r="R485" s="3">
        <v>17</v>
      </c>
      <c r="S485" s="3" t="str">
        <f ca="1">"A(n) "&amp;VLOOKUP(RANDBETWEEN(1,12),MONTH,2)&amp;" "&amp;RANDBETWEEN(1850,1878)&amp;" copy of Biblical Repository and Classical Review Magazine"&amp;VLOOKUP(RANDBETWEEN(1,6),Bonus,2)</f>
        <v>A(n) June 1855 copy of Biblical Repository and Classical Review Magazine.</v>
      </c>
    </row>
    <row r="486" spans="4:19" ht="31.5" x14ac:dyDescent="0.2">
      <c r="D486" s="3">
        <v>485</v>
      </c>
      <c r="F486" s="3">
        <v>485</v>
      </c>
      <c r="H486" s="3">
        <v>485</v>
      </c>
      <c r="K486" s="14">
        <v>519</v>
      </c>
      <c r="N486" s="3">
        <v>43</v>
      </c>
      <c r="O486" s="3" t="s">
        <v>945</v>
      </c>
      <c r="P486" s="3">
        <v>4</v>
      </c>
      <c r="Q486" s="2" t="s">
        <v>1689</v>
      </c>
      <c r="R486" s="3">
        <v>18</v>
      </c>
      <c r="S486" s="3" t="str">
        <f ca="1">"A(n) "&amp;VLOOKUP(RANDBETWEEN(1,12),MONTH,2)&amp;" "&amp;RANDBETWEEN(1850,1878)&amp;" copy of Missionary's Journal Magazine"&amp;VLOOKUP(RANDBETWEEN(1,6),Bonus,2)</f>
        <v>A(n) February 1855 copy of Missionary's Journal Magazine.</v>
      </c>
    </row>
    <row r="487" spans="4:19" ht="31.5" x14ac:dyDescent="0.2">
      <c r="D487" s="3">
        <v>486</v>
      </c>
      <c r="F487" s="3">
        <v>486</v>
      </c>
      <c r="H487" s="3">
        <v>486</v>
      </c>
      <c r="K487" s="14">
        <v>520</v>
      </c>
      <c r="N487" s="3">
        <v>44</v>
      </c>
      <c r="O487" s="3" t="s">
        <v>946</v>
      </c>
      <c r="P487" s="3">
        <v>5</v>
      </c>
      <c r="Q487" s="2" t="s">
        <v>1690</v>
      </c>
      <c r="R487" s="3">
        <v>19</v>
      </c>
      <c r="S487" s="3" t="str">
        <f ca="1">"A(n) "&amp;VLOOKUP(RANDBETWEEN(1,12),MONTH,2)&amp;" "&amp;RANDBETWEEN(1850,1878)&amp;" copy of The Strand Magazine"&amp;VLOOKUP(RANDBETWEEN(1,6),Bonus,2)</f>
        <v>A(n) September 1860 copy of The Strand Magazine.</v>
      </c>
    </row>
    <row r="488" spans="4:19" ht="31.5" x14ac:dyDescent="0.2">
      <c r="D488" s="3">
        <v>487</v>
      </c>
      <c r="F488" s="3">
        <v>487</v>
      </c>
      <c r="H488" s="3">
        <v>487</v>
      </c>
      <c r="K488" s="14">
        <v>521</v>
      </c>
      <c r="N488" s="3">
        <v>45</v>
      </c>
      <c r="O488" s="3" t="s">
        <v>884</v>
      </c>
      <c r="P488" s="3">
        <v>6</v>
      </c>
      <c r="Q488" s="2" t="s">
        <v>1691</v>
      </c>
      <c r="R488" s="3">
        <v>20</v>
      </c>
      <c r="S488" s="3" t="str">
        <f ca="1">"A(n) "&amp;VLOOKUP(RANDBETWEEN(1,12),MONTH,2)&amp;" "&amp;RANDBETWEEN(1850,1878)&amp;" copy of Christian Journal and Literery Register Magazine"&amp;VLOOKUP(RANDBETWEEN(1,6),Bonus,2)</f>
        <v>A(n) August 1862 copy of Christian Journal and Literery Register Magazine, if read it has an article one of the posse can use for a one time +2 bonus to a skill related to the magazine's theme.</v>
      </c>
    </row>
    <row r="489" spans="4:19" ht="31.5" x14ac:dyDescent="0.2">
      <c r="D489" s="3">
        <v>488</v>
      </c>
      <c r="F489" s="3">
        <v>488</v>
      </c>
      <c r="H489" s="3">
        <v>488</v>
      </c>
      <c r="K489" s="14">
        <v>522</v>
      </c>
      <c r="N489" s="3">
        <v>46</v>
      </c>
      <c r="O489" s="3" t="s">
        <v>873</v>
      </c>
      <c r="P489" s="3">
        <v>7</v>
      </c>
      <c r="Q489" s="2" t="s">
        <v>1692</v>
      </c>
      <c r="R489" s="3">
        <v>21</v>
      </c>
      <c r="S489" s="3" t="str">
        <f ca="1">"A(n) "&amp;VLOOKUP(RANDBETWEEN(1,12),MONTH,2)&amp;" "&amp;RANDBETWEEN(1850,1878)&amp;" copy of "&amp;VLOOKUP(RANDBETWEEN(1,233),NAME,2)&amp;"'s Political Review Magazine"&amp;VLOOKUP(RANDBETWEEN(1,6),Bonus,2)</f>
        <v>A(n) April 1864 copy of Neal's Political Review Magazine.</v>
      </c>
    </row>
    <row r="490" spans="4:19" x14ac:dyDescent="0.2">
      <c r="D490" s="3">
        <v>489</v>
      </c>
      <c r="F490" s="3">
        <v>489</v>
      </c>
      <c r="H490" s="3">
        <v>489</v>
      </c>
      <c r="K490" s="14">
        <v>523</v>
      </c>
      <c r="N490" s="3">
        <v>47</v>
      </c>
      <c r="O490" s="3" t="s">
        <v>856</v>
      </c>
      <c r="R490" s="3">
        <v>22</v>
      </c>
      <c r="S490" s="3" t="str">
        <f ca="1">"A(n) "&amp;VLOOKUP(RANDBETWEEN(1,12),MONTH,2)&amp;" "&amp;RANDBETWEEN(1800,1880)&amp;" copy of "&amp;VLOOKUP(RANDBETWEEN(1,233),NAME,2)&amp;"'s Evangelical Magazine"&amp;VLOOKUP(RANDBETWEEN(1,6),Bonus,2)</f>
        <v>A(n) May 1838 copy of Bergman's Evangelical Magazine.</v>
      </c>
    </row>
    <row r="491" spans="4:19" x14ac:dyDescent="0.2">
      <c r="D491" s="3">
        <v>490</v>
      </c>
      <c r="F491" s="3">
        <v>490</v>
      </c>
      <c r="H491" s="3">
        <v>490</v>
      </c>
      <c r="K491" s="14">
        <v>524</v>
      </c>
      <c r="N491" s="3">
        <v>48</v>
      </c>
      <c r="O491" s="3" t="s">
        <v>947</v>
      </c>
      <c r="Q491" s="21" t="s">
        <v>928</v>
      </c>
      <c r="R491" s="3">
        <v>23</v>
      </c>
      <c r="S491" s="3" t="str">
        <f ca="1">"A(n) "&amp;VLOOKUP(RANDBETWEEN(1,12),DATE,2)&amp;" "&amp;RANDBETWEEN(1800,1880)&amp;" copy of Ladies' Weekly Museum Magazine"&amp;VLOOKUP(RANDBETWEEN(1,6),Bonus,2)</f>
        <v>A(n) April 12 1858 copy of Ladies' Weekly Museum Magazine.</v>
      </c>
    </row>
    <row r="492" spans="4:19" x14ac:dyDescent="0.2">
      <c r="D492" s="3">
        <v>491</v>
      </c>
      <c r="F492" s="3">
        <v>491</v>
      </c>
      <c r="H492" s="3">
        <v>491</v>
      </c>
      <c r="K492" s="14">
        <v>525</v>
      </c>
      <c r="N492" s="3">
        <v>49</v>
      </c>
      <c r="O492" s="3" t="s">
        <v>948</v>
      </c>
      <c r="P492" s="3">
        <v>1</v>
      </c>
      <c r="Q492" s="2" t="s">
        <v>1693</v>
      </c>
      <c r="R492" s="3">
        <v>24</v>
      </c>
      <c r="S492" s="3" t="str">
        <f ca="1">"A(n) "&amp;VLOOKUP(RANDBETWEEN(1,12),MONTH,2)&amp;" "&amp;RANDBETWEEN(1850,1878)&amp;" copy of Lady's Miscellany Magazine"&amp;VLOOKUP(RANDBETWEEN(1,6),Bonus,2)</f>
        <v>A(n) March 1871 copy of Lady's Miscellany Magazine.</v>
      </c>
    </row>
    <row r="493" spans="4:19" ht="31.5" x14ac:dyDescent="0.2">
      <c r="D493" s="3">
        <v>492</v>
      </c>
      <c r="F493" s="3">
        <v>492</v>
      </c>
      <c r="H493" s="3">
        <v>492</v>
      </c>
      <c r="K493" s="14">
        <v>526</v>
      </c>
      <c r="N493" s="3">
        <v>50</v>
      </c>
      <c r="O493" s="3" t="s">
        <v>949</v>
      </c>
      <c r="P493" s="3">
        <v>2</v>
      </c>
      <c r="Q493" s="2" t="s">
        <v>1694</v>
      </c>
      <c r="R493" s="3">
        <v>25</v>
      </c>
      <c r="S493" s="3" t="str">
        <f ca="1">"A(n) "&amp;VLOOKUP(RANDBETWEEN(1,12),MONTH,2)&amp;" "&amp;RANDBETWEEN(1850,1878)&amp;" copy of Latter Day Luminary Magazine"&amp;VLOOKUP(RANDBETWEEN(1,6),Bonus,2)</f>
        <v>A(n) April 1856 copy of Latter Day Luminary Magazine.</v>
      </c>
    </row>
    <row r="494" spans="4:19" x14ac:dyDescent="0.2">
      <c r="D494" s="3">
        <v>493</v>
      </c>
      <c r="F494" s="3">
        <v>493</v>
      </c>
      <c r="H494" s="3">
        <v>493</v>
      </c>
      <c r="K494" s="14">
        <v>527</v>
      </c>
      <c r="N494" s="3">
        <v>51</v>
      </c>
      <c r="O494" s="3" t="s">
        <v>950</v>
      </c>
      <c r="P494" s="3">
        <v>3</v>
      </c>
      <c r="Q494" s="2" t="s">
        <v>1695</v>
      </c>
      <c r="R494" s="3">
        <v>26</v>
      </c>
      <c r="S494" s="3" t="str">
        <f ca="1">"A(n) "&amp;VLOOKUP(RANDBETWEEN(1,12),MONTH,2)&amp;" "&amp;RANDBETWEEN(1850,1878)&amp;" copy of Masonic Casket Magazine"&amp;VLOOKUP(RANDBETWEEN(1,6),Bonus,2)</f>
        <v>A(n) July 1876 copy of Masonic Casket Magazine, if read it has an article one of the posse can use for a one time +2 bonus to a skill related to the magazine's theme.</v>
      </c>
    </row>
    <row r="495" spans="4:19" x14ac:dyDescent="0.2">
      <c r="D495" s="3">
        <v>494</v>
      </c>
      <c r="F495" s="3">
        <v>494</v>
      </c>
      <c r="H495" s="3">
        <v>494</v>
      </c>
      <c r="K495" s="14">
        <v>528</v>
      </c>
      <c r="N495" s="3">
        <v>52</v>
      </c>
      <c r="O495" s="3" t="s">
        <v>875</v>
      </c>
      <c r="P495" s="3">
        <v>4</v>
      </c>
      <c r="Q495" s="2" t="s">
        <v>1696</v>
      </c>
      <c r="R495" s="3">
        <v>27</v>
      </c>
      <c r="S495" s="3" t="str">
        <f ca="1">"A(n) "&amp;VLOOKUP(RANDBETWEEN(1,12),MONTH,2)&amp;" "&amp;RANDBETWEEN(1850,1878)&amp;" copy of Medical Reformer Magazine"&amp;VLOOKUP(RANDBETWEEN(1,6),Bonus,2)</f>
        <v>A(n) September 1852 copy of Medical Reformer Magazine.</v>
      </c>
    </row>
    <row r="496" spans="4:19" ht="47.25" x14ac:dyDescent="0.2">
      <c r="D496" s="3">
        <v>495</v>
      </c>
      <c r="F496" s="3">
        <v>495</v>
      </c>
      <c r="H496" s="3">
        <v>495</v>
      </c>
      <c r="K496" s="14">
        <v>529</v>
      </c>
      <c r="N496" s="3">
        <v>53</v>
      </c>
      <c r="O496" s="3" t="s">
        <v>863</v>
      </c>
      <c r="P496" s="3">
        <v>5</v>
      </c>
      <c r="Q496" s="2" t="s">
        <v>1697</v>
      </c>
      <c r="R496" s="3">
        <v>28</v>
      </c>
      <c r="S496" s="3" t="str">
        <f ca="1">"A(n) "&amp;VLOOKUP(RANDBETWEEN(1,12),MONTH,2)&amp;" "&amp;RANDBETWEEN(1850,1878)&amp;" copy of "&amp;VLOOKUP(RANDBETWEEN(1,233),NAME,2)&amp;"'s Democratic Digest Magazine"&amp;VLOOKUP(RANDBETWEEN(1,6),Bonus,2)</f>
        <v>A(n) November 1873 copy of McCall's Democratic Digest Magazine.</v>
      </c>
    </row>
    <row r="497" spans="4:19" x14ac:dyDescent="0.2">
      <c r="D497" s="3">
        <v>496</v>
      </c>
      <c r="F497" s="3">
        <v>496</v>
      </c>
      <c r="H497" s="3">
        <v>496</v>
      </c>
      <c r="K497" s="14">
        <v>530</v>
      </c>
      <c r="N497" s="3">
        <v>54</v>
      </c>
      <c r="O497" s="3" t="s">
        <v>857</v>
      </c>
      <c r="P497" s="3">
        <v>6</v>
      </c>
      <c r="Q497" s="2" t="s">
        <v>1698</v>
      </c>
      <c r="R497" s="3">
        <v>29</v>
      </c>
      <c r="S497" s="3" t="str">
        <f ca="1">"A(n) "&amp;VLOOKUP(RANDBETWEEN(1,12),MONTH,2)&amp;" "&amp;RANDBETWEEN(1850,1878)&amp;" copy of Methodist Review Magazine"&amp;VLOOKUP(RANDBETWEEN(1,6),Bonus,2)</f>
        <v>A(n) September 1853 copy of Methodist Review Magazine.</v>
      </c>
    </row>
    <row r="498" spans="4:19" x14ac:dyDescent="0.2">
      <c r="D498" s="3">
        <v>497</v>
      </c>
      <c r="F498" s="3">
        <v>497</v>
      </c>
      <c r="H498" s="3">
        <v>497</v>
      </c>
      <c r="K498" s="14">
        <v>531</v>
      </c>
      <c r="N498" s="3">
        <v>55</v>
      </c>
      <c r="O498" s="3" t="s">
        <v>852</v>
      </c>
      <c r="P498" s="3">
        <v>7</v>
      </c>
      <c r="Q498" s="2" t="s">
        <v>1699</v>
      </c>
      <c r="R498" s="3">
        <v>30</v>
      </c>
      <c r="S498" s="3" t="str">
        <f ca="1">"A(n) "&amp;VLOOKUP(RANDBETWEEN(1,12),MONTH,2)&amp;" "&amp;RANDBETWEEN(1850,1878)&amp;" copy of Catholic Cross Magazine"&amp;VLOOKUP(RANDBETWEEN(1,6),Bonus,2)</f>
        <v>A(n) June 1862 copy of Catholic Cross Magazine.</v>
      </c>
    </row>
    <row r="499" spans="4:19" ht="47.25" x14ac:dyDescent="0.2">
      <c r="D499" s="3">
        <v>498</v>
      </c>
      <c r="F499" s="3">
        <v>498</v>
      </c>
      <c r="H499" s="3">
        <v>498</v>
      </c>
      <c r="K499" s="14">
        <v>532</v>
      </c>
      <c r="N499" s="3">
        <v>56</v>
      </c>
      <c r="O499" s="3" t="s">
        <v>951</v>
      </c>
      <c r="P499" s="3">
        <v>8</v>
      </c>
      <c r="Q499" s="2" t="s">
        <v>1700</v>
      </c>
      <c r="R499" s="3">
        <v>31</v>
      </c>
      <c r="S499" s="3" t="str">
        <f ca="1">"A(n) "&amp;VLOOKUP(RANDBETWEEN(1,12),MONTH,2)&amp;" "&amp;RANDBETWEEN(1850,1878)&amp;" copy of Baptist Journal Magazine"&amp;VLOOKUP(RANDBETWEEN(1,6),Bonus,2)</f>
        <v>A(n) September 1853 copy of Baptist Journal Magazine.</v>
      </c>
    </row>
    <row r="500" spans="4:19" x14ac:dyDescent="0.2">
      <c r="D500" s="3">
        <v>499</v>
      </c>
      <c r="F500" s="3">
        <v>499</v>
      </c>
      <c r="H500" s="3">
        <v>499</v>
      </c>
      <c r="K500" s="14">
        <v>533</v>
      </c>
      <c r="N500" s="3">
        <v>57</v>
      </c>
      <c r="O500" s="3" t="s">
        <v>878</v>
      </c>
      <c r="P500" s="3">
        <v>9</v>
      </c>
      <c r="Q500" s="2" t="s">
        <v>1701</v>
      </c>
      <c r="R500" s="3">
        <v>32</v>
      </c>
      <c r="S500" s="3" t="str">
        <f ca="1">"A(n) "&amp;VLOOKUP(RANDBETWEEN(1,12),MONTH,2)&amp;" "&amp;RANDBETWEEN(1850,1878)&amp;" copy of National Government Journal Magazine"&amp;VLOOKUP(RANDBETWEEN(1,6),Bonus,2)</f>
        <v>A(n) October 1852 copy of National Government Journal Magazine.</v>
      </c>
    </row>
    <row r="501" spans="4:19" ht="31.5" x14ac:dyDescent="0.2">
      <c r="D501" s="3">
        <v>500</v>
      </c>
      <c r="F501" s="3">
        <v>500</v>
      </c>
      <c r="H501" s="3">
        <v>500</v>
      </c>
      <c r="K501" s="14">
        <v>534</v>
      </c>
      <c r="N501" s="3">
        <v>58</v>
      </c>
      <c r="O501" s="3" t="s">
        <v>843</v>
      </c>
      <c r="P501" s="3">
        <v>10</v>
      </c>
      <c r="Q501" s="2" t="s">
        <v>1702</v>
      </c>
      <c r="R501" s="3">
        <v>33</v>
      </c>
      <c r="S501" s="3" t="str">
        <f ca="1">"A(n) "&amp;VLOOKUP(RANDBETWEEN(1,12),MONTH,2)&amp;" "&amp;RANDBETWEEN(1850,1878)&amp;" copy of New England Journal of Medicine and Surgery and Collateral Branches of Science Magazine"&amp;VLOOKUP(RANDBETWEEN(1,6),Bonus,2)</f>
        <v>A(n) January 1873 copy of New England Journal of Medicine and Surgery and Collateral Branches of Science Magazine.</v>
      </c>
    </row>
    <row r="502" spans="4:19" x14ac:dyDescent="0.2">
      <c r="D502" s="3">
        <v>501</v>
      </c>
      <c r="F502" s="3">
        <v>501</v>
      </c>
      <c r="H502" s="3">
        <v>501</v>
      </c>
      <c r="K502" s="14">
        <v>535</v>
      </c>
      <c r="N502" s="3">
        <v>59</v>
      </c>
      <c r="O502" s="3" t="s">
        <v>976</v>
      </c>
      <c r="P502" s="3">
        <v>11</v>
      </c>
      <c r="Q502" s="2" t="s">
        <v>1703</v>
      </c>
      <c r="R502" s="3">
        <v>34</v>
      </c>
      <c r="S502" s="3" t="str">
        <f ca="1">"A(n) "&amp;VLOOKUP(RANDBETWEEN(1,12),MONTH,2)&amp;" "&amp;RANDBETWEEN(1850,1878)&amp;" copy of New York Review Magazine"&amp;VLOOKUP(RANDBETWEEN(1,6),Bonus,2)</f>
        <v>A(n) August 1868 copy of New York Review Magazine, if read it has an article one of the posse can use for a one time +2 bonus to a skill related to the magazine's theme.</v>
      </c>
    </row>
    <row r="503" spans="4:19" ht="47.25" x14ac:dyDescent="0.2">
      <c r="D503" s="3">
        <v>502</v>
      </c>
      <c r="F503" s="3">
        <v>502</v>
      </c>
      <c r="H503" s="3">
        <v>502</v>
      </c>
      <c r="K503" s="14">
        <v>536</v>
      </c>
      <c r="N503" s="3">
        <v>60</v>
      </c>
      <c r="O503" s="3" t="s">
        <v>952</v>
      </c>
      <c r="P503" s="3">
        <v>12</v>
      </c>
      <c r="Q503" s="2" t="s">
        <v>1704</v>
      </c>
      <c r="R503" s="3">
        <v>35</v>
      </c>
      <c r="S503" s="3" t="str">
        <f ca="1">"A(n) "&amp;VLOOKUP(RANDBETWEEN(1,12),MONTH,2)&amp;" "&amp;RANDBETWEEN(1850,1878)&amp;" copy of Roanoke Religious Correspondent Magazine"&amp;VLOOKUP(RANDBETWEEN(1,6),Bonus,2)</f>
        <v>A(n) February 1866 copy of Roanoke Religious Correspondent Magazine.</v>
      </c>
    </row>
    <row r="504" spans="4:19" x14ac:dyDescent="0.2">
      <c r="D504" s="3">
        <v>503</v>
      </c>
      <c r="F504" s="3">
        <v>503</v>
      </c>
      <c r="H504" s="3">
        <v>503</v>
      </c>
      <c r="K504" s="14">
        <v>537</v>
      </c>
      <c r="N504" s="3">
        <v>61</v>
      </c>
      <c r="O504" s="3" t="s">
        <v>882</v>
      </c>
      <c r="P504" s="3">
        <v>13</v>
      </c>
      <c r="Q504" s="2" t="s">
        <v>1705</v>
      </c>
      <c r="R504" s="3">
        <v>36</v>
      </c>
      <c r="S504" s="3" t="str">
        <f ca="1">"A(n) "&amp;VLOOKUP(RANDBETWEEN(1,12),MONTH,2)&amp;" "&amp;RANDBETWEEN(1850,1878)&amp;" copy of Whim Magazine"&amp;VLOOKUP(RANDBETWEEN(1,6),Bonus,2)</f>
        <v>A(n) August 1876 copy of Whim Magazine.</v>
      </c>
    </row>
    <row r="505" spans="4:19" ht="47.25" x14ac:dyDescent="0.2">
      <c r="D505" s="3">
        <v>504</v>
      </c>
      <c r="F505" s="3">
        <v>504</v>
      </c>
      <c r="H505" s="3">
        <v>504</v>
      </c>
      <c r="K505" s="14">
        <v>538</v>
      </c>
      <c r="N505" s="3">
        <v>62</v>
      </c>
      <c r="O505" s="3" t="s">
        <v>844</v>
      </c>
      <c r="P505" s="3">
        <v>14</v>
      </c>
      <c r="Q505" s="2" t="s">
        <v>1706</v>
      </c>
      <c r="R505" s="3">
        <v>37</v>
      </c>
      <c r="S505" s="3" t="str">
        <f ca="1">"A(n) "&amp;VLOOKUP(RANDBETWEEN(1,12),MONTH,2)&amp;" "&amp;RANDBETWEEN(1850,1878)&amp;" copy of Yale Literary Magazine"&amp;VLOOKUP(RANDBETWEEN(1,6),Bonus,2)</f>
        <v>A(n) October 1862 copy of Yale Literary Magazine, if read it has an article one of the posse can use for a one time +2 bonus to a skill related to the magazine's theme.</v>
      </c>
    </row>
    <row r="506" spans="4:19" x14ac:dyDescent="0.2">
      <c r="D506" s="3">
        <v>505</v>
      </c>
      <c r="F506" s="3">
        <v>505</v>
      </c>
      <c r="H506" s="3">
        <v>505</v>
      </c>
      <c r="K506" s="14">
        <v>539</v>
      </c>
      <c r="N506" s="3">
        <v>63</v>
      </c>
      <c r="O506" s="3" t="s">
        <v>953</v>
      </c>
      <c r="P506" s="3">
        <v>15</v>
      </c>
      <c r="Q506" s="2" t="s">
        <v>1707</v>
      </c>
      <c r="R506" s="3">
        <v>38</v>
      </c>
      <c r="S506" s="3" t="str">
        <f ca="1">"A(n) "&amp;VLOOKUP(RANDBETWEEN(1,12),MONTH,2)&amp;" "&amp;RANDBETWEEN(1850,1878)&amp;" copy of Yardley's Monthly Magazine"&amp;VLOOKUP(RANDBETWEEN(1,6),Bonus,2)</f>
        <v>A(n) March 1853 copy of Yardley's Monthly Magazine.</v>
      </c>
    </row>
    <row r="507" spans="4:19" ht="47.25" x14ac:dyDescent="0.2">
      <c r="D507" s="3">
        <v>506</v>
      </c>
      <c r="F507" s="3">
        <v>506</v>
      </c>
      <c r="H507" s="3">
        <v>506</v>
      </c>
      <c r="K507" s="14">
        <v>540</v>
      </c>
      <c r="N507" s="3">
        <v>64</v>
      </c>
      <c r="O507" s="3" t="s">
        <v>986</v>
      </c>
      <c r="P507" s="3">
        <v>16</v>
      </c>
      <c r="Q507" s="2" t="s">
        <v>1708</v>
      </c>
      <c r="R507" s="3">
        <v>39</v>
      </c>
      <c r="S507" s="3" t="str">
        <f ca="1">"A(n) "&amp;VLOOKUP(RANDBETWEEN(1,12),MONTH,2)&amp;" "&amp;RANDBETWEEN(1850,1878)&amp;" copy of Black Feather Journal Magazine"&amp;VLOOKUP(RANDBETWEEN(1,6),Bonus,2)</f>
        <v>A(n) November 1860 copy of Black Feather Journal Magazine.</v>
      </c>
    </row>
    <row r="508" spans="4:19" x14ac:dyDescent="0.2">
      <c r="D508" s="3">
        <v>507</v>
      </c>
      <c r="F508" s="3">
        <v>507</v>
      </c>
      <c r="H508" s="3">
        <v>507</v>
      </c>
      <c r="K508" s="14">
        <v>541</v>
      </c>
      <c r="N508" s="3">
        <v>65</v>
      </c>
      <c r="O508" s="3" t="s">
        <v>860</v>
      </c>
      <c r="P508" s="3">
        <v>17</v>
      </c>
      <c r="Q508" s="2" t="s">
        <v>1709</v>
      </c>
      <c r="R508" s="3">
        <v>40</v>
      </c>
      <c r="S508" s="3" t="str">
        <f ca="1">"A(n) "&amp;VLOOKUP(RANDBETWEEN(1,12),MONTH,2)&amp;" "&amp;RANDBETWEEN(1850,1878)&amp;" copy of Tome &amp; Lantern Magazine"&amp;VLOOKUP(RANDBETWEEN(1,6),Bonus,2)</f>
        <v>A(n) April 1867 copy of Tome &amp; Lantern Magazine, if read it has an article one of the posse can use for a one time +2 bonus to a skill related to the magazine's theme.</v>
      </c>
    </row>
    <row r="509" spans="4:19" ht="47.25" x14ac:dyDescent="0.2">
      <c r="D509" s="3">
        <v>508</v>
      </c>
      <c r="F509" s="3">
        <v>508</v>
      </c>
      <c r="H509" s="3">
        <v>508</v>
      </c>
      <c r="K509" s="14">
        <v>542</v>
      </c>
      <c r="N509" s="3">
        <v>66</v>
      </c>
      <c r="O509" s="3" t="s">
        <v>872</v>
      </c>
      <c r="P509" s="3">
        <v>18</v>
      </c>
      <c r="Q509" s="2" t="s">
        <v>1710</v>
      </c>
    </row>
    <row r="510" spans="4:19" ht="31.5" x14ac:dyDescent="0.2">
      <c r="D510" s="3">
        <v>509</v>
      </c>
      <c r="F510" s="3">
        <v>509</v>
      </c>
      <c r="H510" s="3">
        <v>509</v>
      </c>
      <c r="K510" s="14">
        <v>543</v>
      </c>
      <c r="N510" s="3">
        <v>67</v>
      </c>
      <c r="O510" s="3" t="s">
        <v>954</v>
      </c>
      <c r="P510" s="3">
        <v>19</v>
      </c>
      <c r="Q510" s="2" t="s">
        <v>1711</v>
      </c>
      <c r="S510" s="22" t="s">
        <v>2730</v>
      </c>
    </row>
    <row r="511" spans="4:19" x14ac:dyDescent="0.2">
      <c r="D511" s="3">
        <v>510</v>
      </c>
      <c r="F511" s="3">
        <v>510</v>
      </c>
      <c r="H511" s="3">
        <v>510</v>
      </c>
      <c r="K511" s="14">
        <v>544</v>
      </c>
      <c r="N511" s="3">
        <v>68</v>
      </c>
      <c r="O511" s="3" t="s">
        <v>885</v>
      </c>
      <c r="P511" s="3">
        <v>20</v>
      </c>
      <c r="Q511" s="2" t="s">
        <v>1712</v>
      </c>
      <c r="R511" s="3">
        <v>1</v>
      </c>
      <c r="S511" s="18" t="str">
        <f ca="1">"Faust, by Johann Wolfgang von Goethe {1808}"&amp;VLOOKUP(RANDBETWEEN(1,24),OCCULT,2)</f>
        <v xml:space="preserve">Faust, by Johann Wolfgang von Goethe {1808} </v>
      </c>
    </row>
    <row r="512" spans="4:19" x14ac:dyDescent="0.2">
      <c r="D512" s="3">
        <v>511</v>
      </c>
      <c r="F512" s="3">
        <v>511</v>
      </c>
      <c r="H512" s="3">
        <v>511</v>
      </c>
      <c r="K512" s="14">
        <v>545</v>
      </c>
      <c r="N512" s="3">
        <v>69</v>
      </c>
      <c r="O512" s="3" t="s">
        <v>858</v>
      </c>
      <c r="P512" s="3">
        <v>21</v>
      </c>
      <c r="Q512" s="2" t="s">
        <v>1713</v>
      </c>
      <c r="R512" s="3">
        <v>50</v>
      </c>
      <c r="S512" s="18" t="s">
        <v>2758</v>
      </c>
    </row>
    <row r="513" spans="4:20" ht="31.5" x14ac:dyDescent="0.2">
      <c r="D513" s="3">
        <v>512</v>
      </c>
      <c r="F513" s="3">
        <v>512</v>
      </c>
      <c r="H513" s="3">
        <v>512</v>
      </c>
      <c r="K513" s="14">
        <v>546</v>
      </c>
      <c r="N513" s="3">
        <v>70</v>
      </c>
      <c r="O513" s="3" t="s">
        <v>881</v>
      </c>
      <c r="P513" s="3">
        <v>22</v>
      </c>
      <c r="Q513" s="2" t="s">
        <v>1714</v>
      </c>
      <c r="R513" s="3">
        <v>100</v>
      </c>
      <c r="S513" s="18" t="s">
        <v>2759</v>
      </c>
    </row>
    <row r="514" spans="4:20" ht="31.5" x14ac:dyDescent="0.2">
      <c r="D514" s="3">
        <v>513</v>
      </c>
      <c r="F514" s="3">
        <v>513</v>
      </c>
      <c r="H514" s="3">
        <v>513</v>
      </c>
      <c r="K514" s="14">
        <v>547</v>
      </c>
      <c r="N514" s="3">
        <v>71</v>
      </c>
      <c r="O514" s="3" t="s">
        <v>849</v>
      </c>
      <c r="P514" s="3">
        <v>23</v>
      </c>
      <c r="Q514" s="2" t="s">
        <v>1715</v>
      </c>
      <c r="R514" s="3">
        <v>150</v>
      </c>
      <c r="S514" s="18" t="str">
        <f ca="1">"Pride and Prejudice and Zombies, by Jane Austen &amp; Seth Grahame-Smith {1813}"&amp;VLOOKUP(RANDBETWEEN(1,24),OCCULT,2)</f>
        <v xml:space="preserve">Pride and Prejudice and Zombies, by Jane Austen &amp; Seth Grahame-Smith {1813} </v>
      </c>
      <c r="T514" s="28"/>
    </row>
    <row r="515" spans="4:20" ht="31.5" x14ac:dyDescent="0.2">
      <c r="D515" s="3">
        <v>514</v>
      </c>
      <c r="F515" s="3">
        <v>514</v>
      </c>
      <c r="H515" s="3">
        <v>514</v>
      </c>
      <c r="K515" s="14">
        <v>548</v>
      </c>
      <c r="N515" s="3">
        <v>72</v>
      </c>
      <c r="O515" s="3" t="s">
        <v>867</v>
      </c>
      <c r="P515" s="3">
        <v>24</v>
      </c>
      <c r="Q515" s="2" t="s">
        <v>1716</v>
      </c>
      <c r="R515" s="3">
        <v>200</v>
      </c>
      <c r="S515" s="18" t="s">
        <v>2760</v>
      </c>
      <c r="T515" s="28"/>
    </row>
    <row r="516" spans="4:20" ht="31.5" x14ac:dyDescent="0.2">
      <c r="D516" s="3">
        <v>515</v>
      </c>
      <c r="F516" s="3">
        <v>515</v>
      </c>
      <c r="H516" s="3">
        <v>515</v>
      </c>
      <c r="K516" s="14">
        <v>549</v>
      </c>
      <c r="N516" s="3">
        <v>73</v>
      </c>
      <c r="O516" s="3" t="s">
        <v>955</v>
      </c>
      <c r="P516" s="3">
        <v>25</v>
      </c>
      <c r="Q516" s="2" t="s">
        <v>1717</v>
      </c>
      <c r="R516" s="3">
        <v>250</v>
      </c>
      <c r="S516" s="18" t="s">
        <v>2761</v>
      </c>
      <c r="T516" s="28"/>
    </row>
    <row r="517" spans="4:20" x14ac:dyDescent="0.2">
      <c r="D517" s="3">
        <v>516</v>
      </c>
      <c r="F517" s="3">
        <v>516</v>
      </c>
      <c r="H517" s="3">
        <v>516</v>
      </c>
      <c r="K517" s="14">
        <v>550</v>
      </c>
      <c r="N517" s="3">
        <v>74</v>
      </c>
      <c r="O517" s="3" t="s">
        <v>859</v>
      </c>
      <c r="P517" s="3">
        <v>26</v>
      </c>
      <c r="Q517" s="2" t="s">
        <v>1718</v>
      </c>
      <c r="R517" s="3">
        <v>300</v>
      </c>
      <c r="S517" s="18" t="s">
        <v>2762</v>
      </c>
      <c r="T517" s="28"/>
    </row>
    <row r="518" spans="4:20" ht="31.5" x14ac:dyDescent="0.2">
      <c r="D518" s="3">
        <v>517</v>
      </c>
      <c r="F518" s="3">
        <v>517</v>
      </c>
      <c r="H518" s="3">
        <v>517</v>
      </c>
      <c r="K518" s="14">
        <v>551</v>
      </c>
      <c r="N518" s="3">
        <v>75</v>
      </c>
      <c r="O518" s="3" t="s">
        <v>956</v>
      </c>
      <c r="P518" s="3">
        <v>27</v>
      </c>
      <c r="Q518" s="2" t="s">
        <v>1719</v>
      </c>
      <c r="R518" s="3">
        <v>350</v>
      </c>
      <c r="S518" s="18" t="str">
        <f ca="1">"Frankenstein, by Mary Shelley {1818}"&amp;VLOOKUP(RANDBETWEEN(1,24),OCCULT,2)</f>
        <v>Frankenstein, by Mary Shelley {1818}: If read the Posse member gains +1 to his/her Occult, but they gain a minor phobia or quirk.</v>
      </c>
      <c r="T518" s="28"/>
    </row>
    <row r="519" spans="4:20" x14ac:dyDescent="0.2">
      <c r="D519" s="3">
        <v>518</v>
      </c>
      <c r="F519" s="3">
        <v>518</v>
      </c>
      <c r="H519" s="3">
        <v>518</v>
      </c>
      <c r="K519" s="14">
        <v>552</v>
      </c>
      <c r="N519" s="3">
        <v>76</v>
      </c>
      <c r="O519" s="3" t="s">
        <v>861</v>
      </c>
      <c r="P519" s="3">
        <v>28</v>
      </c>
      <c r="Q519" s="2" t="s">
        <v>1720</v>
      </c>
      <c r="R519" s="3">
        <v>400</v>
      </c>
      <c r="S519" s="18" t="s">
        <v>2763</v>
      </c>
      <c r="T519" s="28"/>
    </row>
    <row r="520" spans="4:20" x14ac:dyDescent="0.2">
      <c r="D520" s="3">
        <v>519</v>
      </c>
      <c r="F520" s="3">
        <v>519</v>
      </c>
      <c r="H520" s="3">
        <v>519</v>
      </c>
      <c r="K520" s="14">
        <v>553</v>
      </c>
      <c r="N520" s="3">
        <v>77</v>
      </c>
      <c r="O520" s="3" t="s">
        <v>871</v>
      </c>
      <c r="P520" s="3">
        <v>29</v>
      </c>
      <c r="Q520" s="2" t="s">
        <v>1721</v>
      </c>
      <c r="R520" s="3">
        <v>450</v>
      </c>
      <c r="S520" s="18" t="str">
        <f ca="1">"Ivanhoe, by Walter Scott {1819}"&amp;VLOOKUP(RANDBETWEEN(1,24),OCCULT,2)</f>
        <v>Ivanhoe, by Walter Scott {1819}: Character may gain a +2 to their Occult, but must succeed a Gut Checks at a -4, failure means they must roll on the Scart Table.</v>
      </c>
      <c r="T520" s="28"/>
    </row>
    <row r="521" spans="4:20" x14ac:dyDescent="0.2">
      <c r="D521" s="3">
        <v>520</v>
      </c>
      <c r="F521" s="3">
        <v>520</v>
      </c>
      <c r="H521" s="3">
        <v>520</v>
      </c>
      <c r="K521" s="14">
        <v>554</v>
      </c>
      <c r="N521" s="3">
        <v>78</v>
      </c>
      <c r="O521" s="3" t="s">
        <v>957</v>
      </c>
      <c r="P521" s="3">
        <v>30</v>
      </c>
      <c r="Q521" s="2" t="s">
        <v>1722</v>
      </c>
      <c r="R521" s="3">
        <v>500</v>
      </c>
      <c r="S521" s="18" t="str">
        <f ca="1">"The Last of the Mohicans, by James Fenimore Cooper {1826}"&amp;VLOOKUP(RANDBETWEEN(1,24),OCCULT,2)</f>
        <v xml:space="preserve">The Last of the Mohicans, by James Fenimore Cooper {1826} </v>
      </c>
      <c r="T521" s="28"/>
    </row>
    <row r="522" spans="4:20" x14ac:dyDescent="0.2">
      <c r="D522" s="3">
        <v>521</v>
      </c>
      <c r="F522" s="3">
        <v>521</v>
      </c>
      <c r="H522" s="3">
        <v>521</v>
      </c>
      <c r="K522" s="14">
        <v>555</v>
      </c>
      <c r="N522" s="3">
        <v>79</v>
      </c>
      <c r="O522" s="3" t="s">
        <v>850</v>
      </c>
      <c r="P522" s="3">
        <v>31</v>
      </c>
      <c r="Q522" s="2" t="s">
        <v>1723</v>
      </c>
      <c r="R522" s="3">
        <v>550</v>
      </c>
      <c r="S522" s="18" t="s">
        <v>2818</v>
      </c>
      <c r="T522" s="28"/>
    </row>
    <row r="523" spans="4:20" ht="47.25" x14ac:dyDescent="0.2">
      <c r="D523" s="3">
        <v>522</v>
      </c>
      <c r="F523" s="3">
        <v>522</v>
      </c>
      <c r="H523" s="3">
        <v>522</v>
      </c>
      <c r="K523" s="14">
        <v>556</v>
      </c>
      <c r="N523" s="3">
        <v>80</v>
      </c>
      <c r="O523" s="3" t="s">
        <v>855</v>
      </c>
      <c r="P523" s="3">
        <v>32</v>
      </c>
      <c r="Q523" s="2" t="s">
        <v>1724</v>
      </c>
      <c r="R523" s="3">
        <v>600</v>
      </c>
      <c r="S523" s="18" t="str">
        <f ca="1">"The Hunchback of Notre-Dame, by Victor Hugo {1831}"&amp;VLOOKUP(RANDBETWEEN(1,24),OCCULT,2)</f>
        <v xml:space="preserve">The Hunchback of Notre-Dame, by Victor Hugo {1831} </v>
      </c>
      <c r="T523" s="28"/>
    </row>
    <row r="524" spans="4:20" ht="31.5" x14ac:dyDescent="0.2">
      <c r="D524" s="3">
        <v>523</v>
      </c>
      <c r="F524" s="3">
        <v>523</v>
      </c>
      <c r="H524" s="3">
        <v>523</v>
      </c>
      <c r="K524" s="14">
        <v>557</v>
      </c>
      <c r="N524" s="3">
        <v>81</v>
      </c>
      <c r="O524" s="3" t="s">
        <v>958</v>
      </c>
      <c r="P524" s="3">
        <v>33</v>
      </c>
      <c r="Q524" s="2" t="s">
        <v>1725</v>
      </c>
      <c r="R524" s="3">
        <v>650</v>
      </c>
      <c r="S524" s="18" t="s">
        <v>2807</v>
      </c>
      <c r="T524" s="28"/>
    </row>
    <row r="525" spans="4:20" x14ac:dyDescent="0.2">
      <c r="D525" s="3">
        <v>524</v>
      </c>
      <c r="F525" s="3">
        <v>524</v>
      </c>
      <c r="H525" s="3">
        <v>524</v>
      </c>
      <c r="K525" s="14">
        <v>558</v>
      </c>
      <c r="N525" s="3">
        <v>82</v>
      </c>
      <c r="O525" s="3" t="s">
        <v>880</v>
      </c>
      <c r="P525" s="3">
        <v>34</v>
      </c>
      <c r="Q525" s="2" t="s">
        <v>1726</v>
      </c>
      <c r="R525" s="3">
        <v>700</v>
      </c>
      <c r="S525" s="18" t="s">
        <v>2764</v>
      </c>
      <c r="T525" s="28"/>
    </row>
    <row r="526" spans="4:20" ht="31.5" x14ac:dyDescent="0.2">
      <c r="D526" s="3">
        <v>525</v>
      </c>
      <c r="F526" s="3">
        <v>525</v>
      </c>
      <c r="H526" s="3">
        <v>525</v>
      </c>
      <c r="K526" s="14">
        <v>559</v>
      </c>
      <c r="N526" s="3">
        <v>83</v>
      </c>
      <c r="O526" s="3" t="s">
        <v>876</v>
      </c>
      <c r="P526" s="3">
        <v>35</v>
      </c>
      <c r="Q526" s="2" t="s">
        <v>1727</v>
      </c>
      <c r="R526" s="3">
        <v>750</v>
      </c>
      <c r="S526" s="18" t="str">
        <f ca="1">"Complete Stories and Poems of Edgar Allan Poe, by Edgar Allan Poe {1838} "&amp;VLOOKUP(RANDBETWEEN(1,24),OCCULT,2)</f>
        <v>Complete Stories and Poems of Edgar Allan Poe, by Edgar Allan Poe {1838} : Character may gain a one time bonus level to their Occult, but must succeed 3 Gut Checks at a -4, failure means they must roll on the Scart Table.</v>
      </c>
      <c r="T526" s="28"/>
    </row>
    <row r="527" spans="4:20" ht="31.5" x14ac:dyDescent="0.2">
      <c r="D527" s="3">
        <v>526</v>
      </c>
      <c r="F527" s="3">
        <v>526</v>
      </c>
      <c r="H527" s="3">
        <v>526</v>
      </c>
      <c r="K527" s="14">
        <v>560</v>
      </c>
      <c r="N527" s="3">
        <v>84</v>
      </c>
      <c r="O527" s="3" t="s">
        <v>845</v>
      </c>
      <c r="P527" s="3">
        <v>36</v>
      </c>
      <c r="Q527" s="2" t="s">
        <v>1728</v>
      </c>
      <c r="R527" s="3">
        <v>800</v>
      </c>
      <c r="S527" s="18" t="s">
        <v>2813</v>
      </c>
      <c r="T527" s="28"/>
    </row>
    <row r="528" spans="4:20" x14ac:dyDescent="0.2">
      <c r="D528" s="3">
        <v>527</v>
      </c>
      <c r="F528" s="3">
        <v>527</v>
      </c>
      <c r="H528" s="3">
        <v>527</v>
      </c>
      <c r="K528" s="14">
        <v>561</v>
      </c>
      <c r="N528" s="3">
        <v>85</v>
      </c>
      <c r="O528" s="3" t="s">
        <v>846</v>
      </c>
      <c r="P528" s="3">
        <v>37</v>
      </c>
      <c r="Q528" s="2" t="s">
        <v>1729</v>
      </c>
      <c r="R528" s="3">
        <v>850</v>
      </c>
      <c r="S528" s="18" t="str">
        <f ca="1">"Dead Souls, by Nikolai Gogol {1842}"&amp;VLOOKUP(RANDBETWEEN(1,24),OCCULT,2)</f>
        <v xml:space="preserve">Dead Souls, by Nikolai Gogol {1842} </v>
      </c>
      <c r="T528" s="28"/>
    </row>
    <row r="529" spans="4:20" ht="31.5" x14ac:dyDescent="0.2">
      <c r="D529" s="3">
        <v>528</v>
      </c>
      <c r="F529" s="3">
        <v>528</v>
      </c>
      <c r="H529" s="3">
        <v>528</v>
      </c>
      <c r="K529" s="14">
        <v>562</v>
      </c>
      <c r="N529" s="3">
        <v>86</v>
      </c>
      <c r="O529" s="3" t="s">
        <v>959</v>
      </c>
      <c r="P529" s="3">
        <v>38</v>
      </c>
      <c r="Q529" s="2" t="s">
        <v>1730</v>
      </c>
      <c r="R529" s="3">
        <v>900</v>
      </c>
      <c r="S529" s="18" t="str">
        <f ca="1">"A Christmas Carol, by Charles Dickens {1843}"&amp;VLOOKUP(RANDBETWEEN(1,24),OCCULT,2)</f>
        <v xml:space="preserve">A Christmas Carol, by Charles Dickens {1843} </v>
      </c>
      <c r="T529" s="28"/>
    </row>
    <row r="530" spans="4:20" ht="31.5" x14ac:dyDescent="0.2">
      <c r="D530" s="3">
        <v>529</v>
      </c>
      <c r="F530" s="3">
        <v>529</v>
      </c>
      <c r="H530" s="3">
        <v>529</v>
      </c>
      <c r="K530" s="14">
        <v>563</v>
      </c>
      <c r="N530" s="3">
        <v>87</v>
      </c>
      <c r="O530" s="3" t="s">
        <v>987</v>
      </c>
      <c r="P530" s="3">
        <v>39</v>
      </c>
      <c r="Q530" s="2" t="s">
        <v>1731</v>
      </c>
      <c r="R530" s="3">
        <v>950</v>
      </c>
      <c r="S530" s="18" t="s">
        <v>2765</v>
      </c>
      <c r="T530" s="28"/>
    </row>
    <row r="531" spans="4:20" x14ac:dyDescent="0.2">
      <c r="D531" s="3">
        <v>530</v>
      </c>
      <c r="F531" s="3">
        <v>530</v>
      </c>
      <c r="H531" s="3">
        <v>530</v>
      </c>
      <c r="K531" s="14">
        <v>564</v>
      </c>
      <c r="N531" s="3">
        <v>88</v>
      </c>
      <c r="O531" s="3" t="s">
        <v>869</v>
      </c>
      <c r="P531" s="3">
        <v>40</v>
      </c>
      <c r="Q531" s="2" t="s">
        <v>1732</v>
      </c>
      <c r="R531" s="3">
        <v>1000</v>
      </c>
      <c r="S531" s="18" t="s">
        <v>2766</v>
      </c>
      <c r="T531" s="28"/>
    </row>
    <row r="532" spans="4:20" x14ac:dyDescent="0.2">
      <c r="D532" s="3">
        <v>531</v>
      </c>
      <c r="F532" s="3">
        <v>531</v>
      </c>
      <c r="H532" s="3">
        <v>531</v>
      </c>
      <c r="K532" s="14">
        <v>565</v>
      </c>
      <c r="N532" s="3">
        <v>89</v>
      </c>
      <c r="O532" s="3" t="s">
        <v>960</v>
      </c>
      <c r="P532" s="3">
        <v>41</v>
      </c>
      <c r="Q532" s="2" t="s">
        <v>1733</v>
      </c>
      <c r="R532" s="3">
        <v>1050</v>
      </c>
      <c r="S532" s="18" t="s">
        <v>2820</v>
      </c>
    </row>
    <row r="533" spans="4:20" x14ac:dyDescent="0.2">
      <c r="D533" s="3">
        <v>532</v>
      </c>
      <c r="F533" s="3">
        <v>532</v>
      </c>
      <c r="H533" s="3">
        <v>532</v>
      </c>
      <c r="K533" s="14">
        <v>566</v>
      </c>
      <c r="N533" s="3">
        <v>90</v>
      </c>
      <c r="O533" s="3" t="s">
        <v>862</v>
      </c>
      <c r="P533" s="3">
        <v>42</v>
      </c>
      <c r="Q533" s="2" t="s">
        <v>1734</v>
      </c>
      <c r="R533" s="3">
        <v>1100</v>
      </c>
      <c r="S533" s="18" t="s">
        <v>2767</v>
      </c>
    </row>
    <row r="534" spans="4:20" ht="31.5" x14ac:dyDescent="0.2">
      <c r="D534" s="3">
        <v>533</v>
      </c>
      <c r="F534" s="3">
        <v>533</v>
      </c>
      <c r="H534" s="3">
        <v>533</v>
      </c>
      <c r="K534" s="14">
        <v>567</v>
      </c>
      <c r="N534" s="3">
        <v>91</v>
      </c>
      <c r="O534" s="3" t="s">
        <v>961</v>
      </c>
      <c r="P534" s="3">
        <v>43</v>
      </c>
      <c r="Q534" s="2" t="s">
        <v>1735</v>
      </c>
      <c r="R534" s="3">
        <v>1150</v>
      </c>
      <c r="S534" s="18" t="s">
        <v>2768</v>
      </c>
    </row>
    <row r="535" spans="4:20" x14ac:dyDescent="0.2">
      <c r="D535" s="3">
        <v>534</v>
      </c>
      <c r="F535" s="3">
        <v>534</v>
      </c>
      <c r="H535" s="3">
        <v>534</v>
      </c>
      <c r="K535" s="14">
        <v>568</v>
      </c>
      <c r="N535" s="3">
        <v>92</v>
      </c>
      <c r="O535" s="3" t="s">
        <v>887</v>
      </c>
      <c r="P535" s="3">
        <v>44</v>
      </c>
      <c r="Q535" s="2" t="s">
        <v>1736</v>
      </c>
      <c r="R535" s="3">
        <v>1200</v>
      </c>
      <c r="S535" s="18" t="s">
        <v>2804</v>
      </c>
    </row>
    <row r="536" spans="4:20" x14ac:dyDescent="0.2">
      <c r="D536" s="3">
        <v>535</v>
      </c>
      <c r="F536" s="3">
        <v>535</v>
      </c>
      <c r="H536" s="3">
        <v>535</v>
      </c>
      <c r="K536" s="14">
        <v>569</v>
      </c>
      <c r="N536" s="3">
        <v>93</v>
      </c>
      <c r="O536" s="3" t="s">
        <v>879</v>
      </c>
      <c r="P536" s="3">
        <v>45</v>
      </c>
      <c r="Q536" s="2" t="s">
        <v>1737</v>
      </c>
      <c r="R536" s="3">
        <v>1250</v>
      </c>
      <c r="S536" s="18" t="s">
        <v>2816</v>
      </c>
    </row>
    <row r="537" spans="4:20" ht="31.5" x14ac:dyDescent="0.2">
      <c r="D537" s="3">
        <v>536</v>
      </c>
      <c r="F537" s="3">
        <v>536</v>
      </c>
      <c r="H537" s="3">
        <v>536</v>
      </c>
      <c r="K537" s="14">
        <v>570</v>
      </c>
      <c r="N537" s="3">
        <v>94</v>
      </c>
      <c r="O537" s="3" t="s">
        <v>883</v>
      </c>
      <c r="P537" s="3">
        <v>46</v>
      </c>
      <c r="Q537" s="2" t="s">
        <v>1738</v>
      </c>
      <c r="R537" s="3">
        <v>1300</v>
      </c>
      <c r="S537" s="18" t="s">
        <v>2769</v>
      </c>
    </row>
    <row r="538" spans="4:20" ht="31.5" x14ac:dyDescent="0.2">
      <c r="D538" s="3">
        <v>537</v>
      </c>
      <c r="F538" s="3">
        <v>537</v>
      </c>
      <c r="H538" s="3">
        <v>537</v>
      </c>
      <c r="K538" s="14">
        <v>571</v>
      </c>
      <c r="N538" s="3">
        <v>95</v>
      </c>
      <c r="O538" s="3" t="s">
        <v>874</v>
      </c>
      <c r="P538" s="3">
        <v>47</v>
      </c>
      <c r="Q538" s="2" t="s">
        <v>1739</v>
      </c>
      <c r="R538" s="3">
        <v>1350</v>
      </c>
      <c r="S538" s="18" t="s">
        <v>2814</v>
      </c>
    </row>
    <row r="539" spans="4:20" x14ac:dyDescent="0.2">
      <c r="D539" s="3">
        <v>538</v>
      </c>
      <c r="F539" s="3">
        <v>538</v>
      </c>
      <c r="H539" s="3">
        <v>538</v>
      </c>
      <c r="K539" s="14">
        <v>572</v>
      </c>
      <c r="N539" s="3">
        <v>96</v>
      </c>
      <c r="O539" s="3" t="s">
        <v>865</v>
      </c>
      <c r="P539" s="3">
        <v>48</v>
      </c>
      <c r="Q539" s="2" t="s">
        <v>1740</v>
      </c>
      <c r="R539" s="3">
        <v>1400</v>
      </c>
      <c r="S539" s="18" t="s">
        <v>2819</v>
      </c>
    </row>
    <row r="540" spans="4:20" ht="31.5" x14ac:dyDescent="0.2">
      <c r="D540" s="3">
        <v>539</v>
      </c>
      <c r="F540" s="3">
        <v>539</v>
      </c>
      <c r="H540" s="3">
        <v>539</v>
      </c>
      <c r="K540" s="14">
        <v>573</v>
      </c>
      <c r="N540" s="3">
        <v>97</v>
      </c>
      <c r="O540" s="3" t="s">
        <v>989</v>
      </c>
      <c r="P540" s="3">
        <v>49</v>
      </c>
      <c r="Q540" s="2" t="s">
        <v>1741</v>
      </c>
      <c r="R540" s="3">
        <v>1450</v>
      </c>
      <c r="S540" s="18" t="s">
        <v>2770</v>
      </c>
    </row>
    <row r="541" spans="4:20" x14ac:dyDescent="0.2">
      <c r="D541" s="3">
        <v>540</v>
      </c>
      <c r="F541" s="3">
        <v>540</v>
      </c>
      <c r="H541" s="3">
        <v>540</v>
      </c>
      <c r="K541" s="14">
        <v>574</v>
      </c>
      <c r="N541" s="3">
        <v>98</v>
      </c>
      <c r="O541" s="3" t="s">
        <v>988</v>
      </c>
      <c r="P541" s="3">
        <v>50</v>
      </c>
      <c r="Q541" s="2" t="s">
        <v>1742</v>
      </c>
      <c r="R541" s="3">
        <v>1500</v>
      </c>
      <c r="S541" s="18" t="s">
        <v>2771</v>
      </c>
    </row>
    <row r="542" spans="4:20" ht="31.5" x14ac:dyDescent="0.2">
      <c r="D542" s="3">
        <v>541</v>
      </c>
      <c r="F542" s="3">
        <v>541</v>
      </c>
      <c r="H542" s="3">
        <v>541</v>
      </c>
      <c r="K542" s="14">
        <v>575</v>
      </c>
      <c r="N542" s="3">
        <v>99</v>
      </c>
      <c r="O542" s="3" t="s">
        <v>899</v>
      </c>
      <c r="P542" s="3">
        <v>51</v>
      </c>
      <c r="Q542" s="2" t="s">
        <v>1743</v>
      </c>
      <c r="R542" s="3">
        <v>1550</v>
      </c>
      <c r="S542" s="18" t="s">
        <v>2772</v>
      </c>
    </row>
    <row r="543" spans="4:20" ht="31.5" x14ac:dyDescent="0.2">
      <c r="D543" s="3">
        <v>542</v>
      </c>
      <c r="F543" s="3">
        <v>542</v>
      </c>
      <c r="H543" s="3">
        <v>542</v>
      </c>
      <c r="K543" s="14">
        <v>576</v>
      </c>
      <c r="N543" s="3">
        <v>100</v>
      </c>
      <c r="O543" s="3" t="s">
        <v>900</v>
      </c>
      <c r="P543" s="3">
        <v>52</v>
      </c>
      <c r="Q543" s="2" t="s">
        <v>1744</v>
      </c>
      <c r="R543" s="3">
        <v>1600</v>
      </c>
      <c r="S543" s="18" t="s">
        <v>2806</v>
      </c>
    </row>
    <row r="544" spans="4:20" ht="31.5" x14ac:dyDescent="0.2">
      <c r="D544" s="3">
        <v>543</v>
      </c>
      <c r="F544" s="3">
        <v>543</v>
      </c>
      <c r="H544" s="3">
        <v>543</v>
      </c>
      <c r="K544" s="14">
        <v>577</v>
      </c>
      <c r="N544" s="3">
        <v>101</v>
      </c>
      <c r="O544" s="3" t="s">
        <v>901</v>
      </c>
      <c r="P544" s="3">
        <v>53</v>
      </c>
      <c r="Q544" s="2" t="s">
        <v>1745</v>
      </c>
      <c r="R544" s="3">
        <v>1650</v>
      </c>
      <c r="S544" s="18" t="s">
        <v>2773</v>
      </c>
    </row>
    <row r="545" spans="4:21" ht="31.5" x14ac:dyDescent="0.2">
      <c r="D545" s="3">
        <v>544</v>
      </c>
      <c r="F545" s="3">
        <v>544</v>
      </c>
      <c r="H545" s="3">
        <v>544</v>
      </c>
      <c r="K545" s="14">
        <v>578</v>
      </c>
      <c r="N545" s="3">
        <v>102</v>
      </c>
      <c r="O545" s="3" t="s">
        <v>902</v>
      </c>
      <c r="P545" s="3">
        <v>54</v>
      </c>
      <c r="Q545" s="2" t="s">
        <v>1746</v>
      </c>
      <c r="R545" s="3">
        <v>1700</v>
      </c>
      <c r="S545" s="18" t="str">
        <f ca="1">"Bleak House, by Charles Dickens {1853}"&amp;VLOOKUP(RANDBETWEEN(1,24),OCCULT,2)</f>
        <v xml:space="preserve">Bleak House, by Charles Dickens {1853} </v>
      </c>
    </row>
    <row r="546" spans="4:21" x14ac:dyDescent="0.2">
      <c r="D546" s="3">
        <v>545</v>
      </c>
      <c r="F546" s="3">
        <v>545</v>
      </c>
      <c r="H546" s="3">
        <v>545</v>
      </c>
      <c r="K546" s="14">
        <v>579</v>
      </c>
      <c r="N546" s="3">
        <v>103</v>
      </c>
      <c r="O546" s="3" t="str">
        <f>"'s home burnt down last night."</f>
        <v>'s home burnt down last night.</v>
      </c>
      <c r="P546" s="3">
        <v>55</v>
      </c>
      <c r="Q546" s="2" t="s">
        <v>1747</v>
      </c>
      <c r="R546" s="3">
        <v>1750</v>
      </c>
      <c r="S546" s="18" t="s">
        <v>2774</v>
      </c>
    </row>
    <row r="547" spans="4:21" x14ac:dyDescent="0.2">
      <c r="D547" s="3">
        <v>546</v>
      </c>
      <c r="F547" s="3">
        <v>546</v>
      </c>
      <c r="H547" s="3">
        <v>546</v>
      </c>
      <c r="K547" s="14">
        <v>580</v>
      </c>
      <c r="N547" s="3">
        <v>104</v>
      </c>
      <c r="O547" s="3" t="s">
        <v>847</v>
      </c>
      <c r="P547" s="3">
        <v>56</v>
      </c>
      <c r="Q547" s="2" t="s">
        <v>1748</v>
      </c>
      <c r="R547" s="3">
        <v>1800</v>
      </c>
      <c r="S547" s="18" t="str">
        <f ca="1">"Leaves of Grass, by Walt Whitman {1855}"&amp;VLOOKUP(RANDBETWEEN(1,24),OCCULT,2)</f>
        <v xml:space="preserve">Leaves of Grass, by Walt Whitman {1855} </v>
      </c>
    </row>
    <row r="548" spans="4:21" x14ac:dyDescent="0.2">
      <c r="D548" s="3">
        <v>547</v>
      </c>
      <c r="F548" s="3">
        <v>547</v>
      </c>
      <c r="H548" s="3">
        <v>547</v>
      </c>
      <c r="K548" s="14">
        <v>581</v>
      </c>
      <c r="N548" s="3">
        <v>105</v>
      </c>
      <c r="O548" s="3" t="s">
        <v>903</v>
      </c>
      <c r="P548" s="3">
        <v>57</v>
      </c>
      <c r="Q548" s="2" t="s">
        <v>1749</v>
      </c>
      <c r="R548" s="3">
        <v>1850</v>
      </c>
      <c r="S548" s="18" t="s">
        <v>2775</v>
      </c>
    </row>
    <row r="549" spans="4:21" ht="31.5" x14ac:dyDescent="0.2">
      <c r="D549" s="3">
        <v>548</v>
      </c>
      <c r="F549" s="3">
        <v>548</v>
      </c>
      <c r="H549" s="3">
        <v>548</v>
      </c>
      <c r="K549" s="14">
        <v>582</v>
      </c>
      <c r="N549" s="3">
        <v>106</v>
      </c>
      <c r="O549" s="3" t="s">
        <v>935</v>
      </c>
      <c r="P549" s="3">
        <v>58</v>
      </c>
      <c r="Q549" s="2" t="s">
        <v>1750</v>
      </c>
      <c r="R549" s="3">
        <v>1900</v>
      </c>
      <c r="S549" s="18" t="s">
        <v>2776</v>
      </c>
    </row>
    <row r="550" spans="4:21" ht="31.5" x14ac:dyDescent="0.2">
      <c r="D550" s="3">
        <v>549</v>
      </c>
      <c r="F550" s="3">
        <v>549</v>
      </c>
      <c r="H550" s="3">
        <v>549</v>
      </c>
      <c r="K550" s="14">
        <v>583</v>
      </c>
      <c r="N550" s="3">
        <v>107</v>
      </c>
      <c r="O550" s="3" t="s">
        <v>936</v>
      </c>
      <c r="P550" s="3">
        <v>59</v>
      </c>
      <c r="Q550" s="2" t="s">
        <v>1751</v>
      </c>
      <c r="R550" s="3">
        <v>1950</v>
      </c>
      <c r="S550" s="18" t="s">
        <v>2777</v>
      </c>
    </row>
    <row r="551" spans="4:21" x14ac:dyDescent="0.2">
      <c r="D551" s="3">
        <v>550</v>
      </c>
      <c r="F551" s="3">
        <v>550</v>
      </c>
      <c r="H551" s="3">
        <v>550</v>
      </c>
      <c r="K551" s="14">
        <v>584</v>
      </c>
      <c r="N551" s="3">
        <v>108</v>
      </c>
      <c r="O551" s="3" t="s">
        <v>934</v>
      </c>
      <c r="P551" s="3">
        <v>60</v>
      </c>
      <c r="Q551" s="2" t="s">
        <v>1752</v>
      </c>
      <c r="R551" s="3">
        <v>2000</v>
      </c>
      <c r="S551" s="18" t="s">
        <v>2778</v>
      </c>
    </row>
    <row r="552" spans="4:21" x14ac:dyDescent="0.2">
      <c r="D552" s="3">
        <v>551</v>
      </c>
      <c r="F552" s="3">
        <v>551</v>
      </c>
      <c r="H552" s="3">
        <v>551</v>
      </c>
      <c r="K552" s="14">
        <v>585</v>
      </c>
      <c r="N552" s="3">
        <v>109</v>
      </c>
      <c r="O552" s="3" t="s">
        <v>904</v>
      </c>
      <c r="R552" s="3">
        <v>2050</v>
      </c>
      <c r="S552" s="18" t="s">
        <v>2779</v>
      </c>
    </row>
    <row r="553" spans="4:21" ht="31.5" x14ac:dyDescent="0.2">
      <c r="D553" s="3">
        <v>552</v>
      </c>
      <c r="F553" s="3">
        <v>552</v>
      </c>
      <c r="H553" s="3">
        <v>552</v>
      </c>
      <c r="K553" s="14">
        <v>586</v>
      </c>
      <c r="N553" s="3">
        <v>110</v>
      </c>
      <c r="O553" s="3" t="s">
        <v>905</v>
      </c>
      <c r="Q553" s="21" t="s">
        <v>1753</v>
      </c>
      <c r="R553" s="3">
        <v>2100</v>
      </c>
      <c r="S553" s="18" t="s">
        <v>2812</v>
      </c>
    </row>
    <row r="554" spans="4:21" x14ac:dyDescent="0.2">
      <c r="D554" s="3">
        <v>553</v>
      </c>
      <c r="F554" s="3">
        <v>553</v>
      </c>
      <c r="H554" s="3">
        <v>553</v>
      </c>
      <c r="K554" s="14">
        <v>587</v>
      </c>
      <c r="N554" s="3">
        <v>111</v>
      </c>
      <c r="O554" s="3" t="s">
        <v>933</v>
      </c>
      <c r="P554" s="3">
        <v>1</v>
      </c>
      <c r="Q554" s="2" t="s">
        <v>1763</v>
      </c>
      <c r="R554" s="3">
        <v>2150</v>
      </c>
      <c r="S554" s="18" t="s">
        <v>2780</v>
      </c>
      <c r="U554" s="14"/>
    </row>
    <row r="555" spans="4:21" ht="63" x14ac:dyDescent="0.2">
      <c r="D555" s="3">
        <v>554</v>
      </c>
      <c r="F555" s="3">
        <v>554</v>
      </c>
      <c r="H555" s="3">
        <v>554</v>
      </c>
      <c r="K555" s="14">
        <v>588</v>
      </c>
      <c r="N555" s="3">
        <v>112</v>
      </c>
      <c r="O555" s="3" t="s">
        <v>932</v>
      </c>
      <c r="P555" s="3">
        <v>2</v>
      </c>
      <c r="Q555" s="2" t="s">
        <v>1754</v>
      </c>
      <c r="R555" s="3">
        <v>2200</v>
      </c>
      <c r="S555" s="18" t="s">
        <v>2808</v>
      </c>
      <c r="U555" s="14"/>
    </row>
    <row r="556" spans="4:21" ht="31.5" x14ac:dyDescent="0.2">
      <c r="D556" s="3">
        <v>555</v>
      </c>
      <c r="F556" s="3">
        <v>555</v>
      </c>
      <c r="H556" s="3">
        <v>555</v>
      </c>
      <c r="K556" s="14">
        <v>589</v>
      </c>
      <c r="N556" s="3">
        <v>113</v>
      </c>
      <c r="O556" s="3" t="s">
        <v>974</v>
      </c>
      <c r="P556" s="3">
        <v>3</v>
      </c>
      <c r="Q556" s="2" t="s">
        <v>1778</v>
      </c>
      <c r="R556" s="3">
        <v>2250</v>
      </c>
      <c r="S556" s="18" t="str">
        <f ca="1">"Notes from Underground, by Fyodor Dostoyevsky {1864}"&amp;VLOOKUP(RANDBETWEEN(1,24),OCCULT,2)</f>
        <v xml:space="preserve">Notes from Underground, by Fyodor Dostoyevsky {1864} </v>
      </c>
      <c r="U556" s="14"/>
    </row>
    <row r="557" spans="4:21" ht="47.25" x14ac:dyDescent="0.2">
      <c r="D557" s="3">
        <v>556</v>
      </c>
      <c r="F557" s="3">
        <v>556</v>
      </c>
      <c r="H557" s="3">
        <v>556</v>
      </c>
      <c r="K557" s="14">
        <v>590</v>
      </c>
      <c r="N557" s="3">
        <v>114</v>
      </c>
      <c r="O557" s="3" t="s">
        <v>937</v>
      </c>
      <c r="P557" s="3">
        <v>4</v>
      </c>
      <c r="Q557" s="2" t="s">
        <v>1772</v>
      </c>
      <c r="R557" s="3">
        <v>2300</v>
      </c>
      <c r="S557" s="18" t="str">
        <f ca="1">"Alice's Adventures in Wonderland &amp; Through the Looking-Glass, by Lewis Carroll {1865}"&amp;VLOOKUP(RANDBETWEEN(1,24),OCCULT,2)</f>
        <v>Alice's Adventures in Wonderland &amp; Through the Looking-Glass, by Lewis Carroll {1865}: If read the Posse member gains one time +2 bonus to a skill related to the book's theme.</v>
      </c>
      <c r="U557" s="14"/>
    </row>
    <row r="558" spans="4:21" ht="47.25" x14ac:dyDescent="0.2">
      <c r="D558" s="3">
        <v>557</v>
      </c>
      <c r="F558" s="3">
        <v>557</v>
      </c>
      <c r="H558" s="3">
        <v>557</v>
      </c>
      <c r="K558" s="14">
        <v>591</v>
      </c>
      <c r="N558" s="3">
        <v>115</v>
      </c>
      <c r="O558" s="3" t="s">
        <v>906</v>
      </c>
      <c r="P558" s="3">
        <v>5</v>
      </c>
      <c r="Q558" s="2" t="s">
        <v>1779</v>
      </c>
      <c r="R558" s="3">
        <v>2350</v>
      </c>
      <c r="S558" s="18" t="s">
        <v>2781</v>
      </c>
      <c r="U558" s="14"/>
    </row>
    <row r="559" spans="4:21" ht="31.5" x14ac:dyDescent="0.2">
      <c r="D559" s="3">
        <v>558</v>
      </c>
      <c r="F559" s="3">
        <v>558</v>
      </c>
      <c r="H559" s="3">
        <v>558</v>
      </c>
      <c r="K559" s="14">
        <v>592</v>
      </c>
      <c r="N559" s="3">
        <v>116</v>
      </c>
      <c r="O559" s="3" t="s">
        <v>990</v>
      </c>
      <c r="P559" s="3">
        <v>6</v>
      </c>
      <c r="Q559" s="2" t="s">
        <v>1770</v>
      </c>
      <c r="R559" s="3">
        <v>2400</v>
      </c>
      <c r="S559" s="18" t="s">
        <v>2742</v>
      </c>
      <c r="U559" s="14"/>
    </row>
    <row r="560" spans="4:21" ht="31.5" x14ac:dyDescent="0.2">
      <c r="D560" s="3">
        <v>559</v>
      </c>
      <c r="F560" s="3">
        <v>559</v>
      </c>
      <c r="H560" s="3">
        <v>559</v>
      </c>
      <c r="K560" s="14">
        <v>593</v>
      </c>
      <c r="N560" s="3">
        <v>117</v>
      </c>
      <c r="O560" s="3" t="s">
        <v>907</v>
      </c>
      <c r="P560" s="3">
        <v>7</v>
      </c>
      <c r="Q560" s="2" t="s">
        <v>1764</v>
      </c>
      <c r="R560" s="3">
        <v>2450</v>
      </c>
      <c r="S560" s="18" t="s">
        <v>2743</v>
      </c>
    </row>
    <row r="561" spans="4:21" ht="31.5" x14ac:dyDescent="0.2">
      <c r="D561" s="3">
        <v>560</v>
      </c>
      <c r="F561" s="3">
        <v>560</v>
      </c>
      <c r="H561" s="3">
        <v>560</v>
      </c>
      <c r="K561" s="14">
        <v>594</v>
      </c>
      <c r="N561" s="3">
        <v>118</v>
      </c>
      <c r="O561" s="3" t="s">
        <v>962</v>
      </c>
      <c r="P561" s="3">
        <v>8</v>
      </c>
      <c r="Q561" s="2" t="s">
        <v>1760</v>
      </c>
      <c r="R561" s="3">
        <v>2500</v>
      </c>
      <c r="S561" s="18" t="s">
        <v>2744</v>
      </c>
      <c r="U561" s="14"/>
    </row>
    <row r="562" spans="4:21" x14ac:dyDescent="0.2">
      <c r="D562" s="3">
        <v>561</v>
      </c>
      <c r="F562" s="3">
        <v>561</v>
      </c>
      <c r="H562" s="3">
        <v>561</v>
      </c>
      <c r="K562" s="14">
        <v>595</v>
      </c>
      <c r="N562" s="3">
        <v>119</v>
      </c>
      <c r="O562" s="3" t="s">
        <v>991</v>
      </c>
      <c r="P562" s="3">
        <v>9</v>
      </c>
      <c r="Q562" s="2" t="s">
        <v>1758</v>
      </c>
      <c r="R562" s="3">
        <v>2550</v>
      </c>
      <c r="S562" s="18" t="s">
        <v>2782</v>
      </c>
      <c r="U562" s="14"/>
    </row>
    <row r="563" spans="4:21" x14ac:dyDescent="0.2">
      <c r="D563" s="3">
        <v>562</v>
      </c>
      <c r="F563" s="3">
        <v>562</v>
      </c>
      <c r="H563" s="3">
        <v>562</v>
      </c>
      <c r="K563" s="14">
        <v>596</v>
      </c>
      <c r="P563" s="3">
        <v>10</v>
      </c>
      <c r="Q563" s="2" t="s">
        <v>1773</v>
      </c>
      <c r="R563" s="3">
        <v>2600</v>
      </c>
      <c r="S563" s="18" t="s">
        <v>2815</v>
      </c>
      <c r="U563" s="14"/>
    </row>
    <row r="564" spans="4:21" x14ac:dyDescent="0.2">
      <c r="D564" s="3">
        <v>563</v>
      </c>
      <c r="F564" s="3">
        <v>563</v>
      </c>
      <c r="H564" s="3">
        <v>563</v>
      </c>
      <c r="K564" s="14">
        <v>597</v>
      </c>
      <c r="O564" s="22" t="s">
        <v>2296</v>
      </c>
      <c r="P564" s="3">
        <v>11</v>
      </c>
      <c r="Q564" s="2" t="s">
        <v>1777</v>
      </c>
      <c r="R564" s="3">
        <v>2650</v>
      </c>
      <c r="S564" s="18" t="s">
        <v>2817</v>
      </c>
      <c r="U564" s="14"/>
    </row>
    <row r="565" spans="4:21" x14ac:dyDescent="0.2">
      <c r="D565" s="3">
        <v>564</v>
      </c>
      <c r="F565" s="3">
        <v>564</v>
      </c>
      <c r="H565" s="3">
        <v>564</v>
      </c>
      <c r="K565" s="14">
        <v>598</v>
      </c>
      <c r="N565" s="3">
        <v>1</v>
      </c>
      <c r="O565" s="3" t="str">
        <f ca="1">RANDBETWEEN(1,3)&amp;" pair(s) of chaps"</f>
        <v>2 pair(s) of chaps</v>
      </c>
      <c r="P565" s="3">
        <v>12</v>
      </c>
      <c r="Q565" s="2" t="s">
        <v>1755</v>
      </c>
      <c r="R565" s="3">
        <v>2700</v>
      </c>
      <c r="S565" s="18" t="s">
        <v>2745</v>
      </c>
      <c r="U565" s="14"/>
    </row>
    <row r="566" spans="4:21" x14ac:dyDescent="0.2">
      <c r="D566" s="3">
        <v>565</v>
      </c>
      <c r="F566" s="3">
        <v>565</v>
      </c>
      <c r="H566" s="3">
        <v>565</v>
      </c>
      <c r="K566" s="14">
        <v>599</v>
      </c>
      <c r="N566" s="3">
        <v>2</v>
      </c>
      <c r="O566" s="3" t="str">
        <f ca="1">RANDBETWEEN(1,5)&amp;" dress blouse(s)"</f>
        <v>3 dress blouse(s)</v>
      </c>
      <c r="P566" s="3">
        <v>13</v>
      </c>
      <c r="Q566" s="2" t="s">
        <v>1775</v>
      </c>
      <c r="R566" s="3">
        <v>2750</v>
      </c>
      <c r="S566" s="18" t="s">
        <v>2783</v>
      </c>
      <c r="U566" s="14"/>
    </row>
    <row r="567" spans="4:21" x14ac:dyDescent="0.2">
      <c r="D567" s="3">
        <v>566</v>
      </c>
      <c r="F567" s="3">
        <v>566</v>
      </c>
      <c r="H567" s="3">
        <v>566</v>
      </c>
      <c r="K567" s="14">
        <v>600</v>
      </c>
      <c r="N567" s="3">
        <v>3</v>
      </c>
      <c r="O567" s="3" t="str">
        <f ca="1">RANDBETWEEN(1,5)&amp;" dress shirt(s)"</f>
        <v>2 dress shirt(s)</v>
      </c>
      <c r="P567" s="3">
        <v>14</v>
      </c>
      <c r="Q567" s="2" t="s">
        <v>1771</v>
      </c>
      <c r="R567" s="3">
        <v>2800</v>
      </c>
      <c r="S567" s="18" t="s">
        <v>2811</v>
      </c>
      <c r="U567" s="14"/>
    </row>
    <row r="568" spans="4:21" x14ac:dyDescent="0.2">
      <c r="D568" s="3">
        <v>567</v>
      </c>
      <c r="F568" s="3">
        <v>567</v>
      </c>
      <c r="H568" s="3">
        <v>567</v>
      </c>
      <c r="K568" s="14">
        <v>601</v>
      </c>
      <c r="N568" s="3">
        <v>4</v>
      </c>
      <c r="O568" s="3" t="str">
        <f ca="1">RANDBETWEEN(1,5)&amp;" fancy dress(es)"</f>
        <v>5 fancy dress(es)</v>
      </c>
      <c r="P568" s="3">
        <v>15</v>
      </c>
      <c r="Q568" s="2" t="s">
        <v>1776</v>
      </c>
      <c r="R568" s="3">
        <v>2850</v>
      </c>
      <c r="S568" s="18" t="str">
        <f ca="1">"Twenty Thousand Leagues Under the Sea, by Jules Verne {1869}"&amp;VLOOKUP(RANDBETWEEN(1,24),OCCULT,2)</f>
        <v xml:space="preserve">Twenty Thousand Leagues Under the Sea, by Jules Verne {1869} </v>
      </c>
      <c r="U568" s="14"/>
    </row>
    <row r="569" spans="4:21" x14ac:dyDescent="0.2">
      <c r="D569" s="3">
        <v>568</v>
      </c>
      <c r="F569" s="3">
        <v>568</v>
      </c>
      <c r="H569" s="3">
        <v>568</v>
      </c>
      <c r="K569" s="14">
        <v>602</v>
      </c>
      <c r="N569" s="3">
        <v>5</v>
      </c>
      <c r="O569" s="3" t="s">
        <v>2280</v>
      </c>
      <c r="P569" s="3">
        <v>16</v>
      </c>
      <c r="Q569" s="2" t="s">
        <v>1765</v>
      </c>
      <c r="R569" s="3">
        <v>2900</v>
      </c>
      <c r="S569" s="18" t="s">
        <v>2746</v>
      </c>
      <c r="U569" s="14"/>
    </row>
    <row r="570" spans="4:21" ht="31.5" x14ac:dyDescent="0.2">
      <c r="D570" s="3">
        <v>569</v>
      </c>
      <c r="F570" s="3">
        <v>569</v>
      </c>
      <c r="H570" s="3">
        <v>569</v>
      </c>
      <c r="K570" s="14">
        <v>603</v>
      </c>
      <c r="N570" s="3">
        <v>6</v>
      </c>
      <c r="O570" s="3" t="str">
        <f ca="1">RANDBETWEEN(1,5)&amp;" pair(s) of long johns"</f>
        <v>2 pair(s) of long johns</v>
      </c>
      <c r="P570" s="3">
        <v>17</v>
      </c>
      <c r="Q570" s="2" t="s">
        <v>1762</v>
      </c>
      <c r="R570" s="3">
        <v>2950</v>
      </c>
      <c r="S570" s="18" t="s">
        <v>2747</v>
      </c>
      <c r="U570" s="14"/>
    </row>
    <row r="571" spans="4:21" x14ac:dyDescent="0.2">
      <c r="D571" s="3">
        <v>570</v>
      </c>
      <c r="F571" s="3">
        <v>570</v>
      </c>
      <c r="H571" s="3">
        <v>570</v>
      </c>
      <c r="K571" s="14">
        <v>604</v>
      </c>
      <c r="N571" s="3">
        <v>7</v>
      </c>
      <c r="O571" s="3" t="str">
        <f ca="1">RANDBETWEEN(2,11)&amp;" pairs of silk stockings"</f>
        <v>10 pairs of silk stockings</v>
      </c>
      <c r="P571" s="3">
        <v>18</v>
      </c>
      <c r="Q571" s="2" t="s">
        <v>1768</v>
      </c>
      <c r="R571" s="3">
        <v>3000</v>
      </c>
      <c r="S571" s="18" t="s">
        <v>2784</v>
      </c>
      <c r="U571" s="14"/>
    </row>
    <row r="572" spans="4:21" ht="31.5" x14ac:dyDescent="0.2">
      <c r="D572" s="3">
        <v>571</v>
      </c>
      <c r="F572" s="3">
        <v>571</v>
      </c>
      <c r="H572" s="3">
        <v>571</v>
      </c>
      <c r="K572" s="14">
        <v>605</v>
      </c>
      <c r="N572" s="3">
        <v>8</v>
      </c>
      <c r="O572" s="3" t="str">
        <f ca="1">RANDBETWEEN(2,10)&amp;" pairs of socks"</f>
        <v>2 pairs of socks</v>
      </c>
      <c r="P572" s="3">
        <v>19</v>
      </c>
      <c r="Q572" s="2" t="s">
        <v>1761</v>
      </c>
      <c r="R572" s="3">
        <v>3050</v>
      </c>
      <c r="S572" s="18" t="s">
        <v>3012</v>
      </c>
      <c r="U572" s="14"/>
    </row>
    <row r="573" spans="4:21" x14ac:dyDescent="0.2">
      <c r="D573" s="3">
        <v>572</v>
      </c>
      <c r="F573" s="3">
        <v>572</v>
      </c>
      <c r="H573" s="3">
        <v>572</v>
      </c>
      <c r="K573" s="14">
        <v>606</v>
      </c>
      <c r="N573" s="3">
        <v>9</v>
      </c>
      <c r="O573" s="3" t="str">
        <f ca="1">RANDBETWEEN(1,19)&amp;" pair(s) of holey socks"</f>
        <v>4 pair(s) of holey socks</v>
      </c>
      <c r="P573" s="3">
        <v>20</v>
      </c>
      <c r="Q573" s="2" t="s">
        <v>1756</v>
      </c>
      <c r="R573" s="3">
        <v>3100</v>
      </c>
      <c r="S573" s="18" t="s">
        <v>2748</v>
      </c>
      <c r="U573" s="14"/>
    </row>
    <row r="574" spans="4:21" x14ac:dyDescent="0.2">
      <c r="D574" s="3">
        <v>573</v>
      </c>
      <c r="F574" s="3">
        <v>573</v>
      </c>
      <c r="H574" s="3">
        <v>573</v>
      </c>
      <c r="K574" s="14">
        <v>607</v>
      </c>
      <c r="N574" s="3">
        <v>10</v>
      </c>
      <c r="O574" s="3" t="str">
        <f ca="1">RANDBETWEEN(1,5)&amp;" work blouse(s)"</f>
        <v>5 work blouse(s)</v>
      </c>
      <c r="P574" s="3">
        <v>21</v>
      </c>
      <c r="Q574" s="2" t="s">
        <v>1767</v>
      </c>
      <c r="R574" s="3">
        <v>3150</v>
      </c>
      <c r="S574" s="18" t="s">
        <v>2749</v>
      </c>
      <c r="U574" s="14"/>
    </row>
    <row r="575" spans="4:21" x14ac:dyDescent="0.2">
      <c r="D575" s="3">
        <v>574</v>
      </c>
      <c r="F575" s="3">
        <v>574</v>
      </c>
      <c r="H575" s="3">
        <v>574</v>
      </c>
      <c r="K575" s="14">
        <v>608</v>
      </c>
      <c r="N575" s="3">
        <v>11</v>
      </c>
      <c r="O575" s="3" t="str">
        <f ca="1">RANDBETWEEN(1,5)&amp;" work shirt(s)"</f>
        <v>1 work shirt(s)</v>
      </c>
      <c r="P575" s="3">
        <v>22</v>
      </c>
      <c r="Q575" s="2" t="s">
        <v>1757</v>
      </c>
      <c r="R575" s="3">
        <v>3200</v>
      </c>
      <c r="S575" s="18" t="s">
        <v>2785</v>
      </c>
      <c r="U575" s="14"/>
    </row>
    <row r="576" spans="4:21" x14ac:dyDescent="0.2">
      <c r="D576" s="3">
        <v>575</v>
      </c>
      <c r="F576" s="3">
        <v>575</v>
      </c>
      <c r="H576" s="3">
        <v>575</v>
      </c>
      <c r="K576" s="14">
        <v>609</v>
      </c>
      <c r="N576" s="3">
        <v>12</v>
      </c>
      <c r="O576" s="3" t="s">
        <v>2288</v>
      </c>
      <c r="P576" s="3">
        <v>23</v>
      </c>
      <c r="Q576" s="2" t="s">
        <v>1774</v>
      </c>
      <c r="R576" s="3">
        <v>3250</v>
      </c>
      <c r="S576" s="18" t="s">
        <v>2786</v>
      </c>
      <c r="U576" s="14"/>
    </row>
    <row r="577" spans="4:21" x14ac:dyDescent="0.2">
      <c r="D577" s="3">
        <v>576</v>
      </c>
      <c r="F577" s="3">
        <v>576</v>
      </c>
      <c r="H577" s="3">
        <v>576</v>
      </c>
      <c r="K577" s="14">
        <v>610</v>
      </c>
      <c r="N577" s="3">
        <v>13</v>
      </c>
      <c r="O577" s="3" t="str">
        <f ca="1">RANDBETWEEN(1,2)&amp;" pair(s) boots"</f>
        <v>1 pair(s) boots</v>
      </c>
      <c r="P577" s="3">
        <v>24</v>
      </c>
      <c r="Q577" s="2" t="s">
        <v>1766</v>
      </c>
      <c r="R577" s="3">
        <v>3300</v>
      </c>
      <c r="S577" s="18" t="s">
        <v>2787</v>
      </c>
      <c r="U577" s="14"/>
    </row>
    <row r="578" spans="4:21" x14ac:dyDescent="0.2">
      <c r="D578" s="3">
        <v>577</v>
      </c>
      <c r="F578" s="3">
        <v>577</v>
      </c>
      <c r="H578" s="3">
        <v>577</v>
      </c>
      <c r="K578" s="14">
        <v>611</v>
      </c>
      <c r="N578" s="3">
        <v>14</v>
      </c>
      <c r="O578" s="3" t="str">
        <f ca="1">RANDBETWEEN(1,3)&amp;" pair(s) shoes"</f>
        <v>2 pair(s) shoes</v>
      </c>
      <c r="P578" s="3">
        <v>25</v>
      </c>
      <c r="Q578" s="2" t="s">
        <v>1759</v>
      </c>
      <c r="R578" s="3">
        <v>3350</v>
      </c>
      <c r="S578" s="18" t="s">
        <v>2750</v>
      </c>
      <c r="U578" s="14"/>
    </row>
    <row r="579" spans="4:21" ht="31.5" x14ac:dyDescent="0.2">
      <c r="D579" s="3">
        <v>578</v>
      </c>
      <c r="F579" s="3">
        <v>578</v>
      </c>
      <c r="H579" s="3">
        <v>578</v>
      </c>
      <c r="K579" s="14">
        <v>612</v>
      </c>
      <c r="N579" s="3">
        <v>15</v>
      </c>
      <c r="O579" s="3" t="s">
        <v>2289</v>
      </c>
      <c r="P579" s="3">
        <v>26</v>
      </c>
      <c r="Q579" s="2" t="s">
        <v>1769</v>
      </c>
      <c r="R579" s="3">
        <v>3400</v>
      </c>
      <c r="S579" s="18" t="s">
        <v>2751</v>
      </c>
      <c r="U579" s="14"/>
    </row>
    <row r="580" spans="4:21" x14ac:dyDescent="0.2">
      <c r="D580" s="3">
        <v>579</v>
      </c>
      <c r="F580" s="3">
        <v>579</v>
      </c>
      <c r="H580" s="3">
        <v>579</v>
      </c>
      <c r="K580" s="14">
        <v>613</v>
      </c>
      <c r="N580" s="3">
        <v>16</v>
      </c>
      <c r="O580" s="3" t="s">
        <v>2290</v>
      </c>
      <c r="R580" s="3">
        <v>3450</v>
      </c>
      <c r="S580" s="18" t="str">
        <f ca="1">"The Adventures of Tom Sawyer, by Mark Twain {1876}"&amp;VLOOKUP(RANDBETWEEN(1,24),OCCULT,2)</f>
        <v>The Adventures of Tom Sawyer, by Mark Twain {1876}: If read the Posse member gains one time +2 bonus to a skill related to the book's theme.</v>
      </c>
      <c r="U580" s="14"/>
    </row>
    <row r="581" spans="4:21" x14ac:dyDescent="0.2">
      <c r="D581" s="3">
        <v>580</v>
      </c>
      <c r="F581" s="3">
        <v>580</v>
      </c>
      <c r="H581" s="3">
        <v>580</v>
      </c>
      <c r="K581" s="14">
        <v>614</v>
      </c>
      <c r="N581" s="3">
        <v>17</v>
      </c>
      <c r="O581" s="3" t="s">
        <v>2291</v>
      </c>
      <c r="Q581" s="21" t="s">
        <v>1780</v>
      </c>
      <c r="R581" s="3">
        <v>3500</v>
      </c>
      <c r="S581" s="18" t="str">
        <f ca="1">"A Murder, a Mystery, and a Marriage, by Mark Twain {1876}"&amp;VLOOKUP(RANDBETWEEN(1,24),OCCULT,2)</f>
        <v xml:space="preserve">A Murder, a Mystery, and a Marriage, by Mark Twain {1876} </v>
      </c>
      <c r="U581" s="14"/>
    </row>
    <row r="582" spans="4:21" x14ac:dyDescent="0.2">
      <c r="D582" s="3">
        <v>581</v>
      </c>
      <c r="F582" s="3">
        <v>581</v>
      </c>
      <c r="H582" s="3">
        <v>581</v>
      </c>
      <c r="K582" s="14">
        <v>615</v>
      </c>
      <c r="N582" s="3">
        <v>18</v>
      </c>
      <c r="O582" s="3" t="s">
        <v>2298</v>
      </c>
      <c r="P582" s="3">
        <v>1</v>
      </c>
      <c r="Q582" s="2" t="s">
        <v>1781</v>
      </c>
      <c r="R582" s="3">
        <v>3550</v>
      </c>
      <c r="S582" s="18" t="s">
        <v>2752</v>
      </c>
      <c r="U582" s="14"/>
    </row>
    <row r="583" spans="4:21" x14ac:dyDescent="0.2">
      <c r="D583" s="3">
        <v>582</v>
      </c>
      <c r="F583" s="3">
        <v>582</v>
      </c>
      <c r="H583" s="3">
        <v>582</v>
      </c>
      <c r="K583" s="14">
        <v>616</v>
      </c>
      <c r="N583" s="3">
        <v>19</v>
      </c>
      <c r="O583" s="3" t="str">
        <f ca="1">RANDBETWEEN(1,5)&amp;" pair(s) of gloves"</f>
        <v>2 pair(s) of gloves</v>
      </c>
      <c r="P583" s="3">
        <v>2</v>
      </c>
      <c r="Q583" s="2" t="s">
        <v>1782</v>
      </c>
      <c r="R583" s="3">
        <v>3600</v>
      </c>
      <c r="S583" s="18" t="s">
        <v>2753</v>
      </c>
      <c r="U583" s="14"/>
    </row>
    <row r="584" spans="4:21" x14ac:dyDescent="0.2">
      <c r="D584" s="3">
        <v>583</v>
      </c>
      <c r="F584" s="3">
        <v>583</v>
      </c>
      <c r="H584" s="3">
        <v>583</v>
      </c>
      <c r="K584" s="14">
        <v>617</v>
      </c>
      <c r="N584" s="3">
        <v>20</v>
      </c>
      <c r="O584" s="3" t="s">
        <v>2292</v>
      </c>
      <c r="P584" s="3">
        <v>3</v>
      </c>
      <c r="Q584" s="2" t="s">
        <v>1783</v>
      </c>
      <c r="R584" s="3">
        <v>3650</v>
      </c>
      <c r="S584" s="18" t="s">
        <v>2805</v>
      </c>
      <c r="U584" s="14"/>
    </row>
    <row r="585" spans="4:21" ht="31.5" x14ac:dyDescent="0.2">
      <c r="D585" s="3">
        <v>584</v>
      </c>
      <c r="F585" s="3">
        <v>584</v>
      </c>
      <c r="H585" s="3">
        <v>584</v>
      </c>
      <c r="K585" s="14">
        <v>618</v>
      </c>
      <c r="P585" s="3">
        <v>4</v>
      </c>
      <c r="Q585" s="2" t="s">
        <v>1784</v>
      </c>
      <c r="R585" s="3">
        <v>3700</v>
      </c>
      <c r="S585" s="18" t="s">
        <v>2754</v>
      </c>
      <c r="U585" s="14"/>
    </row>
    <row r="586" spans="4:21" x14ac:dyDescent="0.2">
      <c r="D586" s="3">
        <v>585</v>
      </c>
      <c r="F586" s="3">
        <v>585</v>
      </c>
      <c r="H586" s="3">
        <v>585</v>
      </c>
      <c r="K586" s="14">
        <v>619</v>
      </c>
      <c r="O586" s="22" t="s">
        <v>2297</v>
      </c>
      <c r="P586" s="3">
        <v>5</v>
      </c>
      <c r="Q586" s="2" t="s">
        <v>1785</v>
      </c>
      <c r="R586" s="3">
        <v>3750</v>
      </c>
      <c r="S586" s="18" t="s">
        <v>2788</v>
      </c>
      <c r="U586" s="14"/>
    </row>
    <row r="587" spans="4:21" x14ac:dyDescent="0.2">
      <c r="D587" s="3">
        <v>586</v>
      </c>
      <c r="F587" s="3">
        <v>586</v>
      </c>
      <c r="H587" s="3">
        <v>586</v>
      </c>
      <c r="K587" s="14">
        <v>620</v>
      </c>
      <c r="N587" s="3">
        <v>1</v>
      </c>
      <c r="O587" s="3" t="s">
        <v>2281</v>
      </c>
      <c r="P587" s="3">
        <v>6</v>
      </c>
      <c r="Q587" s="2" t="s">
        <v>1786</v>
      </c>
      <c r="R587" s="3">
        <v>3800</v>
      </c>
      <c r="S587" s="18" t="s">
        <v>2755</v>
      </c>
      <c r="U587" s="14"/>
    </row>
    <row r="588" spans="4:21" x14ac:dyDescent="0.2">
      <c r="D588" s="3">
        <v>587</v>
      </c>
      <c r="F588" s="3">
        <v>587</v>
      </c>
      <c r="H588" s="3">
        <v>587</v>
      </c>
      <c r="K588" s="14">
        <v>621</v>
      </c>
      <c r="N588" s="3">
        <v>2</v>
      </c>
      <c r="O588" s="3" t="s">
        <v>2282</v>
      </c>
      <c r="P588" s="3">
        <v>7</v>
      </c>
      <c r="Q588" s="2" t="s">
        <v>1787</v>
      </c>
      <c r="R588" s="3">
        <v>3850</v>
      </c>
      <c r="S588" s="18" t="s">
        <v>2810</v>
      </c>
      <c r="U588" s="14"/>
    </row>
    <row r="589" spans="4:21" ht="31.5" x14ac:dyDescent="0.2">
      <c r="D589" s="3">
        <v>588</v>
      </c>
      <c r="F589" s="3">
        <v>588</v>
      </c>
      <c r="H589" s="3">
        <v>588</v>
      </c>
      <c r="K589" s="14">
        <v>622</v>
      </c>
      <c r="N589" s="3">
        <v>3</v>
      </c>
      <c r="O589" s="3" t="s">
        <v>2283</v>
      </c>
      <c r="P589" s="3">
        <v>8</v>
      </c>
      <c r="Q589" s="2" t="s">
        <v>1788</v>
      </c>
      <c r="R589" s="3">
        <v>3900</v>
      </c>
      <c r="S589" s="18" t="s">
        <v>2756</v>
      </c>
      <c r="U589" s="14"/>
    </row>
    <row r="590" spans="4:21" x14ac:dyDescent="0.2">
      <c r="D590" s="3">
        <v>589</v>
      </c>
      <c r="F590" s="3">
        <v>589</v>
      </c>
      <c r="H590" s="3">
        <v>589</v>
      </c>
      <c r="K590" s="14">
        <v>623</v>
      </c>
      <c r="N590" s="3">
        <v>4</v>
      </c>
      <c r="O590" s="3" t="s">
        <v>2284</v>
      </c>
      <c r="P590" s="3">
        <v>9</v>
      </c>
      <c r="Q590" s="2" t="s">
        <v>1789</v>
      </c>
      <c r="R590" s="3">
        <v>3950</v>
      </c>
      <c r="S590" s="18" t="s">
        <v>2757</v>
      </c>
      <c r="U590" s="14"/>
    </row>
    <row r="591" spans="4:21" x14ac:dyDescent="0.2">
      <c r="D591" s="3">
        <v>590</v>
      </c>
      <c r="F591" s="3">
        <v>590</v>
      </c>
      <c r="H591" s="3">
        <v>590</v>
      </c>
      <c r="K591" s="14">
        <v>624</v>
      </c>
      <c r="N591" s="3">
        <v>5</v>
      </c>
      <c r="O591" s="3" t="s">
        <v>2285</v>
      </c>
      <c r="P591" s="3">
        <v>10</v>
      </c>
      <c r="Q591" s="2" t="s">
        <v>1790</v>
      </c>
      <c r="R591" s="3">
        <v>4000</v>
      </c>
      <c r="S591" s="18" t="str">
        <f ca="1">"The Brothers Karamazov, by Fyodor Dostoyevsky {1880}"&amp;VLOOKUP(RANDBETWEEN(1,24),OCCULT,2)</f>
        <v xml:space="preserve">The Brothers Karamazov, by Fyodor Dostoyevsky {1880} </v>
      </c>
      <c r="U591" s="14"/>
    </row>
    <row r="592" spans="4:21" x14ac:dyDescent="0.2">
      <c r="D592" s="3">
        <v>591</v>
      </c>
      <c r="F592" s="3">
        <v>591</v>
      </c>
      <c r="H592" s="3">
        <v>591</v>
      </c>
      <c r="K592" s="14">
        <v>625</v>
      </c>
      <c r="N592" s="3">
        <v>6</v>
      </c>
      <c r="O592" s="3" t="s">
        <v>2286</v>
      </c>
      <c r="P592" s="3">
        <v>11</v>
      </c>
      <c r="Q592" s="2" t="s">
        <v>1791</v>
      </c>
      <c r="R592" s="3">
        <v>4050</v>
      </c>
      <c r="S592" s="18" t="s">
        <v>2809</v>
      </c>
      <c r="U592" s="14"/>
    </row>
    <row r="593" spans="4:21" x14ac:dyDescent="0.2">
      <c r="D593" s="3">
        <v>592</v>
      </c>
      <c r="F593" s="3">
        <v>592</v>
      </c>
      <c r="H593" s="3">
        <v>592</v>
      </c>
      <c r="K593" s="14">
        <v>626</v>
      </c>
      <c r="N593" s="3">
        <v>7</v>
      </c>
      <c r="O593" s="3" t="s">
        <v>2287</v>
      </c>
      <c r="P593" s="3">
        <v>12</v>
      </c>
      <c r="Q593" s="2" t="s">
        <v>1792</v>
      </c>
      <c r="R593" s="3">
        <v>4100</v>
      </c>
      <c r="S593" s="18" t="s">
        <v>2923</v>
      </c>
      <c r="U593" s="14"/>
    </row>
    <row r="594" spans="4:21" x14ac:dyDescent="0.2">
      <c r="D594" s="3">
        <v>593</v>
      </c>
      <c r="F594" s="3">
        <v>593</v>
      </c>
      <c r="H594" s="3">
        <v>593</v>
      </c>
      <c r="K594" s="14">
        <v>627</v>
      </c>
      <c r="N594" s="3">
        <v>8</v>
      </c>
      <c r="O594" s="3" t="s">
        <v>2293</v>
      </c>
      <c r="P594" s="3">
        <v>13</v>
      </c>
      <c r="Q594" s="2" t="s">
        <v>1793</v>
      </c>
      <c r="R594" s="3">
        <v>4150</v>
      </c>
      <c r="S594" s="18" t="s">
        <v>2924</v>
      </c>
      <c r="T594" s="18"/>
      <c r="U594" s="18"/>
    </row>
    <row r="595" spans="4:21" x14ac:dyDescent="0.2">
      <c r="D595" s="3">
        <v>594</v>
      </c>
      <c r="F595" s="3">
        <v>594</v>
      </c>
      <c r="H595" s="3">
        <v>594</v>
      </c>
      <c r="K595" s="14">
        <v>628</v>
      </c>
      <c r="N595" s="3">
        <v>9</v>
      </c>
      <c r="O595" s="3" t="s">
        <v>2294</v>
      </c>
      <c r="R595" s="3">
        <v>4200</v>
      </c>
      <c r="S595" s="18" t="str">
        <f ca="1">"Impractical Philosophy, by Didactylos"&amp;VLOOKUP(RANDBETWEEN(1,24),OCCULT,2)</f>
        <v>Impractical Philosophy, by Didactylos: If read the Posse member gains one time +2 bonus to a skill related to the book's theme.</v>
      </c>
      <c r="T595" s="18"/>
      <c r="U595" s="18"/>
    </row>
    <row r="596" spans="4:21" x14ac:dyDescent="0.2">
      <c r="D596" s="3">
        <v>595</v>
      </c>
      <c r="F596" s="3">
        <v>595</v>
      </c>
      <c r="H596" s="3">
        <v>595</v>
      </c>
      <c r="K596" s="14">
        <v>629</v>
      </c>
      <c r="N596" s="3">
        <v>10</v>
      </c>
      <c r="O596" s="3" t="s">
        <v>2295</v>
      </c>
      <c r="Q596" s="21" t="s">
        <v>1794</v>
      </c>
      <c r="R596" s="3">
        <v>4250</v>
      </c>
      <c r="S596" s="18" t="s">
        <v>2933</v>
      </c>
      <c r="T596" s="18"/>
      <c r="U596" s="18"/>
    </row>
    <row r="597" spans="4:21" ht="31.5" x14ac:dyDescent="0.2">
      <c r="D597" s="3">
        <v>596</v>
      </c>
      <c r="F597" s="3">
        <v>596</v>
      </c>
      <c r="H597" s="3">
        <v>596</v>
      </c>
      <c r="K597" s="14">
        <v>630</v>
      </c>
      <c r="P597" s="3">
        <v>1</v>
      </c>
      <c r="Q597" s="2" t="s">
        <v>1795</v>
      </c>
      <c r="R597" s="3">
        <v>4300</v>
      </c>
      <c r="S597" s="18" t="s">
        <v>2932</v>
      </c>
      <c r="T597" s="18"/>
      <c r="U597" s="18"/>
    </row>
    <row r="598" spans="4:21" ht="78.75" x14ac:dyDescent="0.2">
      <c r="D598" s="3">
        <v>597</v>
      </c>
      <c r="F598" s="3">
        <v>597</v>
      </c>
      <c r="H598" s="3">
        <v>597</v>
      </c>
      <c r="K598" s="14">
        <v>631</v>
      </c>
      <c r="O598" s="22" t="s">
        <v>2482</v>
      </c>
      <c r="P598" s="3">
        <v>2</v>
      </c>
      <c r="Q598" s="2" t="s">
        <v>1796</v>
      </c>
      <c r="R598" s="3">
        <v>4350</v>
      </c>
      <c r="S598" s="18" t="str">
        <f ca="1">"An Investigation into Myth-Patterns of Latter-Day Primitives with Especial Reference to the R'lyeh Text, by Prof. Laban Shrewsbury"&amp;VLOOKUP(RANDBETWEEN(22,25),OCCULT,2)</f>
        <v xml:space="preserve">An Investigation into Myth-Patterns of Latter-Day Primitives with Especial Reference to the R'lyeh Text, by Prof. Laban Shrewsbury </v>
      </c>
      <c r="T598" s="18"/>
      <c r="U598" s="18"/>
    </row>
    <row r="599" spans="4:21" ht="47.25" x14ac:dyDescent="0.2">
      <c r="D599" s="3">
        <v>598</v>
      </c>
      <c r="F599" s="3">
        <v>598</v>
      </c>
      <c r="H599" s="3">
        <v>598</v>
      </c>
      <c r="K599" s="14">
        <v>632</v>
      </c>
      <c r="N599" s="14">
        <v>1</v>
      </c>
      <c r="O599" s="14" t="s">
        <v>2116</v>
      </c>
      <c r="P599" s="3">
        <v>3</v>
      </c>
      <c r="Q599" s="2" t="s">
        <v>1797</v>
      </c>
      <c r="R599" s="18">
        <v>4351</v>
      </c>
      <c r="S599" s="18" t="str">
        <f ca="1">"Ars Magna et Ultima, by Raymond Lully (1235–1315)"&amp;VLOOKUP(RANDBETWEEN(22,25),OCCULT,2)</f>
        <v>Ars Magna et Ultima, by Raymond Lully (1235–1315): Character may gain a one time bonus level to their Occult, but must succeed 3 Gut Checks at a -4, failure means they must roll on the Scart Table.</v>
      </c>
      <c r="T599" s="18"/>
    </row>
    <row r="600" spans="4:21" x14ac:dyDescent="0.2">
      <c r="D600" s="3">
        <v>599</v>
      </c>
      <c r="F600" s="3">
        <v>599</v>
      </c>
      <c r="H600" s="3">
        <v>599</v>
      </c>
      <c r="K600" s="14">
        <v>633</v>
      </c>
      <c r="N600" s="14">
        <v>2</v>
      </c>
      <c r="O600" s="14" t="s">
        <v>2483</v>
      </c>
      <c r="P600" s="3">
        <v>4</v>
      </c>
      <c r="Q600" s="2" t="s">
        <v>1798</v>
      </c>
      <c r="R600" s="3">
        <v>4352</v>
      </c>
      <c r="S600" s="18" t="str">
        <f ca="1">"Atlantis and the Lost Lemuria, by W. Scott-Elliot"&amp;VLOOKUP(RANDBETWEEN(22,25),OCCULT,2)</f>
        <v>Atlantis and the Lost Lemuria, by W. Scott-Elliot: If read the Posse member gains +1 to his/her Occult, but they gain a minor phobia or quirk.</v>
      </c>
      <c r="T600" s="18"/>
    </row>
    <row r="601" spans="4:21" ht="47.25" x14ac:dyDescent="0.2">
      <c r="D601" s="3">
        <v>600</v>
      </c>
      <c r="F601" s="3">
        <v>600</v>
      </c>
      <c r="H601" s="3">
        <v>600</v>
      </c>
      <c r="K601" s="14">
        <v>634</v>
      </c>
      <c r="N601" s="14">
        <v>3</v>
      </c>
      <c r="O601" s="14" t="s">
        <v>2484</v>
      </c>
      <c r="R601" s="18">
        <v>4353</v>
      </c>
      <c r="S601" s="18" t="str">
        <f ca="1">"Azathoth and Other Horrors, by Edward Pickman Derby"&amp;VLOOKUP(RANDBETWEEN(22,25),OCCULT,2)</f>
        <v>Azathoth and Other Horrors, by Edward Pickman Derby: If read the Posse member gains +1 to his/her Occult, but they gain a minor phobia or quirk.</v>
      </c>
      <c r="T601" s="18"/>
      <c r="U601" s="18"/>
    </row>
    <row r="602" spans="4:21" ht="47.25" x14ac:dyDescent="0.2">
      <c r="D602" s="3">
        <v>601</v>
      </c>
      <c r="F602" s="3">
        <v>601</v>
      </c>
      <c r="H602" s="3">
        <v>601</v>
      </c>
      <c r="K602" s="14">
        <v>635</v>
      </c>
      <c r="N602" s="14">
        <v>4</v>
      </c>
      <c r="O602" s="14" t="s">
        <v>2485</v>
      </c>
      <c r="Q602" s="21" t="s">
        <v>1800</v>
      </c>
      <c r="R602" s="3">
        <v>4354</v>
      </c>
      <c r="S602" s="18" t="str">
        <f ca="1">"Book of Azathoth"&amp;VLOOKUP(RANDBETWEEN(22,25),OCCULT,2)</f>
        <v>Book of Azathoth: Character may gain a +2 to their Occult, but must succeed a Gut Checks at a -4, failure means they must roll on the Scart Table.</v>
      </c>
      <c r="T602" s="18"/>
    </row>
    <row r="603" spans="4:21" ht="47.25" x14ac:dyDescent="0.2">
      <c r="D603" s="3">
        <v>602</v>
      </c>
      <c r="F603" s="3">
        <v>602</v>
      </c>
      <c r="H603" s="3">
        <v>602</v>
      </c>
      <c r="K603" s="14">
        <v>636</v>
      </c>
      <c r="N603" s="14">
        <v>5</v>
      </c>
      <c r="O603" s="14" t="s">
        <v>2121</v>
      </c>
      <c r="P603" s="2">
        <v>1</v>
      </c>
      <c r="Q603" s="2" t="s">
        <v>1801</v>
      </c>
      <c r="R603" s="18">
        <v>4355</v>
      </c>
      <c r="S603" s="18" t="str">
        <f ca="1">"Book of Eibon or Livre d'Eibon, by Eibon"&amp;VLOOKUP(RANDBETWEEN(22,25),OCCULT,2)</f>
        <v>Book of Eibon or Livre d'Eibon, by Eibon: Character may gain a one time bonus level to their Occult, but must succeed 3 Gut Checks at a -4, failure means they must roll on the Scart Table.</v>
      </c>
      <c r="T603" s="18"/>
      <c r="U603" s="18"/>
    </row>
    <row r="604" spans="4:21" ht="47.25" x14ac:dyDescent="0.2">
      <c r="D604" s="3">
        <v>603</v>
      </c>
      <c r="F604" s="3">
        <v>603</v>
      </c>
      <c r="H604" s="3">
        <v>603</v>
      </c>
      <c r="K604" s="14">
        <v>637</v>
      </c>
      <c r="N604" s="14">
        <v>6</v>
      </c>
      <c r="O604" s="14" t="s">
        <v>2486</v>
      </c>
      <c r="P604" s="2">
        <v>2</v>
      </c>
      <c r="Q604" s="2" t="s">
        <v>1802</v>
      </c>
      <c r="R604" s="3">
        <v>4356</v>
      </c>
      <c r="S604" s="18" t="str">
        <f ca="1">"Book of Hidden Things"&amp;VLOOKUP(RANDBETWEEN(22,25),OCCULT,2)</f>
        <v>Book of Hidden Things: If read the Posse member gains +1 to his/her Occult, but they gain a minor phobia or quirk.</v>
      </c>
      <c r="U604" s="14"/>
    </row>
    <row r="605" spans="4:21" ht="47.25" x14ac:dyDescent="0.2">
      <c r="D605" s="3">
        <v>604</v>
      </c>
      <c r="F605" s="3">
        <v>604</v>
      </c>
      <c r="H605" s="3">
        <v>604</v>
      </c>
      <c r="K605" s="14">
        <v>638</v>
      </c>
      <c r="N605" s="14">
        <v>7</v>
      </c>
      <c r="O605" s="14" t="s">
        <v>358</v>
      </c>
      <c r="P605" s="2">
        <v>3</v>
      </c>
      <c r="Q605" s="2" t="s">
        <v>1876</v>
      </c>
      <c r="R605" s="18">
        <v>4357</v>
      </c>
      <c r="S605" s="18" t="str">
        <f ca="1">"Book of Iod 01, by Khut-Nah"&amp;VLOOKUP(RANDBETWEEN(22,25),OCCULT,2)</f>
        <v>Book of Iod 01, by Khut-Nah: Character may gain a one time bonus level to their Occult, but must succeed 3 Gut Checks at a -4, failure means they must roll on the Scart Table.</v>
      </c>
      <c r="U605" s="14"/>
    </row>
    <row r="606" spans="4:21" ht="47.25" x14ac:dyDescent="0.2">
      <c r="D606" s="3">
        <v>605</v>
      </c>
      <c r="F606" s="3">
        <v>605</v>
      </c>
      <c r="H606" s="3">
        <v>605</v>
      </c>
      <c r="K606" s="14">
        <v>639</v>
      </c>
      <c r="N606" s="14">
        <v>8</v>
      </c>
      <c r="O606" s="14" t="s">
        <v>94</v>
      </c>
      <c r="P606" s="2">
        <v>4</v>
      </c>
      <c r="Q606" s="2" t="s">
        <v>1877</v>
      </c>
      <c r="R606" s="3">
        <v>4358</v>
      </c>
      <c r="S606" s="18" t="str">
        <f ca="1">"Book of Thoth"&amp;VLOOKUP(RANDBETWEEN(22,25),OCCULT,2)</f>
        <v xml:space="preserve">Book of Thoth </v>
      </c>
      <c r="U606" s="14"/>
    </row>
    <row r="607" spans="4:21" ht="47.25" x14ac:dyDescent="0.2">
      <c r="D607" s="3">
        <v>606</v>
      </c>
      <c r="F607" s="3">
        <v>606</v>
      </c>
      <c r="H607" s="3">
        <v>606</v>
      </c>
      <c r="K607" s="14">
        <v>640</v>
      </c>
      <c r="N607" s="14">
        <v>9</v>
      </c>
      <c r="O607" s="14" t="s">
        <v>2487</v>
      </c>
      <c r="P607" s="2">
        <v>5</v>
      </c>
      <c r="Q607" s="2" t="s">
        <v>1878</v>
      </c>
      <c r="R607" s="18">
        <v>4359</v>
      </c>
      <c r="S607" s="18" t="str">
        <f ca="1">"Celaeno Fragments, by Professor Laban Shrewsbury"&amp;VLOOKUP(RANDBETWEEN(22,25),OCCULT,2)</f>
        <v xml:space="preserve">Celaeno Fragments, by Professor Laban Shrewsbury </v>
      </c>
      <c r="U607" s="14"/>
    </row>
    <row r="608" spans="4:21" ht="47.25" x14ac:dyDescent="0.2">
      <c r="D608" s="3">
        <v>607</v>
      </c>
      <c r="F608" s="3">
        <v>607</v>
      </c>
      <c r="H608" s="3">
        <v>607</v>
      </c>
      <c r="K608" s="14">
        <v>641</v>
      </c>
      <c r="N608" s="14">
        <v>10</v>
      </c>
      <c r="O608" s="14" t="s">
        <v>32</v>
      </c>
      <c r="P608" s="2">
        <v>6</v>
      </c>
      <c r="Q608" s="2" t="s">
        <v>1879</v>
      </c>
      <c r="R608" s="3">
        <v>4360</v>
      </c>
      <c r="S608" s="18" t="str">
        <f ca="1">"Clavis Alchimiae, by Robert Fludd (1574–1637)"&amp;VLOOKUP(RANDBETWEEN(22,25),OCCULT,2)</f>
        <v>Clavis Alchimiae, by Robert Fludd (1574–1637): Character may gain a +2 to their Occult, but must succeed a Gut Checks at a -4, failure means they must roll on the Scart Table.</v>
      </c>
      <c r="U608" s="14"/>
    </row>
    <row r="609" spans="4:21" ht="47.25" x14ac:dyDescent="0.2">
      <c r="D609" s="3">
        <v>608</v>
      </c>
      <c r="F609" s="3">
        <v>608</v>
      </c>
      <c r="H609" s="3">
        <v>608</v>
      </c>
      <c r="K609" s="14">
        <v>642</v>
      </c>
      <c r="N609" s="14">
        <v>11</v>
      </c>
      <c r="O609" s="14" t="s">
        <v>92</v>
      </c>
      <c r="P609" s="2">
        <v>7</v>
      </c>
      <c r="Q609" s="2" t="s">
        <v>1880</v>
      </c>
      <c r="R609" s="18">
        <v>4361</v>
      </c>
      <c r="S609" s="18" t="str">
        <f ca="1">"Commentaries on Witchcraft, by Mycroft"&amp;VLOOKUP(RANDBETWEEN(22,25),OCCULT,2)</f>
        <v>Commentaries on Witchcraft, by Mycroft: If read the Posse member gains +1 to his/her Occult, but they gain a minor phobia or quirk.</v>
      </c>
      <c r="U609" s="14"/>
    </row>
    <row r="610" spans="4:21" ht="47.25" x14ac:dyDescent="0.2">
      <c r="D610" s="3">
        <v>609</v>
      </c>
      <c r="F610" s="3">
        <v>609</v>
      </c>
      <c r="H610" s="3">
        <v>609</v>
      </c>
      <c r="K610" s="14">
        <v>643</v>
      </c>
      <c r="N610" s="14">
        <v>12</v>
      </c>
      <c r="O610" s="14" t="s">
        <v>2488</v>
      </c>
      <c r="P610" s="2">
        <v>8</v>
      </c>
      <c r="Q610" s="2" t="s">
        <v>1803</v>
      </c>
      <c r="R610" s="3">
        <v>4362</v>
      </c>
      <c r="S610" s="18" t="str">
        <f ca="1">"Cryptomenysis Patefacta, by  John Falconer "&amp;VLOOKUP(RANDBETWEEN(22,25),OCCULT,2)</f>
        <v>Cryptomenysis Patefacta, by  John Falconer : Character may gain a +2 to their Occult, but must succeed a Gut Checks at a -4, failure means they must roll on the Scart Table.</v>
      </c>
      <c r="U610" s="14"/>
    </row>
    <row r="611" spans="4:21" ht="47.25" x14ac:dyDescent="0.2">
      <c r="D611" s="3">
        <v>610</v>
      </c>
      <c r="F611" s="3">
        <v>610</v>
      </c>
      <c r="H611" s="3">
        <v>610</v>
      </c>
      <c r="K611" s="14">
        <v>644</v>
      </c>
      <c r="N611" s="14">
        <v>13</v>
      </c>
      <c r="O611" s="14" t="s">
        <v>2489</v>
      </c>
      <c r="P611" s="2">
        <v>9</v>
      </c>
      <c r="Q611" s="2" t="s">
        <v>1804</v>
      </c>
      <c r="R611" s="18">
        <v>4363</v>
      </c>
      <c r="S611" s="18" t="str">
        <f ca="1">"Cthäat Aquadingen"&amp;VLOOKUP(RANDBETWEEN(22,25),OCCULT,2)</f>
        <v>Cthäat Aquadingen: If read the Posse member gains +1 to his/her Occult, but they gain a minor phobia or quirk.</v>
      </c>
      <c r="U611" s="14"/>
    </row>
    <row r="612" spans="4:21" ht="47.25" x14ac:dyDescent="0.2">
      <c r="D612" s="3">
        <v>611</v>
      </c>
      <c r="F612" s="3">
        <v>611</v>
      </c>
      <c r="H612" s="3">
        <v>611</v>
      </c>
      <c r="K612" s="14">
        <v>645</v>
      </c>
      <c r="N612" s="14">
        <v>14</v>
      </c>
      <c r="O612" s="14" t="s">
        <v>2490</v>
      </c>
      <c r="P612" s="2">
        <v>10</v>
      </c>
      <c r="Q612" s="2" t="s">
        <v>1805</v>
      </c>
      <c r="R612" s="3">
        <v>4364</v>
      </c>
      <c r="S612" s="18" t="str">
        <f ca="1">"Cthulhu in the Necronomicon, by Prof. Laban Shrewsbury"&amp;VLOOKUP(RANDBETWEEN(22,25),OCCULT,2)</f>
        <v>Cthulhu in the Necronomicon, by Prof. Laban Shrewsbury: Character may gain a +2 to their Occult, but must succeed a Gut Checks at a -4, failure means they must roll on the Scart Table.</v>
      </c>
      <c r="U612" s="14"/>
    </row>
    <row r="613" spans="4:21" ht="47.25" x14ac:dyDescent="0.2">
      <c r="D613" s="3">
        <v>612</v>
      </c>
      <c r="F613" s="3">
        <v>612</v>
      </c>
      <c r="H613" s="3">
        <v>612</v>
      </c>
      <c r="K613" s="14">
        <v>646</v>
      </c>
      <c r="N613" s="14">
        <v>15</v>
      </c>
      <c r="O613" s="14" t="s">
        <v>356</v>
      </c>
      <c r="P613" s="2">
        <v>11</v>
      </c>
      <c r="Q613" s="2" t="s">
        <v>1881</v>
      </c>
      <c r="R613" s="18">
        <v>4365</v>
      </c>
      <c r="S613" s="18" t="str">
        <f ca="1">"Cultes des Goules, by the Comte d’Erlette"&amp;VLOOKUP(RANDBETWEEN(22,25),OCCULT,2)</f>
        <v>Cultes des Goules, by the Comte d’Erlette: Character may gain a +2 to their Occult, but must succeed a Gut Checks at a -4, failure means they must roll on the Scart Table.</v>
      </c>
      <c r="U613" s="14"/>
    </row>
    <row r="614" spans="4:21" ht="47.25" x14ac:dyDescent="0.2">
      <c r="D614" s="3">
        <v>613</v>
      </c>
      <c r="F614" s="3">
        <v>613</v>
      </c>
      <c r="H614" s="3">
        <v>613</v>
      </c>
      <c r="K614" s="14">
        <v>647</v>
      </c>
      <c r="N614" s="14">
        <v>16</v>
      </c>
      <c r="O614" s="14" t="s">
        <v>2491</v>
      </c>
      <c r="P614" s="2">
        <v>12</v>
      </c>
      <c r="Q614" s="2" t="s">
        <v>1806</v>
      </c>
      <c r="R614" s="3">
        <v>4366</v>
      </c>
      <c r="S614" s="18" t="str">
        <f ca="1">"Daemonolatreia, by Remigius"&amp;VLOOKUP(RANDBETWEEN(22,25),OCCULT,2)</f>
        <v>Daemonolatreia, by Remigius: Character may gain a +2 to their Occult, but must succeed a Gut Checks at a -4, failure means they must roll on the Scart Table.</v>
      </c>
      <c r="U614" s="14"/>
    </row>
    <row r="615" spans="4:21" ht="63" x14ac:dyDescent="0.2">
      <c r="D615" s="3">
        <v>614</v>
      </c>
      <c r="F615" s="3">
        <v>614</v>
      </c>
      <c r="H615" s="3">
        <v>614</v>
      </c>
      <c r="K615" s="14">
        <v>648</v>
      </c>
      <c r="N615" s="14">
        <v>17</v>
      </c>
      <c r="O615" s="14" t="s">
        <v>2492</v>
      </c>
      <c r="P615" s="2">
        <v>13</v>
      </c>
      <c r="Q615" s="2" t="s">
        <v>1882</v>
      </c>
      <c r="R615" s="18">
        <v>4367</v>
      </c>
      <c r="S615" s="18" t="str">
        <f ca="1">"De Furtivis Literarum Notis, by Giovanni Battista della Porta (1535?–1615)"&amp;VLOOKUP(RANDBETWEEN(22,25),OCCULT,2)</f>
        <v xml:space="preserve">De Furtivis Literarum Notis, by Giovanni Battista della Porta (1535?–1615) </v>
      </c>
      <c r="U615" s="14"/>
    </row>
    <row r="616" spans="4:21" x14ac:dyDescent="0.2">
      <c r="D616" s="3">
        <v>615</v>
      </c>
      <c r="F616" s="3">
        <v>615</v>
      </c>
      <c r="H616" s="3">
        <v>615</v>
      </c>
      <c r="K616" s="14">
        <v>649</v>
      </c>
      <c r="N616" s="14">
        <v>18</v>
      </c>
      <c r="O616" s="14" t="s">
        <v>2118</v>
      </c>
      <c r="P616" s="2">
        <v>14</v>
      </c>
      <c r="Q616" s="2" t="s">
        <v>1807</v>
      </c>
      <c r="R616" s="3">
        <v>4368</v>
      </c>
      <c r="S616" s="18" t="str">
        <f ca="1">"De Lapide Philosophico, by Johannes Trithemius (1462–1516)"&amp;VLOOKUP(RANDBETWEEN(22,25),OCCULT,2)</f>
        <v>De Lapide Philosophico, by Johannes Trithemius (1462–1516): If read the Posse member gains +1 to his/her Occult, but they gain a minor phobia or quirk.</v>
      </c>
      <c r="U616" s="14"/>
    </row>
    <row r="617" spans="4:21" x14ac:dyDescent="0.2">
      <c r="D617" s="3">
        <v>616</v>
      </c>
      <c r="F617" s="3">
        <v>616</v>
      </c>
      <c r="H617" s="3">
        <v>616</v>
      </c>
      <c r="K617" s="14">
        <v>650</v>
      </c>
      <c r="N617" s="14">
        <v>19</v>
      </c>
      <c r="O617" s="14" t="s">
        <v>230</v>
      </c>
      <c r="P617" s="2">
        <v>15</v>
      </c>
      <c r="Q617" s="2" t="s">
        <v>1808</v>
      </c>
      <c r="R617" s="18">
        <v>4369</v>
      </c>
      <c r="S617" s="18" t="str">
        <f ca="1">"De Masticatione Mortuorum in Tumulis, by Ranft [1734]"&amp;VLOOKUP(RANDBETWEEN(22,25),OCCULT,2)</f>
        <v>De Masticatione Mortuorum in Tumulis, by Ranft [1734]: If read the Posse member gains +1 to his/her Occult, but they gain a minor phobia or quirk.</v>
      </c>
      <c r="U617" s="14"/>
    </row>
    <row r="618" spans="4:21" ht="47.25" x14ac:dyDescent="0.2">
      <c r="D618" s="3">
        <v>617</v>
      </c>
      <c r="F618" s="3">
        <v>617</v>
      </c>
      <c r="H618" s="3">
        <v>617</v>
      </c>
      <c r="K618" s="14">
        <v>651</v>
      </c>
      <c r="N618" s="14">
        <v>20</v>
      </c>
      <c r="O618" s="14" t="s">
        <v>36</v>
      </c>
      <c r="P618" s="2">
        <v>16</v>
      </c>
      <c r="Q618" s="2" t="s">
        <v>1883</v>
      </c>
      <c r="R618" s="3">
        <v>4370</v>
      </c>
      <c r="S618" s="18" t="str">
        <f ca="1">"De Vermis Mysteriis, by Ludvig Prinn"&amp;VLOOKUP(RANDBETWEEN(22,25),OCCULT,2)</f>
        <v>De Vermis Mysteriis, by Ludvig Prinn: Character may gain a +2 to their Occult, but must succeed a Gut Checks at a -4, failure means they must roll on the Scart Table.</v>
      </c>
      <c r="U618" s="14"/>
    </row>
    <row r="619" spans="4:21" ht="47.25" x14ac:dyDescent="0.2">
      <c r="D619" s="3">
        <v>618</v>
      </c>
      <c r="F619" s="3">
        <v>618</v>
      </c>
      <c r="H619" s="3">
        <v>618</v>
      </c>
      <c r="K619" s="14">
        <v>652</v>
      </c>
      <c r="N619" s="14">
        <v>21</v>
      </c>
      <c r="O619" s="14" t="s">
        <v>364</v>
      </c>
      <c r="P619" s="2">
        <v>17</v>
      </c>
      <c r="Q619" s="2" t="s">
        <v>1884</v>
      </c>
      <c r="R619" s="18">
        <v>4371</v>
      </c>
      <c r="S619" s="18" t="str">
        <f ca="1">"Golden Bough, The, by  Sir James George Frazer"&amp;VLOOKUP(RANDBETWEEN(22,25),OCCULT,2)</f>
        <v>Golden Bough, The, by  Sir James George Frazer: If read the Posse member gains +1 to his/her Occult, but they gain a minor phobia or quirk.</v>
      </c>
      <c r="U619" s="14"/>
    </row>
    <row r="620" spans="4:21" ht="47.25" x14ac:dyDescent="0.2">
      <c r="D620" s="3">
        <v>619</v>
      </c>
      <c r="F620" s="3">
        <v>619</v>
      </c>
      <c r="H620" s="3">
        <v>619</v>
      </c>
      <c r="K620" s="14">
        <v>653</v>
      </c>
      <c r="N620" s="14">
        <v>22</v>
      </c>
      <c r="O620" s="14" t="s">
        <v>2481</v>
      </c>
      <c r="P620" s="2">
        <v>18</v>
      </c>
      <c r="Q620" s="2" t="s">
        <v>1885</v>
      </c>
      <c r="R620" s="3">
        <v>4372</v>
      </c>
      <c r="S620" s="18" t="str">
        <f ca="1">"Image du Monde, by Gauthier de Metz"&amp;VLOOKUP(RANDBETWEEN(22,25),OCCULT,2)</f>
        <v xml:space="preserve">Image du Monde, by Gauthier de Metz </v>
      </c>
      <c r="U620" s="14"/>
    </row>
    <row r="621" spans="4:21" ht="47.25" x14ac:dyDescent="0.2">
      <c r="D621" s="3">
        <v>620</v>
      </c>
      <c r="F621" s="3">
        <v>620</v>
      </c>
      <c r="H621" s="3">
        <v>620</v>
      </c>
      <c r="K621" s="14">
        <v>654</v>
      </c>
      <c r="N621" s="14">
        <v>23</v>
      </c>
      <c r="O621" s="14" t="s">
        <v>29</v>
      </c>
      <c r="P621" s="2">
        <v>19</v>
      </c>
      <c r="Q621" s="2" t="s">
        <v>1886</v>
      </c>
      <c r="R621" s="18">
        <v>4373</v>
      </c>
      <c r="S621" s="18" t="str">
        <f ca="1">"Key of Wisdom, by Artephius"&amp;VLOOKUP(RANDBETWEEN(22,25),OCCULT,2)</f>
        <v>Key of Wisdom, by Artephius: If read the Posse member gains +1 to his/her Occult, but they gain a minor phobia or quirk.</v>
      </c>
      <c r="U621" s="14"/>
    </row>
    <row r="622" spans="4:21" x14ac:dyDescent="0.2">
      <c r="D622" s="3">
        <v>621</v>
      </c>
      <c r="F622" s="3">
        <v>621</v>
      </c>
      <c r="H622" s="3">
        <v>621</v>
      </c>
      <c r="K622" s="14">
        <v>655</v>
      </c>
      <c r="N622" s="14">
        <v>24</v>
      </c>
      <c r="O622" s="14" t="s">
        <v>410</v>
      </c>
      <c r="P622" s="2">
        <v>20</v>
      </c>
      <c r="Q622" s="2" t="s">
        <v>1887</v>
      </c>
      <c r="R622" s="3">
        <v>4374</v>
      </c>
      <c r="S622" s="18" t="str">
        <f ca="1">"Kryptographik, by Johann Ludwig (J.H.) Klüber"&amp;VLOOKUP(RANDBETWEEN(22,25),OCCULT,2)</f>
        <v>Kryptographik, by Johann Ludwig (J.H.) Klüber: If read the Posse member gains +1 to his/her Occult, but they gain a minor phobia or quirk.</v>
      </c>
      <c r="U622" s="14"/>
    </row>
    <row r="623" spans="4:21" ht="47.25" x14ac:dyDescent="0.2">
      <c r="D623" s="3">
        <v>622</v>
      </c>
      <c r="F623" s="3">
        <v>622</v>
      </c>
      <c r="H623" s="3">
        <v>622</v>
      </c>
      <c r="K623" s="14">
        <v>656</v>
      </c>
      <c r="N623" s="14">
        <v>25</v>
      </c>
      <c r="O623" s="14" t="s">
        <v>2493</v>
      </c>
      <c r="P623" s="2">
        <v>21</v>
      </c>
      <c r="Q623" s="2" t="s">
        <v>1809</v>
      </c>
      <c r="R623" s="18">
        <v>4375</v>
      </c>
      <c r="S623" s="18" t="str">
        <f ca="1">"Liber Investigationis, by Geber (6th century AD)"&amp;VLOOKUP(RANDBETWEEN(22,25),OCCULT,2)</f>
        <v>Liber Investigationis, by Geber (6th century AD): Character may gain a one time bonus level to their Occult, but must succeed 3 Gut Checks at a -4, failure means they must roll on the Scart Table.</v>
      </c>
      <c r="U623" s="14"/>
    </row>
    <row r="624" spans="4:21" x14ac:dyDescent="0.2">
      <c r="D624" s="3">
        <v>623</v>
      </c>
      <c r="F624" s="3">
        <v>623</v>
      </c>
      <c r="H624" s="3">
        <v>623</v>
      </c>
      <c r="K624" s="14">
        <v>657</v>
      </c>
      <c r="N624" s="14">
        <v>26</v>
      </c>
      <c r="O624" s="14" t="s">
        <v>34</v>
      </c>
      <c r="P624" s="2">
        <v>22</v>
      </c>
      <c r="Q624" s="2" t="s">
        <v>1810</v>
      </c>
      <c r="R624" s="3">
        <v>4376</v>
      </c>
      <c r="S624" s="18" t="str">
        <f ca="1">"Liber-Damnatus"&amp;VLOOKUP(RANDBETWEEN(22,25),OCCULT,2)</f>
        <v>Liber-Damnatus: Character may gain a one time bonus level to their Occult, but must succeed 3 Gut Checks at a -4, failure means they must roll on the Scart Table.</v>
      </c>
      <c r="U624" s="14"/>
    </row>
    <row r="625" spans="4:21" x14ac:dyDescent="0.2">
      <c r="D625" s="3">
        <v>624</v>
      </c>
      <c r="F625" s="3">
        <v>624</v>
      </c>
      <c r="H625" s="3">
        <v>624</v>
      </c>
      <c r="K625" s="14">
        <v>658</v>
      </c>
      <c r="N625" s="14">
        <v>27</v>
      </c>
      <c r="O625" s="14" t="s">
        <v>2494</v>
      </c>
      <c r="P625" s="2">
        <v>23</v>
      </c>
      <c r="Q625" s="2" t="s">
        <v>1811</v>
      </c>
      <c r="R625" s="18">
        <v>4377</v>
      </c>
      <c r="S625" s="18" t="str">
        <f ca="1">"Magnalia Christi Americana, by Cotton Mather"&amp;VLOOKUP(RANDBETWEEN(22,25),OCCULT,2)</f>
        <v>Magnalia Christi Americana, by Cotton Mather: If read the Posse member gains +1 to his/her Occult, but they gain a minor phobia or quirk.</v>
      </c>
      <c r="U625" s="14"/>
    </row>
    <row r="626" spans="4:21" x14ac:dyDescent="0.2">
      <c r="D626" s="3">
        <v>625</v>
      </c>
      <c r="F626" s="3">
        <v>625</v>
      </c>
      <c r="H626" s="3">
        <v>625</v>
      </c>
      <c r="K626" s="14">
        <v>659</v>
      </c>
      <c r="N626" s="14">
        <v>28</v>
      </c>
      <c r="O626" s="14" t="s">
        <v>54</v>
      </c>
      <c r="P626" s="2">
        <v>24</v>
      </c>
      <c r="Q626" s="2" t="s">
        <v>1812</v>
      </c>
      <c r="R626" s="3">
        <v>4378</v>
      </c>
      <c r="S626" s="18" t="str">
        <f ca="1">"Magyar Folklore, by Dornly"&amp;VLOOKUP(RANDBETWEEN(22,25),OCCULT,2)</f>
        <v>Magyar Folklore, by Dornly: If read the Posse member gains +1 to his/her Occult, but they gain a minor phobia or quirk.</v>
      </c>
      <c r="U626" s="14"/>
    </row>
    <row r="627" spans="4:21" x14ac:dyDescent="0.2">
      <c r="D627" s="3">
        <v>626</v>
      </c>
      <c r="F627" s="3">
        <v>626</v>
      </c>
      <c r="H627" s="3">
        <v>626</v>
      </c>
      <c r="K627" s="14">
        <v>660</v>
      </c>
      <c r="N627" s="14">
        <v>29</v>
      </c>
      <c r="O627" s="14" t="s">
        <v>229</v>
      </c>
      <c r="P627" s="2">
        <v>25</v>
      </c>
      <c r="Q627" s="2" t="s">
        <v>1888</v>
      </c>
      <c r="R627" s="18">
        <v>4379</v>
      </c>
      <c r="S627" s="18" t="str">
        <f ca="1">"Marvells of Science, by Morryster"&amp;VLOOKUP(RANDBETWEEN(22,25),OCCULT,2)</f>
        <v>Marvells of Science, by Morryster: If read the Posse member gains +1 to his/her Occult, but they gain a minor phobia or quirk.</v>
      </c>
      <c r="U627" s="14"/>
    </row>
    <row r="628" spans="4:21" ht="53.25" customHeight="1" x14ac:dyDescent="0.2">
      <c r="D628" s="3">
        <v>627</v>
      </c>
      <c r="F628" s="3">
        <v>627</v>
      </c>
      <c r="H628" s="3">
        <v>627</v>
      </c>
      <c r="K628" s="14">
        <v>661</v>
      </c>
      <c r="N628" s="14">
        <v>30</v>
      </c>
      <c r="O628" s="14" t="s">
        <v>2117</v>
      </c>
      <c r="P628" s="2">
        <v>26</v>
      </c>
      <c r="Q628" s="2" t="s">
        <v>1813</v>
      </c>
      <c r="R628" s="3">
        <v>4380</v>
      </c>
      <c r="S628" s="18" t="str">
        <f ca="1">"Necronomicon, by Abdul Alhazred"&amp;VLOOKUP(RANDBETWEEN(23,24),OCCULT,2)</f>
        <v>Necronomicon, by Abdul Alhazred: Character may gain a +2 to their Occult, but must succeed a Gut Checks at a -4, failure means they must roll on the Scart Table.</v>
      </c>
      <c r="U628" s="14"/>
    </row>
    <row r="629" spans="4:21" ht="47.25" x14ac:dyDescent="0.2">
      <c r="D629" s="3">
        <v>628</v>
      </c>
      <c r="F629" s="3">
        <v>628</v>
      </c>
      <c r="H629" s="3">
        <v>628</v>
      </c>
      <c r="K629" s="14">
        <v>662</v>
      </c>
      <c r="N629" s="14">
        <v>31</v>
      </c>
      <c r="O629" s="14" t="s">
        <v>357</v>
      </c>
      <c r="P629" s="2">
        <v>27</v>
      </c>
      <c r="Q629" s="2" t="s">
        <v>1889</v>
      </c>
      <c r="R629" s="18">
        <v>4381</v>
      </c>
      <c r="S629" s="18" t="str">
        <f ca="1">"Night-Gaunt, by Edgar Hengist Gordon"&amp;VLOOKUP(RANDBETWEEN(22,25),OCCULT,2)</f>
        <v>Night-Gaunt, by Edgar Hengist Gordon: If read the Posse member gains +1 to his/her Occult, but they gain a minor phobia or quirk.</v>
      </c>
      <c r="U629" s="14"/>
    </row>
    <row r="630" spans="4:21" ht="47.25" x14ac:dyDescent="0.2">
      <c r="D630" s="3">
        <v>629</v>
      </c>
      <c r="F630" s="3">
        <v>629</v>
      </c>
      <c r="H630" s="3">
        <v>629</v>
      </c>
      <c r="K630" s="14">
        <v>663</v>
      </c>
      <c r="N630" s="14">
        <v>32</v>
      </c>
      <c r="O630" s="14" t="s">
        <v>232</v>
      </c>
      <c r="P630" s="2">
        <v>28</v>
      </c>
      <c r="Q630" s="2" t="s">
        <v>1814</v>
      </c>
      <c r="R630" s="3">
        <v>4382</v>
      </c>
      <c r="S630" s="18" t="str">
        <f ca="1">"Occultus, by Heiriarchus"&amp;VLOOKUP(RANDBETWEEN(22,25),OCCULT,2)</f>
        <v>Occultus, by Heiriarchus: If read the Posse member gains +1 to his/her Occult, but they gain a minor phobia or quirk.</v>
      </c>
      <c r="U630" s="14"/>
    </row>
    <row r="631" spans="4:21" ht="31.5" x14ac:dyDescent="0.2">
      <c r="D631" s="3">
        <v>630</v>
      </c>
      <c r="F631" s="3">
        <v>630</v>
      </c>
      <c r="H631" s="3">
        <v>630</v>
      </c>
      <c r="K631" s="14">
        <v>664</v>
      </c>
      <c r="N631" s="14">
        <v>33</v>
      </c>
      <c r="O631" s="14" t="s">
        <v>33</v>
      </c>
      <c r="P631" s="2">
        <v>29</v>
      </c>
      <c r="Q631" s="2" t="s">
        <v>1815</v>
      </c>
      <c r="R631" s="18">
        <v>4383</v>
      </c>
      <c r="S631" s="18" t="str">
        <f ca="1">"Of Evill Sorceries done in New-England of Daemons in no Humane Shape"&amp;VLOOKUP(RANDBETWEEN(22,25),OCCULT,2)</f>
        <v>Of Evill Sorceries done in New-England of Daemons in no Humane Shape: Character may gain a one time bonus level to their Occult, but must succeed 3 Gut Checks at a -4, failure means they must roll on the Scart Table.</v>
      </c>
      <c r="U631" s="14"/>
    </row>
    <row r="632" spans="4:21" ht="31.5" x14ac:dyDescent="0.2">
      <c r="D632" s="3">
        <v>631</v>
      </c>
      <c r="F632" s="3">
        <v>631</v>
      </c>
      <c r="H632" s="3">
        <v>631</v>
      </c>
      <c r="K632" s="14">
        <v>665</v>
      </c>
      <c r="N632" s="14">
        <v>34</v>
      </c>
      <c r="O632" s="14" t="s">
        <v>2495</v>
      </c>
      <c r="P632" s="2">
        <v>30</v>
      </c>
      <c r="Q632" s="2" t="s">
        <v>1890</v>
      </c>
      <c r="R632" s="3">
        <v>4384</v>
      </c>
      <c r="S632" s="18" t="str">
        <f ca="1">"On the Sending Out of the Soul"&amp;VLOOKUP(RANDBETWEEN(22,25),OCCULT,2)</f>
        <v>On the Sending Out of the Soul: Character may gain a one time bonus level to their Occult, but must succeed 3 Gut Checks at a -4, failure means they must roll on the Scart Table.</v>
      </c>
      <c r="U632" s="14"/>
    </row>
    <row r="633" spans="4:21" ht="47.25" x14ac:dyDescent="0.2">
      <c r="D633" s="3">
        <v>632</v>
      </c>
      <c r="F633" s="3">
        <v>632</v>
      </c>
      <c r="H633" s="3">
        <v>632</v>
      </c>
      <c r="K633" s="14">
        <v>666</v>
      </c>
      <c r="N633" s="14">
        <v>35</v>
      </c>
      <c r="O633" s="14" t="s">
        <v>401</v>
      </c>
      <c r="P633" s="2">
        <v>31</v>
      </c>
      <c r="Q633" s="2" t="s">
        <v>1816</v>
      </c>
      <c r="R633" s="18">
        <v>4385</v>
      </c>
      <c r="S633" s="18" t="str">
        <f ca="1">"People of the Monolith, The by Justin Geoffrey"&amp;VLOOKUP(RANDBETWEEN(22,25),OCCULT,2)</f>
        <v>People of the Monolith, The by Justin Geoffrey: Character may gain a +2 to their Occult, but must succeed a Gut Checks at a -4, failure means they must roll on the Scart Table.</v>
      </c>
      <c r="U633" s="14"/>
    </row>
    <row r="634" spans="4:21" ht="47.25" x14ac:dyDescent="0.2">
      <c r="D634" s="3">
        <v>633</v>
      </c>
      <c r="F634" s="3">
        <v>633</v>
      </c>
      <c r="H634" s="3">
        <v>633</v>
      </c>
      <c r="K634" s="14">
        <v>667</v>
      </c>
      <c r="N634" s="14">
        <v>36</v>
      </c>
      <c r="O634" s="14" t="s">
        <v>37</v>
      </c>
      <c r="P634" s="2">
        <v>32</v>
      </c>
      <c r="Q634" s="2" t="s">
        <v>1891</v>
      </c>
      <c r="R634" s="3">
        <v>4386</v>
      </c>
      <c r="S634" s="18" t="str">
        <f ca="1">"Polygraphia, by Johannes Trithemius (1462–1516)"&amp;VLOOKUP(RANDBETWEEN(22,25),OCCULT,2)</f>
        <v>Polygraphia, by Johannes Trithemius (1462–1516): If read the Posse member gains +1 to his/her Occult, but they gain a minor phobia or quirk.</v>
      </c>
      <c r="U634" s="14"/>
    </row>
    <row r="635" spans="4:21" ht="31.5" x14ac:dyDescent="0.2">
      <c r="D635" s="3">
        <v>634</v>
      </c>
      <c r="F635" s="3">
        <v>634</v>
      </c>
      <c r="H635" s="3">
        <v>634</v>
      </c>
      <c r="K635" s="14">
        <v>668</v>
      </c>
      <c r="N635" s="14">
        <v>37</v>
      </c>
      <c r="O635" s="3" t="s">
        <v>2973</v>
      </c>
      <c r="P635" s="2">
        <v>33</v>
      </c>
      <c r="Q635" s="2" t="s">
        <v>1892</v>
      </c>
      <c r="R635" s="18">
        <v>4387</v>
      </c>
      <c r="S635" s="18" t="str">
        <f ca="1">"Ponape Scripture, by Imash-Mo, high priest of Ghatanothoa, and his successors"&amp;VLOOKUP(RANDBETWEEN(22,25),OCCULT,2)</f>
        <v>Ponape Scripture, by Imash-Mo, high priest of Ghatanothoa, and his successors: If read the Posse member gains +1 to his/her Occult, but they gain a minor phobia or quirk.</v>
      </c>
      <c r="U635" s="14"/>
    </row>
    <row r="636" spans="4:21" ht="47.25" x14ac:dyDescent="0.2">
      <c r="D636" s="3">
        <v>635</v>
      </c>
      <c r="F636" s="3">
        <v>635</v>
      </c>
      <c r="H636" s="3">
        <v>635</v>
      </c>
      <c r="K636" s="14">
        <v>669</v>
      </c>
      <c r="N636" s="14">
        <v>38</v>
      </c>
      <c r="O636" s="14" t="s">
        <v>26</v>
      </c>
      <c r="P636" s="2">
        <v>34</v>
      </c>
      <c r="Q636" s="2" t="s">
        <v>1817</v>
      </c>
      <c r="R636" s="3">
        <v>4388</v>
      </c>
      <c r="S636" s="18" t="str">
        <f ca="1">"Regnum Congo, by Filippo Pigafetta"&amp;VLOOKUP(RANDBETWEEN(22,25),OCCULT,2)</f>
        <v>Regnum Congo, by Filippo Pigafetta: If read the Posse member gains +1 to his/her Occult, but they gain a minor phobia or quirk.</v>
      </c>
      <c r="U636" s="14"/>
    </row>
    <row r="637" spans="4:21" ht="47.25" x14ac:dyDescent="0.2">
      <c r="D637" s="3">
        <v>636</v>
      </c>
      <c r="F637" s="3">
        <v>636</v>
      </c>
      <c r="H637" s="3">
        <v>636</v>
      </c>
      <c r="K637" s="14">
        <v>670</v>
      </c>
      <c r="N637" s="14">
        <v>39</v>
      </c>
      <c r="O637" s="14" t="s">
        <v>27</v>
      </c>
      <c r="P637" s="2">
        <v>35</v>
      </c>
      <c r="Q637" s="2" t="s">
        <v>1818</v>
      </c>
      <c r="R637" s="18">
        <v>4389</v>
      </c>
      <c r="S637" s="18" t="str">
        <f ca="1">"Remnants of Lost Empires, by Otto Dostman"&amp;VLOOKUP(RANDBETWEEN(22,25),OCCULT,2)</f>
        <v>Remnants of Lost Empires, by Otto Dostman: Character may gain a one time bonus level to their Occult, but must succeed 3 Gut Checks at a -4, failure means they must roll on the Scart Table.</v>
      </c>
      <c r="U637" s="14"/>
    </row>
    <row r="638" spans="4:21" ht="47.25" x14ac:dyDescent="0.2">
      <c r="D638" s="3">
        <v>637</v>
      </c>
      <c r="F638" s="3">
        <v>637</v>
      </c>
      <c r="H638" s="3">
        <v>637</v>
      </c>
      <c r="K638" s="14">
        <v>671</v>
      </c>
      <c r="N638" s="14">
        <v>40</v>
      </c>
      <c r="O638" s="14" t="s">
        <v>95</v>
      </c>
      <c r="P638" s="2">
        <v>36</v>
      </c>
      <c r="Q638" s="2" t="s">
        <v>1819</v>
      </c>
      <c r="R638" s="3">
        <v>4390</v>
      </c>
      <c r="S638" s="18" t="str">
        <f ca="1">"Revelations of Glaaki, by Great Old One Glaaki"&amp;VLOOKUP(RANDBETWEEN(22,25),OCCULT,2)</f>
        <v>Revelations of Glaaki, by Great Old One Glaaki: Character may gain a +2 to their Occult, but must succeed a Gut Checks at a -4, failure means they must roll on the Scart Table.</v>
      </c>
      <c r="U638" s="14"/>
    </row>
    <row r="639" spans="4:21" ht="47.25" x14ac:dyDescent="0.2">
      <c r="D639" s="3">
        <v>638</v>
      </c>
      <c r="F639" s="3">
        <v>638</v>
      </c>
      <c r="H639" s="3">
        <v>638</v>
      </c>
      <c r="K639" s="14">
        <v>672</v>
      </c>
      <c r="N639" s="14">
        <v>41</v>
      </c>
      <c r="O639" s="14" t="s">
        <v>23</v>
      </c>
      <c r="P639" s="2">
        <v>37</v>
      </c>
      <c r="Q639" s="2" t="s">
        <v>1820</v>
      </c>
      <c r="R639" s="18">
        <v>4391</v>
      </c>
      <c r="S639" s="18" t="str">
        <f ca="1">"Saducismus Triumphatus, by Joseph Glanvil"&amp;VLOOKUP(RANDBETWEEN(22,25),OCCULT,2)</f>
        <v xml:space="preserve">Saducismus Triumphatus, by Joseph Glanvil </v>
      </c>
      <c r="U639" s="14"/>
    </row>
    <row r="640" spans="4:21" ht="47.25" x14ac:dyDescent="0.2">
      <c r="D640" s="3">
        <v>639</v>
      </c>
      <c r="F640" s="3">
        <v>639</v>
      </c>
      <c r="H640" s="3">
        <v>639</v>
      </c>
      <c r="K640" s="14">
        <v>673</v>
      </c>
      <c r="N640" s="14">
        <v>42</v>
      </c>
      <c r="O640" s="14" t="s">
        <v>55</v>
      </c>
      <c r="P640" s="2">
        <v>38</v>
      </c>
      <c r="Q640" s="2" t="s">
        <v>1821</v>
      </c>
      <c r="R640" s="3">
        <v>4392</v>
      </c>
      <c r="S640" s="18" t="str">
        <f ca="1">"Seven Cryptical Books of Hsan"&amp;VLOOKUP(RANDBETWEEN(22,25),OCCULT,2)</f>
        <v>Seven Cryptical Books of Hsan: If read the Posse member gains +1 to his/her Occult, but they gain a minor phobia or quirk.</v>
      </c>
      <c r="U640" s="14"/>
    </row>
    <row r="641" spans="4:21" x14ac:dyDescent="0.2">
      <c r="D641" s="3">
        <v>640</v>
      </c>
      <c r="F641" s="3">
        <v>640</v>
      </c>
      <c r="H641" s="3">
        <v>640</v>
      </c>
      <c r="K641" s="14">
        <v>674</v>
      </c>
      <c r="N641" s="14">
        <v>43</v>
      </c>
      <c r="O641" s="14" t="s">
        <v>24</v>
      </c>
      <c r="P641" s="2">
        <v>39</v>
      </c>
      <c r="Q641" s="2" t="s">
        <v>1893</v>
      </c>
      <c r="R641" s="18">
        <v>4393</v>
      </c>
      <c r="S641" s="18" t="str">
        <f ca="1">"Sussex Manuscript, by (Fred L. Pelton)"&amp;VLOOKUP(RANDBETWEEN(22,25),OCCULT,2)</f>
        <v>Sussex Manuscript, by (Fred L. Pelton): Character may gain a one time bonus level to their Occult, but must succeed 3 Gut Checks at a -4, failure means they must roll on the Scart Table.</v>
      </c>
      <c r="U641" s="14"/>
    </row>
    <row r="642" spans="4:21" ht="47.25" x14ac:dyDescent="0.2">
      <c r="D642" s="3">
        <v>641</v>
      </c>
      <c r="F642" s="3">
        <v>641</v>
      </c>
      <c r="H642" s="3">
        <v>641</v>
      </c>
      <c r="K642" s="14">
        <v>675</v>
      </c>
      <c r="N642" s="14">
        <v>44</v>
      </c>
      <c r="O642" s="14" t="s">
        <v>2496</v>
      </c>
      <c r="P642" s="2">
        <v>40</v>
      </c>
      <c r="Q642" s="2" t="s">
        <v>1894</v>
      </c>
      <c r="R642" s="3">
        <v>4394</v>
      </c>
      <c r="S642" s="18" t="str">
        <f ca="1">"Testament of Carnamagos, by Carnamagos"&amp;VLOOKUP(RANDBETWEEN(22,25),OCCULT,2)</f>
        <v>Testament of Carnamagos, by Carnamagos: If read the Posse member gains +1 to his/her Occult, but they gain a minor phobia or quirk.</v>
      </c>
      <c r="U642" s="14"/>
    </row>
    <row r="643" spans="4:21" ht="63" x14ac:dyDescent="0.2">
      <c r="D643" s="3">
        <v>642</v>
      </c>
      <c r="F643" s="3">
        <v>642</v>
      </c>
      <c r="H643" s="3">
        <v>642</v>
      </c>
      <c r="K643" s="14">
        <v>676</v>
      </c>
      <c r="N643" s="14">
        <v>45</v>
      </c>
      <c r="O643" s="14" t="s">
        <v>233</v>
      </c>
      <c r="P643" s="2">
        <v>41</v>
      </c>
      <c r="Q643" s="2" t="s">
        <v>1822</v>
      </c>
      <c r="R643" s="18">
        <v>4395</v>
      </c>
      <c r="S643" s="18" t="str">
        <f ca="1">"Thaumaturgicall Prodigies in the New-English Canaan, by Rev. Ward Phillips"&amp;VLOOKUP(RANDBETWEEN(22,25),OCCULT,2)</f>
        <v>Thaumaturgicall Prodigies in the New-English Canaan, by Rev. Ward Phillips: If read the Posse member gains +1 to his/her Occult, but they gain a minor phobia or quirk.</v>
      </c>
      <c r="U643" s="14"/>
    </row>
    <row r="644" spans="4:21" ht="47.25" x14ac:dyDescent="0.2">
      <c r="D644" s="3">
        <v>643</v>
      </c>
      <c r="F644" s="3">
        <v>643</v>
      </c>
      <c r="H644" s="3">
        <v>643</v>
      </c>
      <c r="K644" s="14">
        <v>677</v>
      </c>
      <c r="N644" s="14">
        <v>46</v>
      </c>
      <c r="O644" s="14" t="s">
        <v>366</v>
      </c>
      <c r="P644" s="2">
        <v>42</v>
      </c>
      <c r="Q644" s="2" t="s">
        <v>1895</v>
      </c>
      <c r="R644" s="3">
        <v>4396</v>
      </c>
      <c r="S644" s="18" t="str">
        <f ca="1">"The Black Rites, by Luveh-Keraphf"&amp;VLOOKUP(RANDBETWEEN(22,25),OCCULT,2)</f>
        <v>The Black Rites, by Luveh-Keraphf: If read the Posse member gains +1 to his/her Occult, but they gain a minor phobia or quirk.</v>
      </c>
      <c r="U644" s="14"/>
    </row>
    <row r="645" spans="4:21" ht="47.25" x14ac:dyDescent="0.2">
      <c r="D645" s="3">
        <v>644</v>
      </c>
      <c r="F645" s="3">
        <v>644</v>
      </c>
      <c r="H645" s="3">
        <v>644</v>
      </c>
      <c r="K645" s="14">
        <v>678</v>
      </c>
      <c r="N645" s="14">
        <v>47</v>
      </c>
      <c r="O645" s="14" t="s">
        <v>367</v>
      </c>
      <c r="P645" s="2">
        <v>43</v>
      </c>
      <c r="Q645" s="2" t="s">
        <v>1896</v>
      </c>
      <c r="R645" s="18">
        <v>4397</v>
      </c>
      <c r="S645" s="18" t="str">
        <f ca="1">"The Daemonolorum"&amp;VLOOKUP(RANDBETWEEN(22,25),OCCULT,2)</f>
        <v>The Daemonolorum: Character may gain a one time bonus level to their Occult, but must succeed 3 Gut Checks at a -4, failure means they must roll on the Scart Table.</v>
      </c>
      <c r="U645" s="14"/>
    </row>
    <row r="646" spans="4:21" ht="47.25" x14ac:dyDescent="0.2">
      <c r="D646" s="3">
        <v>645</v>
      </c>
      <c r="F646" s="3">
        <v>645</v>
      </c>
      <c r="H646" s="3">
        <v>645</v>
      </c>
      <c r="K646" s="14">
        <v>679</v>
      </c>
      <c r="N646" s="14">
        <v>48</v>
      </c>
      <c r="O646" s="14" t="s">
        <v>51</v>
      </c>
      <c r="P646" s="2">
        <v>44</v>
      </c>
      <c r="Q646" s="2" t="s">
        <v>1823</v>
      </c>
      <c r="R646" s="3">
        <v>4398</v>
      </c>
      <c r="S646" s="29" t="str">
        <f ca="1">"The King in Yellow"&amp;VLOOKUP(RANDBETWEEN(23,24),OCCULT,2)</f>
        <v>The King in Yellow: Character may gain a one time bonus level to their Occult, but must succeed 3 Gut Checks at a -4, failure means they must roll on the Scart Table.</v>
      </c>
      <c r="U646" s="14"/>
    </row>
    <row r="647" spans="4:21" ht="47.25" x14ac:dyDescent="0.2">
      <c r="D647" s="3">
        <v>646</v>
      </c>
      <c r="F647" s="3">
        <v>646</v>
      </c>
      <c r="H647" s="3">
        <v>646</v>
      </c>
      <c r="K647" s="14">
        <v>680</v>
      </c>
      <c r="N647" s="14">
        <v>49</v>
      </c>
      <c r="O647" s="14" t="s">
        <v>361</v>
      </c>
      <c r="P647" s="2">
        <v>45</v>
      </c>
      <c r="Q647" s="2" t="s">
        <v>1897</v>
      </c>
      <c r="R647" s="18">
        <v>4399</v>
      </c>
      <c r="S647" s="18" t="str">
        <f ca="1">"The Saurian Age"&amp;VLOOKUP(RANDBETWEEN(22,25),OCCULT,2)</f>
        <v>The Saurian Age: Character may gain a one time bonus level to their Occult, but must succeed 3 Gut Checks at a -4, failure means they must roll on the Scart Table.</v>
      </c>
      <c r="U647" s="14"/>
    </row>
    <row r="648" spans="4:21" x14ac:dyDescent="0.2">
      <c r="D648" s="3">
        <v>647</v>
      </c>
      <c r="F648" s="3">
        <v>647</v>
      </c>
      <c r="H648" s="3">
        <v>647</v>
      </c>
      <c r="K648" s="14">
        <v>681</v>
      </c>
      <c r="N648" s="14">
        <v>50</v>
      </c>
      <c r="O648" s="14" t="s">
        <v>28</v>
      </c>
      <c r="P648" s="2">
        <v>46</v>
      </c>
      <c r="Q648" s="2" t="s">
        <v>1898</v>
      </c>
      <c r="R648" s="3">
        <v>4400</v>
      </c>
      <c r="S648" s="18" t="str">
        <f ca="1">"The Seventh Book of Moses"&amp;VLOOKUP(RANDBETWEEN(22,25),OCCULT,2)</f>
        <v>The Seventh Book of Moses: If read the Posse member gains +1 to his/her Occult, but they gain a minor phobia or quirk.</v>
      </c>
      <c r="U648" s="14"/>
    </row>
    <row r="649" spans="4:21" ht="47.25" x14ac:dyDescent="0.2">
      <c r="D649" s="3">
        <v>648</v>
      </c>
      <c r="F649" s="3">
        <v>648</v>
      </c>
      <c r="H649" s="3">
        <v>648</v>
      </c>
      <c r="K649" s="14">
        <v>682</v>
      </c>
      <c r="N649" s="14">
        <v>51</v>
      </c>
      <c r="O649" s="14" t="s">
        <v>2497</v>
      </c>
      <c r="P649" s="2">
        <v>47</v>
      </c>
      <c r="Q649" s="2" t="s">
        <v>1899</v>
      </c>
      <c r="R649" s="18">
        <v>4401</v>
      </c>
      <c r="S649" s="18" t="str">
        <f ca="1">"The Soul of Chaos, by Edgar Hengist Gordon"&amp;VLOOKUP(RANDBETWEEN(22,25),OCCULT,2)</f>
        <v>The Soul of Chaos, by Edgar Hengist Gordon: Character may gain a one time bonus level to their Occult, but must succeed 3 Gut Checks at a -4, failure means they must roll on the Scart Table.</v>
      </c>
      <c r="U649" s="14"/>
    </row>
    <row r="650" spans="4:21" x14ac:dyDescent="0.2">
      <c r="D650" s="3">
        <v>649</v>
      </c>
      <c r="F650" s="3">
        <v>649</v>
      </c>
      <c r="H650" s="3">
        <v>649</v>
      </c>
      <c r="K650" s="14">
        <v>683</v>
      </c>
      <c r="N650" s="14">
        <v>52</v>
      </c>
      <c r="O650" s="14" t="s">
        <v>38</v>
      </c>
      <c r="P650" s="2">
        <v>48</v>
      </c>
      <c r="Q650" s="2" t="s">
        <v>1824</v>
      </c>
      <c r="R650" s="3">
        <v>4402</v>
      </c>
      <c r="S650" s="18" t="str">
        <f ca="1">"The Tablets of Nhing"&amp;VLOOKUP(RANDBETWEEN(22,25),OCCULT,2)</f>
        <v>The Tablets of Nhing: Character may gain a one time bonus level to their Occult, but must succeed 3 Gut Checks at a -4, failure means they must roll on the Scart Table.</v>
      </c>
      <c r="U650" s="14"/>
    </row>
    <row r="651" spans="4:21" ht="63" x14ac:dyDescent="0.2">
      <c r="D651" s="3">
        <v>650</v>
      </c>
      <c r="F651" s="3">
        <v>650</v>
      </c>
      <c r="H651" s="3">
        <v>650</v>
      </c>
      <c r="K651" s="14">
        <v>684</v>
      </c>
      <c r="N651" s="14">
        <v>53</v>
      </c>
      <c r="O651" s="14" t="s">
        <v>2119</v>
      </c>
      <c r="P651" s="2">
        <v>49</v>
      </c>
      <c r="Q651" s="2" t="s">
        <v>1825</v>
      </c>
      <c r="R651" s="18">
        <v>4403</v>
      </c>
      <c r="S651" s="18" t="str">
        <f ca="1">"The Witch-Cult in Western Europe, by Dr. Margaret Alice Murray"&amp;VLOOKUP(RANDBETWEEN(22,25),OCCULT,2)</f>
        <v xml:space="preserve">The Witch-Cult in Western Europe, by Dr. Margaret Alice Murray </v>
      </c>
      <c r="U651" s="14"/>
    </row>
    <row r="652" spans="4:21" x14ac:dyDescent="0.2">
      <c r="D652" s="3">
        <v>651</v>
      </c>
      <c r="F652" s="3">
        <v>651</v>
      </c>
      <c r="H652" s="3">
        <v>651</v>
      </c>
      <c r="K652" s="14">
        <v>685</v>
      </c>
      <c r="N652" s="14">
        <v>54</v>
      </c>
      <c r="O652" s="14" t="s">
        <v>2120</v>
      </c>
      <c r="P652" s="2">
        <v>50</v>
      </c>
      <c r="Q652" s="2" t="s">
        <v>1826</v>
      </c>
      <c r="R652" s="3">
        <v>4404</v>
      </c>
      <c r="S652" s="18" t="s">
        <v>2925</v>
      </c>
      <c r="U652" s="14"/>
    </row>
    <row r="653" spans="4:21" x14ac:dyDescent="0.2">
      <c r="D653" s="3">
        <v>652</v>
      </c>
      <c r="F653" s="3">
        <v>652</v>
      </c>
      <c r="H653" s="3">
        <v>652</v>
      </c>
      <c r="K653" s="14">
        <v>686</v>
      </c>
      <c r="N653" s="14">
        <v>55</v>
      </c>
      <c r="O653" s="14" t="s">
        <v>2498</v>
      </c>
      <c r="P653" s="2">
        <v>51</v>
      </c>
      <c r="Q653" s="2" t="s">
        <v>1900</v>
      </c>
      <c r="R653" s="18">
        <v>4405</v>
      </c>
      <c r="S653" s="18" t="s">
        <v>2926</v>
      </c>
      <c r="U653" s="14"/>
    </row>
    <row r="654" spans="4:21" ht="31.5" x14ac:dyDescent="0.2">
      <c r="D654" s="3">
        <v>653</v>
      </c>
      <c r="F654" s="3">
        <v>653</v>
      </c>
      <c r="H654" s="3">
        <v>653</v>
      </c>
      <c r="K654" s="14">
        <v>687</v>
      </c>
      <c r="N654" s="14">
        <v>56</v>
      </c>
      <c r="O654" s="14" t="s">
        <v>2499</v>
      </c>
      <c r="P654" s="2">
        <v>52</v>
      </c>
      <c r="Q654" s="2" t="s">
        <v>1901</v>
      </c>
      <c r="R654" s="3">
        <v>4406</v>
      </c>
      <c r="S654" s="18" t="str">
        <f ca="1">"An Exposae on "&amp;VLOOKUP(RANDBETWEEN(1,112),SECRET,2)&amp;", by IJ Stone"&amp;VLOOKUP(RANDBETWEEN(22,25),OCCULT,2)</f>
        <v>An Exposae on FTL, by IJ Stone: Character may gain a +2 to their Occult, but must succeed a Gut Checks at a -4, failure means they must roll on the Scart Table.</v>
      </c>
      <c r="U654" s="14"/>
    </row>
    <row r="655" spans="4:21" x14ac:dyDescent="0.2">
      <c r="D655" s="3">
        <v>654</v>
      </c>
      <c r="F655" s="3">
        <v>654</v>
      </c>
      <c r="H655" s="3">
        <v>654</v>
      </c>
      <c r="K655" s="14">
        <v>688</v>
      </c>
      <c r="N655" s="14">
        <v>57</v>
      </c>
      <c r="O655" s="14" t="s">
        <v>31</v>
      </c>
      <c r="P655" s="2">
        <v>53</v>
      </c>
      <c r="Q655" s="2" t="s">
        <v>1902</v>
      </c>
      <c r="R655" s="18">
        <v>4407</v>
      </c>
      <c r="S655" s="18" t="s">
        <v>2927</v>
      </c>
      <c r="U655" s="14"/>
    </row>
    <row r="656" spans="4:21" ht="63" x14ac:dyDescent="0.2">
      <c r="D656" s="3">
        <v>655</v>
      </c>
      <c r="F656" s="3">
        <v>655</v>
      </c>
      <c r="H656" s="3">
        <v>655</v>
      </c>
      <c r="K656" s="14">
        <v>689</v>
      </c>
      <c r="P656" s="2">
        <v>54</v>
      </c>
      <c r="Q656" s="2" t="s">
        <v>1903</v>
      </c>
      <c r="R656" s="3">
        <v>4408</v>
      </c>
      <c r="S656" s="18" t="str">
        <f ca="1">"Unaussprechlichen Kulten, Black Book, or Nameless Cults, by Friedrich von Junzt"&amp;VLOOKUP(RANDBETWEEN(22,25),OCCULT,2)</f>
        <v>Unaussprechlichen Kulten, Black Book, or Nameless Cults, by Friedrich von Junzt: Character may gain a +2 to their Occult, but must succeed a Gut Checks at a -4, failure means they must roll on the Scart Table.</v>
      </c>
      <c r="U656" s="14"/>
    </row>
    <row r="657" spans="4:21" x14ac:dyDescent="0.2">
      <c r="D657" s="3">
        <v>656</v>
      </c>
      <c r="F657" s="3">
        <v>656</v>
      </c>
      <c r="H657" s="3">
        <v>656</v>
      </c>
      <c r="K657" s="14">
        <v>690</v>
      </c>
      <c r="N657" s="7"/>
      <c r="O657" s="47" t="s">
        <v>2879</v>
      </c>
      <c r="P657" s="2">
        <v>55</v>
      </c>
      <c r="Q657" s="2" t="s">
        <v>1904</v>
      </c>
      <c r="R657" s="18">
        <v>4409</v>
      </c>
      <c r="S657" s="18" t="s">
        <v>2931</v>
      </c>
      <c r="U657" s="14"/>
    </row>
    <row r="658" spans="4:21" x14ac:dyDescent="0.2">
      <c r="D658" s="3">
        <v>657</v>
      </c>
      <c r="F658" s="3">
        <v>657</v>
      </c>
      <c r="H658" s="3">
        <v>657</v>
      </c>
      <c r="K658" s="14">
        <v>691</v>
      </c>
      <c r="O658" s="7" t="s">
        <v>2857</v>
      </c>
      <c r="P658" s="2">
        <v>56</v>
      </c>
      <c r="Q658" s="2" t="s">
        <v>1827</v>
      </c>
      <c r="R658" s="3">
        <v>4410</v>
      </c>
      <c r="S658" s="18" t="s">
        <v>2928</v>
      </c>
      <c r="U658" s="14"/>
    </row>
    <row r="659" spans="4:21" x14ac:dyDescent="0.2">
      <c r="D659" s="3">
        <v>658</v>
      </c>
      <c r="F659" s="3">
        <v>658</v>
      </c>
      <c r="H659" s="3">
        <v>658</v>
      </c>
      <c r="K659" s="14">
        <v>692</v>
      </c>
      <c r="N659" s="3">
        <v>1</v>
      </c>
      <c r="O659" s="3" t="str">
        <f ca="1">RANDBETWEEN(2,12)&amp;" Partisan Raiders (Soldier profile)."</f>
        <v>5 Partisan Raiders (Soldier profile).</v>
      </c>
      <c r="P659" s="2">
        <v>57</v>
      </c>
      <c r="Q659" s="2" t="s">
        <v>1905</v>
      </c>
      <c r="R659" s="18">
        <v>4411</v>
      </c>
      <c r="S659" s="18" t="s">
        <v>2929</v>
      </c>
      <c r="U659" s="14"/>
    </row>
    <row r="660" spans="4:21" x14ac:dyDescent="0.2">
      <c r="D660" s="3">
        <v>659</v>
      </c>
      <c r="F660" s="3">
        <v>659</v>
      </c>
      <c r="H660" s="3">
        <v>659</v>
      </c>
      <c r="K660" s="14">
        <v>693</v>
      </c>
      <c r="N660" s="3">
        <v>5</v>
      </c>
      <c r="O660" s="3" t="str">
        <f ca="1">RANDBETWEEN(2,12)&amp;" Outlaws."</f>
        <v>10 Outlaws.</v>
      </c>
      <c r="P660" s="2">
        <v>58</v>
      </c>
      <c r="Q660" s="2" t="s">
        <v>1828</v>
      </c>
      <c r="R660" s="3">
        <v>4412</v>
      </c>
      <c r="S660" s="18" t="s">
        <v>2970</v>
      </c>
      <c r="U660" s="14"/>
    </row>
    <row r="661" spans="4:21" x14ac:dyDescent="0.2">
      <c r="D661" s="3">
        <v>660</v>
      </c>
      <c r="F661" s="3">
        <v>660</v>
      </c>
      <c r="H661" s="3">
        <v>660</v>
      </c>
      <c r="K661" s="14">
        <v>694</v>
      </c>
      <c r="N661" s="3">
        <v>10</v>
      </c>
      <c r="O661" s="3" t="str">
        <f ca="1">RANDBETWEEN(2,8)&amp;" Veteran Outlaws."</f>
        <v>2 Veteran Outlaws.</v>
      </c>
      <c r="P661" s="2">
        <v>59</v>
      </c>
      <c r="Q661" s="2" t="s">
        <v>1829</v>
      </c>
      <c r="R661" s="18">
        <v>4413</v>
      </c>
      <c r="S661" s="18" t="s">
        <v>2930</v>
      </c>
      <c r="U661" s="14"/>
    </row>
    <row r="662" spans="4:21" x14ac:dyDescent="0.2">
      <c r="D662" s="3">
        <v>661</v>
      </c>
      <c r="F662" s="3">
        <v>661</v>
      </c>
      <c r="H662" s="3">
        <v>661</v>
      </c>
      <c r="K662" s="14">
        <v>695</v>
      </c>
      <c r="N662" s="3">
        <v>11</v>
      </c>
      <c r="O662" s="3" t="str">
        <f ca="1">RANDBETWEEN(2,8)&amp;" Walkin’ Dead."</f>
        <v>6 Walkin’ Dead.</v>
      </c>
      <c r="P662" s="2">
        <v>60</v>
      </c>
      <c r="Q662" s="2" t="s">
        <v>1830</v>
      </c>
      <c r="U662" s="14"/>
    </row>
    <row r="663" spans="4:21" x14ac:dyDescent="0.2">
      <c r="D663" s="3">
        <v>662</v>
      </c>
      <c r="F663" s="3">
        <v>662</v>
      </c>
      <c r="H663" s="3">
        <v>662</v>
      </c>
      <c r="K663" s="14">
        <v>696</v>
      </c>
      <c r="N663" s="3">
        <v>12</v>
      </c>
      <c r="O663" s="3" t="s">
        <v>2828</v>
      </c>
      <c r="P663" s="2">
        <v>61</v>
      </c>
      <c r="Q663" s="2" t="s">
        <v>1831</v>
      </c>
      <c r="S663" s="22" t="s">
        <v>2682</v>
      </c>
      <c r="U663" s="14"/>
    </row>
    <row r="664" spans="4:21" x14ac:dyDescent="0.2">
      <c r="D664" s="3">
        <v>663</v>
      </c>
      <c r="F664" s="3">
        <v>663</v>
      </c>
      <c r="H664" s="3">
        <v>663</v>
      </c>
      <c r="K664" s="14">
        <v>697</v>
      </c>
      <c r="N664" s="3">
        <v>13</v>
      </c>
      <c r="O664" s="3" t="s">
        <v>2829</v>
      </c>
      <c r="P664" s="2">
        <v>62</v>
      </c>
      <c r="Q664" s="2" t="s">
        <v>1832</v>
      </c>
      <c r="R664" s="14">
        <v>1</v>
      </c>
      <c r="S664" s="18" t="str">
        <f ca="1">VLOOKUP(RANDBETWEEN(1,81),Hunt,2)</f>
        <v>4 weasel(s)</v>
      </c>
      <c r="U664" s="14"/>
    </row>
    <row r="665" spans="4:21" x14ac:dyDescent="0.2">
      <c r="D665" s="3">
        <v>664</v>
      </c>
      <c r="F665" s="3">
        <v>664</v>
      </c>
      <c r="H665" s="3">
        <v>664</v>
      </c>
      <c r="K665" s="14">
        <v>698</v>
      </c>
      <c r="N665" s="3">
        <v>14</v>
      </c>
      <c r="O665" s="3" t="s">
        <v>2830</v>
      </c>
      <c r="P665" s="2">
        <v>63</v>
      </c>
      <c r="Q665" s="2" t="s">
        <v>1833</v>
      </c>
      <c r="R665" s="14">
        <v>800</v>
      </c>
      <c r="S665" s="18" t="str">
        <f ca="1">"Will o’ the Wisp ("&amp;RANDBETWEEN(1,15)&amp;")"</f>
        <v>Will o’ the Wisp (15)</v>
      </c>
      <c r="U665" s="14"/>
    </row>
    <row r="666" spans="4:21" x14ac:dyDescent="0.2">
      <c r="D666" s="3">
        <v>665</v>
      </c>
      <c r="F666" s="3">
        <v>665</v>
      </c>
      <c r="H666" s="3">
        <v>665</v>
      </c>
      <c r="K666" s="14">
        <v>699</v>
      </c>
      <c r="N666" s="3">
        <v>16</v>
      </c>
      <c r="O666" s="3" t="s">
        <v>2831</v>
      </c>
      <c r="P666" s="2">
        <v>64</v>
      </c>
      <c r="Q666" s="2" t="s">
        <v>1834</v>
      </c>
      <c r="R666" s="14">
        <v>850</v>
      </c>
      <c r="S666" s="18" t="s">
        <v>2533</v>
      </c>
      <c r="U666" s="14"/>
    </row>
    <row r="667" spans="4:21" x14ac:dyDescent="0.2">
      <c r="D667" s="3">
        <v>666</v>
      </c>
      <c r="F667" s="3">
        <v>666</v>
      </c>
      <c r="H667" s="3">
        <v>666</v>
      </c>
      <c r="K667" s="14">
        <v>700</v>
      </c>
      <c r="P667" s="2">
        <v>65</v>
      </c>
      <c r="Q667" s="2" t="s">
        <v>1906</v>
      </c>
      <c r="R667" s="14">
        <v>900</v>
      </c>
      <c r="S667" s="18" t="str">
        <f ca="1">"Saddle Burr ("&amp;RANDBETWEEN(1,15)&amp;")"</f>
        <v>Saddle Burr (6)</v>
      </c>
      <c r="U667" s="14"/>
    </row>
    <row r="668" spans="4:21" ht="31.5" x14ac:dyDescent="0.2">
      <c r="D668" s="3">
        <v>667</v>
      </c>
      <c r="F668" s="3">
        <v>667</v>
      </c>
      <c r="H668" s="3">
        <v>667</v>
      </c>
      <c r="K668" s="14">
        <v>701</v>
      </c>
      <c r="N668" s="7"/>
      <c r="O668" s="47" t="s">
        <v>2880</v>
      </c>
      <c r="P668" s="2">
        <v>66</v>
      </c>
      <c r="Q668" s="2" t="s">
        <v>1907</v>
      </c>
      <c r="R668" s="14">
        <v>950</v>
      </c>
      <c r="S668" s="3" t="str">
        <f ca="1">"Duster: Notice -"&amp;(RANDBETWEEN(2,8)&amp;"{aditional -2 if sittin' still}.  In the distance you see a scrawny, emaciated "&amp;VLOOKUP(RANDBETWEEN(1,20),critter,2)&amp;".")</f>
        <v>Duster: Notice -6{aditional -2 if sittin' still}.  In the distance you see a scrawny, emaciated Dormouse.</v>
      </c>
      <c r="U668" s="14"/>
    </row>
    <row r="669" spans="4:21" x14ac:dyDescent="0.2">
      <c r="D669" s="3">
        <v>668</v>
      </c>
      <c r="F669" s="3">
        <v>668</v>
      </c>
      <c r="H669" s="3">
        <v>668</v>
      </c>
      <c r="K669" s="14">
        <v>702</v>
      </c>
      <c r="O669" s="7" t="s">
        <v>2858</v>
      </c>
      <c r="P669" s="2">
        <v>67</v>
      </c>
      <c r="Q669" s="2" t="s">
        <v>1908</v>
      </c>
      <c r="R669" s="14">
        <v>1000</v>
      </c>
      <c r="S669" s="18" t="str">
        <f ca="1">"Tumblebleed ("&amp;RANDBETWEEN(1,6)&amp;")"</f>
        <v>Tumblebleed (3)</v>
      </c>
      <c r="U669" s="14"/>
    </row>
    <row r="670" spans="4:21" x14ac:dyDescent="0.2">
      <c r="D670" s="3">
        <v>669</v>
      </c>
      <c r="F670" s="3">
        <v>669</v>
      </c>
      <c r="H670" s="3">
        <v>669</v>
      </c>
      <c r="K670" s="14">
        <v>703</v>
      </c>
      <c r="N670" s="3">
        <v>1</v>
      </c>
      <c r="O670" s="3" t="str">
        <f ca="1">RANDBETWEEN(1,4)&amp;" Guardian Angels"&amp;VLOOKUP(RANDBETWEEN(1,10),CULT,2)</f>
        <v>2 Guardian Angels.</v>
      </c>
      <c r="P670" s="2">
        <v>68</v>
      </c>
      <c r="Q670" s="2" t="s">
        <v>1909</v>
      </c>
      <c r="R670" s="14">
        <v>1050</v>
      </c>
      <c r="S670" s="18" t="s">
        <v>2504</v>
      </c>
      <c r="U670" s="14"/>
    </row>
    <row r="671" spans="4:21" x14ac:dyDescent="0.2">
      <c r="D671" s="3">
        <v>670</v>
      </c>
      <c r="F671" s="3">
        <v>670</v>
      </c>
      <c r="H671" s="3">
        <v>670</v>
      </c>
      <c r="K671" s="14">
        <v>704</v>
      </c>
      <c r="N671" s="3">
        <v>3</v>
      </c>
      <c r="O671" s="3" t="str">
        <f ca="1">RANDBETWEEN(2,12)&amp;" "&amp;VLOOKUP(RANDBETWEEN(1,2),Civil,2)&amp;" Soldiers."</f>
        <v>5 Confederate Soldiers.</v>
      </c>
      <c r="P671" s="2">
        <v>69</v>
      </c>
      <c r="Q671" s="2" t="s">
        <v>1910</v>
      </c>
      <c r="R671" s="3">
        <v>1100</v>
      </c>
      <c r="S671" s="18" t="s">
        <v>2525</v>
      </c>
      <c r="U671" s="14"/>
    </row>
    <row r="672" spans="4:21" x14ac:dyDescent="0.2">
      <c r="D672" s="3">
        <v>671</v>
      </c>
      <c r="F672" s="3">
        <v>671</v>
      </c>
      <c r="H672" s="3">
        <v>671</v>
      </c>
      <c r="K672" s="14">
        <v>705</v>
      </c>
      <c r="N672" s="3">
        <v>6</v>
      </c>
      <c r="O672" s="3" t="str">
        <f ca="1">RANDBETWEEN(2,12)&amp;" Outlaws."</f>
        <v>7 Outlaws.</v>
      </c>
      <c r="P672" s="2">
        <v>70</v>
      </c>
      <c r="Q672" s="2" t="s">
        <v>1835</v>
      </c>
      <c r="R672" s="14">
        <v>1150</v>
      </c>
      <c r="S672" s="18" t="str">
        <f ca="1">"Prairie Ticks ("&amp;RANDBETWEEN(1,15)&amp;")"</f>
        <v>Prairie Ticks (11)</v>
      </c>
      <c r="U672" s="14"/>
    </row>
    <row r="673" spans="4:21" x14ac:dyDescent="0.2">
      <c r="D673" s="3">
        <v>672</v>
      </c>
      <c r="F673" s="3">
        <v>672</v>
      </c>
      <c r="H673" s="3">
        <v>672</v>
      </c>
      <c r="K673" s="14">
        <v>706</v>
      </c>
      <c r="N673" s="3">
        <v>11</v>
      </c>
      <c r="O673" s="3" t="str">
        <f ca="1">RANDBETWEEN(2,8)&amp;" Veteran Outlaws."</f>
        <v>7 Veteran Outlaws.</v>
      </c>
      <c r="P673" s="2">
        <v>71</v>
      </c>
      <c r="Q673" s="2" t="s">
        <v>1836</v>
      </c>
      <c r="R673" s="14">
        <v>1160</v>
      </c>
      <c r="S673" s="18" t="s">
        <v>2686</v>
      </c>
      <c r="U673" s="14"/>
    </row>
    <row r="674" spans="4:21" x14ac:dyDescent="0.2">
      <c r="D674" s="3">
        <v>673</v>
      </c>
      <c r="F674" s="3">
        <v>673</v>
      </c>
      <c r="H674" s="3">
        <v>673</v>
      </c>
      <c r="K674" s="14">
        <v>707</v>
      </c>
      <c r="N674" s="3">
        <v>13</v>
      </c>
      <c r="O674" s="3" t="str">
        <f ca="1">RANDBETWEEN(2,8)&amp;" Indian Braves."</f>
        <v>7 Indian Braves.</v>
      </c>
      <c r="P674" s="2">
        <v>72</v>
      </c>
      <c r="Q674" s="2" t="s">
        <v>1911</v>
      </c>
      <c r="R674" s="14">
        <v>1170</v>
      </c>
      <c r="S674" s="18" t="s">
        <v>2526</v>
      </c>
      <c r="U674" s="14"/>
    </row>
    <row r="675" spans="4:21" x14ac:dyDescent="0.2">
      <c r="D675" s="3">
        <v>674</v>
      </c>
      <c r="F675" s="3">
        <v>674</v>
      </c>
      <c r="H675" s="3">
        <v>674</v>
      </c>
      <c r="K675" s="14">
        <v>708</v>
      </c>
      <c r="N675" s="3">
        <v>15</v>
      </c>
      <c r="O675" s="3" t="str">
        <f ca="1">RANDBETWEEN(2,8)&amp;" Veteran Indian Braves."</f>
        <v>2 Veteran Indian Braves.</v>
      </c>
      <c r="P675" s="2">
        <v>73</v>
      </c>
      <c r="Q675" s="2" t="s">
        <v>1912</v>
      </c>
      <c r="R675" s="14">
        <v>1180</v>
      </c>
      <c r="S675" s="18" t="s">
        <v>2506</v>
      </c>
      <c r="U675" s="14"/>
    </row>
    <row r="676" spans="4:21" x14ac:dyDescent="0.2">
      <c r="D676" s="3">
        <v>675</v>
      </c>
      <c r="F676" s="3">
        <v>675</v>
      </c>
      <c r="H676" s="3">
        <v>675</v>
      </c>
      <c r="K676" s="14">
        <v>709</v>
      </c>
      <c r="N676" s="3">
        <v>16</v>
      </c>
      <c r="O676" s="3" t="s">
        <v>2832</v>
      </c>
      <c r="P676" s="2">
        <v>74</v>
      </c>
      <c r="Q676" s="2" t="s">
        <v>1837</v>
      </c>
      <c r="R676" s="14">
        <v>1190</v>
      </c>
      <c r="S676" s="18" t="str">
        <f ca="1">"Cemetery Wolf ("&amp;RANDBETWEEN(10,20)&amp;")"</f>
        <v>Cemetery Wolf (12)</v>
      </c>
      <c r="U676" s="14"/>
    </row>
    <row r="677" spans="4:21" x14ac:dyDescent="0.2">
      <c r="D677" s="3">
        <v>676</v>
      </c>
      <c r="F677" s="3">
        <v>676</v>
      </c>
      <c r="H677" s="3">
        <v>676</v>
      </c>
      <c r="K677" s="14">
        <v>710</v>
      </c>
      <c r="N677" s="3">
        <v>17</v>
      </c>
      <c r="O677" s="3" t="str">
        <f ca="1">RANDBETWEEN(1,6)&amp;" Tumblebleeds"</f>
        <v>5 Tumblebleeds</v>
      </c>
      <c r="P677" s="2">
        <v>75</v>
      </c>
      <c r="Q677" s="2" t="s">
        <v>1913</v>
      </c>
      <c r="R677" s="14">
        <v>1195</v>
      </c>
      <c r="S677" s="18" t="s">
        <v>2512</v>
      </c>
      <c r="U677" s="14"/>
    </row>
    <row r="678" spans="4:21" x14ac:dyDescent="0.2">
      <c r="D678" s="3">
        <v>677</v>
      </c>
      <c r="F678" s="3">
        <v>677</v>
      </c>
      <c r="H678" s="3">
        <v>677</v>
      </c>
      <c r="K678" s="14">
        <v>711</v>
      </c>
      <c r="N678" s="3">
        <v>19</v>
      </c>
      <c r="O678" s="3" t="str">
        <f ca="1">RANDBETWEEN(1,4)&amp;" Dust Devils."</f>
        <v>4 Dust Devils.</v>
      </c>
      <c r="P678" s="2">
        <v>76</v>
      </c>
      <c r="Q678" s="2" t="s">
        <v>1914</v>
      </c>
      <c r="R678" s="14">
        <v>1200</v>
      </c>
      <c r="S678" s="18" t="s">
        <v>2513</v>
      </c>
    </row>
    <row r="679" spans="4:21" x14ac:dyDescent="0.2">
      <c r="D679" s="3">
        <v>678</v>
      </c>
      <c r="F679" s="3">
        <v>678</v>
      </c>
      <c r="H679" s="3">
        <v>678</v>
      </c>
      <c r="K679" s="14">
        <v>712</v>
      </c>
      <c r="P679" s="2">
        <v>77</v>
      </c>
      <c r="Q679" s="2" t="s">
        <v>1915</v>
      </c>
      <c r="R679" s="14">
        <v>1205</v>
      </c>
      <c r="S679" s="18" t="s">
        <v>2521</v>
      </c>
    </row>
    <row r="680" spans="4:21" x14ac:dyDescent="0.2">
      <c r="D680" s="3">
        <v>679</v>
      </c>
      <c r="F680" s="3">
        <v>679</v>
      </c>
      <c r="H680" s="3">
        <v>679</v>
      </c>
      <c r="K680" s="14">
        <v>713</v>
      </c>
      <c r="N680" s="3">
        <f ca="1">RANDBETWEEN(1,4)</f>
        <v>2</v>
      </c>
      <c r="O680" s="47" t="s">
        <v>2881</v>
      </c>
      <c r="P680" s="2">
        <v>78</v>
      </c>
      <c r="Q680" s="2" t="s">
        <v>1916</v>
      </c>
      <c r="R680" s="14">
        <v>1210</v>
      </c>
      <c r="S680" s="18" t="s">
        <v>2532</v>
      </c>
    </row>
    <row r="681" spans="4:21" x14ac:dyDescent="0.2">
      <c r="D681" s="3">
        <v>680</v>
      </c>
      <c r="F681" s="3">
        <v>680</v>
      </c>
      <c r="H681" s="3">
        <v>680</v>
      </c>
      <c r="K681" s="14">
        <v>714</v>
      </c>
      <c r="N681" s="3">
        <v>1</v>
      </c>
      <c r="O681" s="3" t="str">
        <f ca="1">RANDBETWEEN(2,8)&amp;" Guardian Angels"&amp;VLOOKUP(RANDBETWEEN(9,10),CULT,2)</f>
        <v>3 Guardian Angels.</v>
      </c>
      <c r="P681" s="2">
        <v>79</v>
      </c>
      <c r="Q681" s="2" t="s">
        <v>1917</v>
      </c>
      <c r="R681" s="14">
        <v>1215</v>
      </c>
      <c r="S681" s="18" t="s">
        <v>2589</v>
      </c>
    </row>
    <row r="682" spans="4:21" x14ac:dyDescent="0.2">
      <c r="D682" s="3">
        <v>681</v>
      </c>
      <c r="F682" s="3">
        <v>681</v>
      </c>
      <c r="H682" s="3">
        <v>681</v>
      </c>
      <c r="K682" s="14">
        <v>715</v>
      </c>
      <c r="N682" s="3">
        <v>7</v>
      </c>
      <c r="O682" s="3" t="str">
        <f ca="1">RANDBETWEEN(1,6)&amp;" Iron Dragon Martial Artists."</f>
        <v>2 Iron Dragon Martial Artists.</v>
      </c>
      <c r="P682" s="2">
        <v>80</v>
      </c>
      <c r="Q682" s="2" t="s">
        <v>1918</v>
      </c>
      <c r="R682" s="14">
        <v>1220</v>
      </c>
      <c r="S682" s="18" t="s">
        <v>2571</v>
      </c>
    </row>
    <row r="683" spans="4:21" x14ac:dyDescent="0.2">
      <c r="D683" s="3">
        <v>682</v>
      </c>
      <c r="F683" s="3">
        <v>682</v>
      </c>
      <c r="H683" s="3">
        <v>682</v>
      </c>
      <c r="K683" s="14">
        <v>716</v>
      </c>
      <c r="N683" s="3">
        <v>11</v>
      </c>
      <c r="O683" s="3" t="str">
        <f ca="1">RANDBETWEEN(2,8)&amp;" "&amp;VLOOKUP(RANDBETWEEN(1,3),Civil,2)&amp;" Soldiers."</f>
        <v>7 Union Soldiers.</v>
      </c>
      <c r="P683" s="2">
        <v>81</v>
      </c>
      <c r="Q683" s="2" t="s">
        <v>1919</v>
      </c>
      <c r="R683" s="14">
        <v>1225</v>
      </c>
      <c r="S683" s="18" t="s">
        <v>2572</v>
      </c>
    </row>
    <row r="684" spans="4:21" ht="31.5" x14ac:dyDescent="0.2">
      <c r="D684" s="3">
        <v>683</v>
      </c>
      <c r="F684" s="3">
        <v>683</v>
      </c>
      <c r="H684" s="3">
        <v>683</v>
      </c>
      <c r="K684" s="14">
        <v>717</v>
      </c>
      <c r="N684" s="3">
        <v>15</v>
      </c>
      <c r="O684" s="3" t="str">
        <f ca="1">N680&amp;" Duster(s): Notice -"&amp;(RANDBETWEEN(2,8)&amp;"{aditional -2 if sittin' still}.  In the distance you see "&amp;N680&amp;" scrawny, emaciated "&amp;VLOOKUP(RANDBETWEEN(1,20),critter,2)&amp;"(s).")</f>
        <v>2 Duster(s): Notice -6{aditional -2 if sittin' still}.  In the distance you see 2 scrawny, emaciated gopher(s).</v>
      </c>
      <c r="P684" s="2">
        <v>82</v>
      </c>
      <c r="Q684" s="2" t="s">
        <v>1838</v>
      </c>
      <c r="R684" s="14">
        <v>1230</v>
      </c>
      <c r="S684" s="18" t="str">
        <f ca="1">"Wendigo ("&amp;RANDBETWEEN(1,5)&amp;")"</f>
        <v>Wendigo (4)</v>
      </c>
    </row>
    <row r="685" spans="4:21" x14ac:dyDescent="0.2">
      <c r="D685" s="3">
        <v>684</v>
      </c>
      <c r="F685" s="3">
        <v>684</v>
      </c>
      <c r="H685" s="3">
        <v>684</v>
      </c>
      <c r="K685" s="14">
        <v>718</v>
      </c>
      <c r="N685" s="3">
        <v>17</v>
      </c>
      <c r="O685" s="3" t="s">
        <v>2833</v>
      </c>
      <c r="P685" s="2">
        <v>83</v>
      </c>
      <c r="Q685" s="2" t="s">
        <v>1839</v>
      </c>
      <c r="R685" s="14">
        <v>1235</v>
      </c>
      <c r="S685" s="18" t="s">
        <v>2551</v>
      </c>
    </row>
    <row r="686" spans="4:21" x14ac:dyDescent="0.2">
      <c r="D686" s="3">
        <v>685</v>
      </c>
      <c r="F686" s="3">
        <v>685</v>
      </c>
      <c r="H686" s="3">
        <v>685</v>
      </c>
      <c r="K686" s="14">
        <v>719</v>
      </c>
      <c r="N686" s="3">
        <v>18</v>
      </c>
      <c r="O686" s="3" t="str">
        <f ca="1">RANDBETWEEN(1,6)&amp;" Wall Crawler(s)."</f>
        <v>2 Wall Crawler(s).</v>
      </c>
      <c r="P686" s="2">
        <v>84</v>
      </c>
      <c r="Q686" s="2" t="s">
        <v>1840</v>
      </c>
      <c r="R686" s="14">
        <v>1240</v>
      </c>
      <c r="S686" s="18" t="s">
        <v>2523</v>
      </c>
    </row>
    <row r="687" spans="4:21" x14ac:dyDescent="0.2">
      <c r="D687" s="3">
        <v>686</v>
      </c>
      <c r="F687" s="3">
        <v>686</v>
      </c>
      <c r="H687" s="3">
        <v>686</v>
      </c>
      <c r="K687" s="14">
        <v>720</v>
      </c>
      <c r="N687" s="3">
        <v>19</v>
      </c>
      <c r="O687" s="3" t="str">
        <f ca="1">RANDBETWEEN(1,4)&amp;" prospector(s) (use townsfolk)."</f>
        <v>2 prospector(s) (use townsfolk).</v>
      </c>
      <c r="P687" s="2">
        <v>85</v>
      </c>
      <c r="Q687" s="2" t="s">
        <v>1841</v>
      </c>
      <c r="R687" s="14">
        <v>1245</v>
      </c>
      <c r="S687" s="18" t="str">
        <f ca="1">"Wall Crawler ("&amp;RANDBETWEEN(1,10)&amp;")"</f>
        <v>Wall Crawler (2)</v>
      </c>
    </row>
    <row r="688" spans="4:21" x14ac:dyDescent="0.2">
      <c r="D688" s="3">
        <v>687</v>
      </c>
      <c r="F688" s="3">
        <v>687</v>
      </c>
      <c r="H688" s="3">
        <v>687</v>
      </c>
      <c r="K688" s="14">
        <v>721</v>
      </c>
      <c r="N688" s="7"/>
      <c r="O688" s="7"/>
      <c r="P688" s="2">
        <v>86</v>
      </c>
      <c r="Q688" s="2" t="s">
        <v>1920</v>
      </c>
      <c r="R688" s="14">
        <v>1250</v>
      </c>
      <c r="S688" s="18" t="s">
        <v>2564</v>
      </c>
    </row>
    <row r="689" spans="4:19" x14ac:dyDescent="0.2">
      <c r="D689" s="3">
        <v>688</v>
      </c>
      <c r="F689" s="3">
        <v>688</v>
      </c>
      <c r="H689" s="3">
        <v>688</v>
      </c>
      <c r="K689" s="14">
        <v>722</v>
      </c>
      <c r="O689" s="47" t="s">
        <v>2882</v>
      </c>
      <c r="P689" s="2">
        <v>87</v>
      </c>
      <c r="Q689" s="2" t="s">
        <v>1842</v>
      </c>
      <c r="R689" s="14">
        <v>1255</v>
      </c>
      <c r="S689" s="18" t="s">
        <v>2567</v>
      </c>
    </row>
    <row r="690" spans="4:19" x14ac:dyDescent="0.2">
      <c r="D690" s="3">
        <v>689</v>
      </c>
      <c r="F690" s="3">
        <v>689</v>
      </c>
      <c r="H690" s="3">
        <v>689</v>
      </c>
      <c r="K690" s="14">
        <v>723</v>
      </c>
      <c r="N690" s="3">
        <v>1</v>
      </c>
      <c r="O690" s="3" t="str">
        <f ca="1">RANDBETWEEN(11,20)&amp;" Devil Rays."</f>
        <v>18 Devil Rays.</v>
      </c>
      <c r="P690" s="2">
        <v>88</v>
      </c>
      <c r="Q690" s="2" t="s">
        <v>1921</v>
      </c>
      <c r="R690" s="14">
        <v>1260</v>
      </c>
      <c r="S690" s="18" t="str">
        <f ca="1">"Wave Shadow ("&amp;RANDBETWEEN(1,5)&amp;")"</f>
        <v>Wave Shadow (5)</v>
      </c>
    </row>
    <row r="691" spans="4:19" x14ac:dyDescent="0.2">
      <c r="D691" s="3">
        <v>690</v>
      </c>
      <c r="F691" s="3">
        <v>690</v>
      </c>
      <c r="H691" s="3">
        <v>690</v>
      </c>
      <c r="K691" s="14">
        <v>724</v>
      </c>
      <c r="N691" s="3">
        <v>5</v>
      </c>
      <c r="O691" s="3" t="s">
        <v>2834</v>
      </c>
      <c r="P691" s="2">
        <v>89</v>
      </c>
      <c r="Q691" s="2" t="s">
        <v>1843</v>
      </c>
      <c r="R691" s="14">
        <v>1265</v>
      </c>
      <c r="S691" s="18" t="s">
        <v>2557</v>
      </c>
    </row>
    <row r="692" spans="4:19" x14ac:dyDescent="0.2">
      <c r="D692" s="3">
        <v>691</v>
      </c>
      <c r="F692" s="3">
        <v>691</v>
      </c>
      <c r="H692" s="3">
        <v>691</v>
      </c>
      <c r="K692" s="14">
        <v>725</v>
      </c>
      <c r="N692" s="3">
        <v>7</v>
      </c>
      <c r="O692" s="3" t="s">
        <v>2835</v>
      </c>
      <c r="P692" s="2">
        <v>90</v>
      </c>
      <c r="Q692" s="2" t="s">
        <v>1844</v>
      </c>
      <c r="R692" s="14">
        <v>1270</v>
      </c>
      <c r="S692" s="18" t="s">
        <v>2593</v>
      </c>
    </row>
    <row r="693" spans="4:19" x14ac:dyDescent="0.2">
      <c r="D693" s="3">
        <v>692</v>
      </c>
      <c r="F693" s="3">
        <v>692</v>
      </c>
      <c r="H693" s="3">
        <v>692</v>
      </c>
      <c r="K693" s="14">
        <v>726</v>
      </c>
      <c r="N693" s="3">
        <v>8</v>
      </c>
      <c r="O693" s="3" t="s">
        <v>2836</v>
      </c>
      <c r="P693" s="2">
        <v>91</v>
      </c>
      <c r="Q693" s="2" t="s">
        <v>1845</v>
      </c>
      <c r="R693" s="14">
        <v>1275</v>
      </c>
      <c r="S693" s="18" t="s">
        <v>2558</v>
      </c>
    </row>
    <row r="694" spans="4:19" x14ac:dyDescent="0.2">
      <c r="D694" s="3">
        <v>693</v>
      </c>
      <c r="F694" s="3">
        <v>693</v>
      </c>
      <c r="H694" s="3">
        <v>693</v>
      </c>
      <c r="K694" s="14">
        <v>727</v>
      </c>
      <c r="N694" s="3">
        <v>9</v>
      </c>
      <c r="O694" s="3" t="s">
        <v>2837</v>
      </c>
      <c r="P694" s="2">
        <v>92</v>
      </c>
      <c r="Q694" s="2" t="s">
        <v>1922</v>
      </c>
      <c r="R694" s="14">
        <v>1280</v>
      </c>
      <c r="S694" s="18" t="s">
        <v>2538</v>
      </c>
    </row>
    <row r="695" spans="4:19" x14ac:dyDescent="0.2">
      <c r="D695" s="3">
        <v>694</v>
      </c>
      <c r="F695" s="3">
        <v>694</v>
      </c>
      <c r="H695" s="3">
        <v>694</v>
      </c>
      <c r="K695" s="14">
        <v>728</v>
      </c>
      <c r="N695" s="3">
        <v>10</v>
      </c>
      <c r="O695" s="3" t="str">
        <f ca="1">RANDBETWEEN(2,16)&amp;" Wave Shadows."</f>
        <v>11 Wave Shadows.</v>
      </c>
      <c r="P695" s="2">
        <v>93</v>
      </c>
      <c r="Q695" s="2" t="s">
        <v>1846</v>
      </c>
      <c r="R695" s="14">
        <v>1285</v>
      </c>
      <c r="S695" s="18" t="s">
        <v>2539</v>
      </c>
    </row>
    <row r="696" spans="4:19" x14ac:dyDescent="0.2">
      <c r="D696" s="3">
        <v>695</v>
      </c>
      <c r="F696" s="3">
        <v>695</v>
      </c>
      <c r="H696" s="3">
        <v>695</v>
      </c>
      <c r="K696" s="14">
        <v>729</v>
      </c>
      <c r="N696" s="3">
        <v>12</v>
      </c>
      <c r="O696" s="3" t="str">
        <f ca="1">RANDBETWEEN(1,4)&amp;" Weresharks."</f>
        <v>1 Weresharks.</v>
      </c>
      <c r="P696" s="2">
        <v>94</v>
      </c>
      <c r="Q696" s="2" t="s">
        <v>1923</v>
      </c>
      <c r="R696" s="14">
        <v>1290</v>
      </c>
      <c r="S696" s="18" t="str">
        <f ca="1">"Nibbler Swarm ("&amp;RANDBETWEEN(12,20)&amp;")"</f>
        <v>Nibbler Swarm (13)</v>
      </c>
    </row>
    <row r="697" spans="4:19" x14ac:dyDescent="0.2">
      <c r="D697" s="3">
        <v>696</v>
      </c>
      <c r="F697" s="3">
        <v>696</v>
      </c>
      <c r="H697" s="3">
        <v>696</v>
      </c>
      <c r="K697" s="14">
        <v>730</v>
      </c>
      <c r="N697" s="3">
        <v>13</v>
      </c>
      <c r="O697" s="3" t="str">
        <f ca="1">"Ship: "&amp;VLOOKUP(RANDBETWEEN(1,8),SHIP,2)&amp;"."</f>
        <v>Ship: Union Ironclad..</v>
      </c>
      <c r="P697" s="2">
        <v>95</v>
      </c>
      <c r="Q697" s="2" t="s">
        <v>1924</v>
      </c>
      <c r="R697" s="14">
        <v>1295</v>
      </c>
      <c r="S697" s="18" t="s">
        <v>2597</v>
      </c>
    </row>
    <row r="698" spans="4:19" x14ac:dyDescent="0.2">
      <c r="D698" s="3">
        <v>697</v>
      </c>
      <c r="F698" s="3">
        <v>697</v>
      </c>
      <c r="H698" s="3">
        <v>697</v>
      </c>
      <c r="K698" s="14">
        <v>731</v>
      </c>
      <c r="P698" s="2">
        <v>96</v>
      </c>
      <c r="Q698" s="2" t="s">
        <v>1925</v>
      </c>
      <c r="R698" s="14">
        <v>1296</v>
      </c>
      <c r="S698" s="3" t="s">
        <v>224</v>
      </c>
    </row>
    <row r="699" spans="4:19" x14ac:dyDescent="0.2">
      <c r="D699" s="3">
        <v>698</v>
      </c>
      <c r="F699" s="3">
        <v>698</v>
      </c>
      <c r="H699" s="3">
        <v>698</v>
      </c>
      <c r="K699" s="14">
        <v>732</v>
      </c>
      <c r="N699" s="7"/>
      <c r="O699" s="47" t="s">
        <v>2883</v>
      </c>
      <c r="P699" s="2">
        <v>97</v>
      </c>
      <c r="Q699" s="2" t="s">
        <v>1926</v>
      </c>
      <c r="R699" s="14">
        <v>1297</v>
      </c>
      <c r="S699" s="3" t="s">
        <v>225</v>
      </c>
    </row>
    <row r="700" spans="4:19" x14ac:dyDescent="0.2">
      <c r="D700" s="3">
        <v>699</v>
      </c>
      <c r="F700" s="3">
        <v>699</v>
      </c>
      <c r="H700" s="3">
        <v>699</v>
      </c>
      <c r="K700" s="14">
        <v>733</v>
      </c>
      <c r="O700" s="7" t="s">
        <v>2859</v>
      </c>
      <c r="P700" s="2">
        <v>98</v>
      </c>
      <c r="Q700" s="2" t="s">
        <v>1847</v>
      </c>
      <c r="R700" s="14">
        <v>1298</v>
      </c>
      <c r="S700" s="3" t="s">
        <v>226</v>
      </c>
    </row>
    <row r="701" spans="4:19" x14ac:dyDescent="0.2">
      <c r="D701" s="3">
        <v>700</v>
      </c>
      <c r="F701" s="3">
        <v>700</v>
      </c>
      <c r="H701" s="3">
        <v>700</v>
      </c>
      <c r="K701" s="14">
        <v>734</v>
      </c>
      <c r="N701" s="3">
        <v>1</v>
      </c>
      <c r="O701" s="3" t="s">
        <v>2838</v>
      </c>
      <c r="P701" s="2">
        <v>99</v>
      </c>
      <c r="Q701" s="2" t="s">
        <v>1927</v>
      </c>
      <c r="R701" s="14">
        <v>1299</v>
      </c>
      <c r="S701" s="3" t="s">
        <v>227</v>
      </c>
    </row>
    <row r="702" spans="4:19" x14ac:dyDescent="0.2">
      <c r="D702" s="3">
        <v>701</v>
      </c>
      <c r="F702" s="3">
        <v>701</v>
      </c>
      <c r="H702" s="3">
        <v>701</v>
      </c>
      <c r="K702" s="14">
        <v>735</v>
      </c>
      <c r="N702" s="3">
        <v>3</v>
      </c>
      <c r="O702" s="3" t="s">
        <v>2839</v>
      </c>
      <c r="P702" s="2">
        <v>100</v>
      </c>
      <c r="Q702" s="2" t="s">
        <v>1928</v>
      </c>
      <c r="R702" s="14">
        <v>1300</v>
      </c>
      <c r="S702" s="3" t="s">
        <v>228</v>
      </c>
    </row>
    <row r="703" spans="4:19" x14ac:dyDescent="0.2">
      <c r="D703" s="3">
        <v>702</v>
      </c>
      <c r="F703" s="3">
        <v>702</v>
      </c>
      <c r="H703" s="3">
        <v>702</v>
      </c>
      <c r="K703" s="14">
        <v>736</v>
      </c>
      <c r="N703" s="3">
        <v>5</v>
      </c>
      <c r="O703" s="3" t="s">
        <v>2865</v>
      </c>
      <c r="P703" s="2">
        <v>101</v>
      </c>
      <c r="Q703" s="2" t="s">
        <v>1848</v>
      </c>
      <c r="R703" s="14">
        <v>1301</v>
      </c>
      <c r="S703" s="18" t="s">
        <v>2566</v>
      </c>
    </row>
    <row r="704" spans="4:19" x14ac:dyDescent="0.2">
      <c r="D704" s="3">
        <v>703</v>
      </c>
      <c r="F704" s="3">
        <v>703</v>
      </c>
      <c r="H704" s="3">
        <v>703</v>
      </c>
      <c r="K704" s="14">
        <v>737</v>
      </c>
      <c r="N704" s="3">
        <v>6</v>
      </c>
      <c r="O704" s="3" t="s">
        <v>2866</v>
      </c>
      <c r="P704" s="2">
        <v>102</v>
      </c>
      <c r="Q704" s="2" t="s">
        <v>1929</v>
      </c>
      <c r="R704" s="14">
        <v>1302</v>
      </c>
      <c r="S704" s="18" t="s">
        <v>2568</v>
      </c>
    </row>
    <row r="705" spans="4:19" x14ac:dyDescent="0.2">
      <c r="D705" s="3">
        <v>704</v>
      </c>
      <c r="F705" s="3">
        <v>704</v>
      </c>
      <c r="H705" s="3">
        <v>704</v>
      </c>
      <c r="K705" s="14">
        <v>738</v>
      </c>
      <c r="N705" s="3">
        <v>7</v>
      </c>
      <c r="O705" s="3" t="s">
        <v>2867</v>
      </c>
      <c r="P705" s="2">
        <v>103</v>
      </c>
      <c r="Q705" s="2" t="s">
        <v>1849</v>
      </c>
      <c r="R705" s="14">
        <v>1303</v>
      </c>
      <c r="S705" s="18" t="s">
        <v>2573</v>
      </c>
    </row>
    <row r="706" spans="4:19" x14ac:dyDescent="0.2">
      <c r="D706" s="3">
        <v>705</v>
      </c>
      <c r="F706" s="3">
        <v>705</v>
      </c>
      <c r="H706" s="3">
        <v>705</v>
      </c>
      <c r="K706" s="14">
        <v>739</v>
      </c>
      <c r="N706" s="3">
        <v>9</v>
      </c>
      <c r="O706" s="3" t="str">
        <f ca="1">RANDBETWEEN(2,12)&amp;" Settlers."</f>
        <v>6 Settlers.</v>
      </c>
      <c r="P706" s="2">
        <v>104</v>
      </c>
      <c r="Q706" s="2" t="s">
        <v>1850</v>
      </c>
      <c r="R706" s="14">
        <v>1304</v>
      </c>
      <c r="S706" s="18" t="s">
        <v>2500</v>
      </c>
    </row>
    <row r="707" spans="4:19" x14ac:dyDescent="0.2">
      <c r="D707" s="3">
        <v>706</v>
      </c>
      <c r="F707" s="3">
        <v>706</v>
      </c>
      <c r="H707" s="3">
        <v>706</v>
      </c>
      <c r="K707" s="14">
        <v>740</v>
      </c>
      <c r="N707" s="3">
        <v>15</v>
      </c>
      <c r="O707" s="3" t="str">
        <f ca="1">RANDBETWEEN(2,40)&amp;" Settlers."</f>
        <v>13 Settlers.</v>
      </c>
      <c r="P707" s="2">
        <v>105</v>
      </c>
      <c r="Q707" s="2" t="s">
        <v>1851</v>
      </c>
      <c r="R707" s="14">
        <v>1305</v>
      </c>
      <c r="S707" s="18" t="s">
        <v>2501</v>
      </c>
    </row>
    <row r="708" spans="4:19" x14ac:dyDescent="0.2">
      <c r="D708" s="3">
        <v>707</v>
      </c>
      <c r="F708" s="3">
        <v>707</v>
      </c>
      <c r="H708" s="3">
        <v>707</v>
      </c>
      <c r="K708" s="14">
        <v>741</v>
      </c>
      <c r="N708" s="3">
        <v>16</v>
      </c>
      <c r="O708" s="3" t="str">
        <f ca="1">RANDBETWEEN(2,12)&amp;" Braves."</f>
        <v>7 Braves.</v>
      </c>
      <c r="P708" s="2">
        <v>106</v>
      </c>
      <c r="Q708" s="2" t="s">
        <v>1852</v>
      </c>
      <c r="R708" s="14">
        <v>1306</v>
      </c>
      <c r="S708" s="18" t="s">
        <v>2502</v>
      </c>
    </row>
    <row r="709" spans="4:19" x14ac:dyDescent="0.2">
      <c r="D709" s="3">
        <v>708</v>
      </c>
      <c r="F709" s="3">
        <v>708</v>
      </c>
      <c r="H709" s="3">
        <v>708</v>
      </c>
      <c r="K709" s="14">
        <v>742</v>
      </c>
      <c r="N709" s="3">
        <v>20</v>
      </c>
      <c r="O709" s="3" t="s">
        <v>2840</v>
      </c>
      <c r="P709" s="2">
        <v>107</v>
      </c>
      <c r="Q709" s="2" t="s">
        <v>1930</v>
      </c>
      <c r="R709" s="14">
        <v>1307</v>
      </c>
      <c r="S709" s="18" t="s">
        <v>2595</v>
      </c>
    </row>
    <row r="710" spans="4:19" x14ac:dyDescent="0.2">
      <c r="D710" s="3">
        <v>709</v>
      </c>
      <c r="F710" s="3">
        <v>709</v>
      </c>
      <c r="H710" s="3">
        <v>709</v>
      </c>
      <c r="K710" s="14">
        <v>743</v>
      </c>
      <c r="P710" s="2">
        <v>108</v>
      </c>
      <c r="Q710" s="2" t="s">
        <v>1853</v>
      </c>
      <c r="R710" s="14">
        <v>1308</v>
      </c>
      <c r="S710" s="18" t="s">
        <v>2503</v>
      </c>
    </row>
    <row r="711" spans="4:19" x14ac:dyDescent="0.2">
      <c r="D711" s="3">
        <v>710</v>
      </c>
      <c r="F711" s="3">
        <v>710</v>
      </c>
      <c r="H711" s="3">
        <v>710</v>
      </c>
      <c r="K711" s="14">
        <v>744</v>
      </c>
      <c r="N711" s="7"/>
      <c r="O711" s="47" t="s">
        <v>2887</v>
      </c>
      <c r="P711" s="2">
        <v>109</v>
      </c>
      <c r="Q711" s="2" t="s">
        <v>1854</v>
      </c>
      <c r="R711" s="14">
        <v>1309</v>
      </c>
      <c r="S711" s="18" t="s">
        <v>2587</v>
      </c>
    </row>
    <row r="712" spans="4:19" x14ac:dyDescent="0.2">
      <c r="D712" s="3">
        <v>711</v>
      </c>
      <c r="F712" s="3">
        <v>711</v>
      </c>
      <c r="H712" s="3">
        <v>711</v>
      </c>
      <c r="K712" s="14">
        <v>745</v>
      </c>
      <c r="O712" s="7" t="s">
        <v>2860</v>
      </c>
      <c r="P712" s="2">
        <v>110</v>
      </c>
      <c r="Q712" s="2" t="s">
        <v>1931</v>
      </c>
      <c r="R712" s="14">
        <v>1310</v>
      </c>
      <c r="S712" s="18" t="s">
        <v>2505</v>
      </c>
    </row>
    <row r="713" spans="4:19" x14ac:dyDescent="0.2">
      <c r="D713" s="3">
        <v>712</v>
      </c>
      <c r="F713" s="3">
        <v>712</v>
      </c>
      <c r="H713" s="3">
        <v>712</v>
      </c>
      <c r="K713" s="14">
        <v>746</v>
      </c>
      <c r="N713" s="3">
        <v>1</v>
      </c>
      <c r="O713" s="3" t="s">
        <v>2841</v>
      </c>
      <c r="P713" s="2">
        <v>111</v>
      </c>
      <c r="Q713" s="2" t="s">
        <v>1855</v>
      </c>
      <c r="R713" s="14">
        <v>1311</v>
      </c>
      <c r="S713" s="18" t="s">
        <v>2507</v>
      </c>
    </row>
    <row r="714" spans="4:19" x14ac:dyDescent="0.2">
      <c r="D714" s="3">
        <v>713</v>
      </c>
      <c r="F714" s="3">
        <v>713</v>
      </c>
      <c r="H714" s="3">
        <v>713</v>
      </c>
      <c r="K714" s="14">
        <v>747</v>
      </c>
      <c r="N714" s="3">
        <v>3</v>
      </c>
      <c r="O714" s="3" t="s">
        <v>2842</v>
      </c>
      <c r="P714" s="2">
        <v>112</v>
      </c>
      <c r="Q714" s="2" t="s">
        <v>1856</v>
      </c>
      <c r="R714" s="14">
        <v>1312</v>
      </c>
      <c r="S714" s="18" t="s">
        <v>2508</v>
      </c>
    </row>
    <row r="715" spans="4:19" x14ac:dyDescent="0.2">
      <c r="D715" s="3">
        <v>714</v>
      </c>
      <c r="F715" s="3">
        <v>714</v>
      </c>
      <c r="H715" s="3">
        <v>714</v>
      </c>
      <c r="K715" s="14">
        <v>748</v>
      </c>
      <c r="N715" s="3">
        <v>7</v>
      </c>
      <c r="O715" s="3" t="s">
        <v>2843</v>
      </c>
      <c r="R715" s="14">
        <v>1313</v>
      </c>
      <c r="S715" s="18" t="s">
        <v>2509</v>
      </c>
    </row>
    <row r="716" spans="4:19" x14ac:dyDescent="0.2">
      <c r="D716" s="3">
        <v>715</v>
      </c>
      <c r="F716" s="3">
        <v>715</v>
      </c>
      <c r="H716" s="3">
        <v>715</v>
      </c>
      <c r="K716" s="14">
        <v>749</v>
      </c>
      <c r="N716" s="3">
        <v>9</v>
      </c>
      <c r="O716" s="3" t="str">
        <f ca="1">RANDBETWEEN(2,12)&amp;" Indian Braves."</f>
        <v>6 Indian Braves.</v>
      </c>
      <c r="P716" s="7"/>
      <c r="Q716" s="47" t="s">
        <v>1857</v>
      </c>
      <c r="R716" s="14">
        <v>1314</v>
      </c>
      <c r="S716" s="18" t="s">
        <v>2510</v>
      </c>
    </row>
    <row r="717" spans="4:19" x14ac:dyDescent="0.2">
      <c r="D717" s="3">
        <v>716</v>
      </c>
      <c r="F717" s="3">
        <v>716</v>
      </c>
      <c r="H717" s="3">
        <v>716</v>
      </c>
      <c r="K717" s="14">
        <v>750</v>
      </c>
      <c r="N717" s="3">
        <v>11</v>
      </c>
      <c r="O717" s="3" t="str">
        <f ca="1">RANDBETWEEN(2,8)&amp;" Outlaws."</f>
        <v>5 Outlaws.</v>
      </c>
      <c r="P717" s="7">
        <v>1</v>
      </c>
      <c r="Q717" s="7" t="s">
        <v>1858</v>
      </c>
      <c r="R717" s="14">
        <v>1315</v>
      </c>
      <c r="S717" s="18" t="s">
        <v>2511</v>
      </c>
    </row>
    <row r="718" spans="4:19" x14ac:dyDescent="0.2">
      <c r="D718" s="3">
        <v>717</v>
      </c>
      <c r="F718" s="3">
        <v>717</v>
      </c>
      <c r="H718" s="3">
        <v>717</v>
      </c>
      <c r="K718" s="14">
        <v>751</v>
      </c>
      <c r="N718" s="3">
        <v>13</v>
      </c>
      <c r="O718" s="3" t="s">
        <v>2542</v>
      </c>
      <c r="P718" s="7">
        <v>2</v>
      </c>
      <c r="Q718" s="7" t="s">
        <v>1859</v>
      </c>
      <c r="R718" s="14">
        <v>1316</v>
      </c>
      <c r="S718" s="18" t="s">
        <v>2514</v>
      </c>
    </row>
    <row r="719" spans="4:19" x14ac:dyDescent="0.2">
      <c r="D719" s="3">
        <v>718</v>
      </c>
      <c r="F719" s="3">
        <v>718</v>
      </c>
      <c r="H719" s="3">
        <v>718</v>
      </c>
      <c r="K719" s="14">
        <v>752</v>
      </c>
      <c r="N719" s="3">
        <v>15</v>
      </c>
      <c r="O719" s="3" t="s">
        <v>2831</v>
      </c>
      <c r="P719" s="7">
        <v>3</v>
      </c>
      <c r="Q719" s="7" t="s">
        <v>1860</v>
      </c>
      <c r="R719" s="14">
        <v>1317</v>
      </c>
      <c r="S719" s="18" t="s">
        <v>2515</v>
      </c>
    </row>
    <row r="720" spans="4:19" x14ac:dyDescent="0.2">
      <c r="D720" s="3">
        <v>719</v>
      </c>
      <c r="F720" s="3">
        <v>719</v>
      </c>
      <c r="H720" s="3">
        <v>719</v>
      </c>
      <c r="K720" s="14">
        <v>753</v>
      </c>
      <c r="N720" s="3">
        <v>20</v>
      </c>
      <c r="O720" s="3" t="str">
        <f ca="1">RANDBETWEEN(2,12)&amp;" Young Rattlers."</f>
        <v>12 Young Rattlers.</v>
      </c>
      <c r="P720" s="7">
        <v>4</v>
      </c>
      <c r="Q720" s="7" t="s">
        <v>1861</v>
      </c>
      <c r="R720" s="14">
        <v>1318</v>
      </c>
      <c r="S720" s="18" t="s">
        <v>2582</v>
      </c>
    </row>
    <row r="721" spans="4:19" x14ac:dyDescent="0.2">
      <c r="D721" s="3">
        <v>720</v>
      </c>
      <c r="F721" s="3">
        <v>720</v>
      </c>
      <c r="H721" s="3">
        <v>720</v>
      </c>
      <c r="K721" s="14">
        <v>754</v>
      </c>
      <c r="P721" s="7">
        <v>5</v>
      </c>
      <c r="Q721" s="7" t="s">
        <v>1862</v>
      </c>
      <c r="R721" s="14">
        <v>1319</v>
      </c>
      <c r="S721" s="18" t="s">
        <v>2516</v>
      </c>
    </row>
    <row r="722" spans="4:19" x14ac:dyDescent="0.2">
      <c r="D722" s="3">
        <v>721</v>
      </c>
      <c r="F722" s="3">
        <v>721</v>
      </c>
      <c r="H722" s="3">
        <v>721</v>
      </c>
      <c r="K722" s="14">
        <v>755</v>
      </c>
      <c r="N722" s="7"/>
      <c r="O722" s="47" t="s">
        <v>2888</v>
      </c>
      <c r="P722" s="7">
        <v>6</v>
      </c>
      <c r="Q722" s="7" t="s">
        <v>1863</v>
      </c>
      <c r="R722" s="14">
        <v>1320</v>
      </c>
      <c r="S722" s="18" t="s">
        <v>2517</v>
      </c>
    </row>
    <row r="723" spans="4:19" x14ac:dyDescent="0.2">
      <c r="D723" s="3">
        <v>722</v>
      </c>
      <c r="F723" s="3">
        <v>722</v>
      </c>
      <c r="H723" s="3">
        <v>722</v>
      </c>
      <c r="K723" s="14">
        <v>756</v>
      </c>
      <c r="O723" s="7" t="s">
        <v>2861</v>
      </c>
      <c r="P723" s="7">
        <v>7</v>
      </c>
      <c r="Q723" s="7" t="s">
        <v>1864</v>
      </c>
      <c r="R723" s="14">
        <v>1321</v>
      </c>
      <c r="S723" s="18" t="s">
        <v>2590</v>
      </c>
    </row>
    <row r="724" spans="4:19" x14ac:dyDescent="0.2">
      <c r="D724" s="3">
        <v>723</v>
      </c>
      <c r="F724" s="3">
        <v>723</v>
      </c>
      <c r="H724" s="3">
        <v>723</v>
      </c>
      <c r="K724" s="14">
        <v>757</v>
      </c>
      <c r="N724" s="3">
        <v>1</v>
      </c>
      <c r="O724" s="3" t="str">
        <f ca="1">RANDBETWEEN(1,4)&amp;" Wall Crawlers."</f>
        <v>3 Wall Crawlers.</v>
      </c>
      <c r="P724" s="7">
        <v>8</v>
      </c>
      <c r="Q724" s="7" t="s">
        <v>1865</v>
      </c>
      <c r="R724" s="14">
        <v>1322</v>
      </c>
      <c r="S724" s="18" t="s">
        <v>2518</v>
      </c>
    </row>
    <row r="725" spans="4:19" x14ac:dyDescent="0.2">
      <c r="D725" s="3">
        <v>724</v>
      </c>
      <c r="F725" s="3">
        <v>724</v>
      </c>
      <c r="H725" s="3">
        <v>724</v>
      </c>
      <c r="K725" s="14">
        <v>758</v>
      </c>
      <c r="N725" s="3">
        <v>2</v>
      </c>
      <c r="O725" s="3" t="str">
        <f ca="1">RANDBETWEEN(2,20)&amp;" Nauvoo Legion (Deseret) Soldiers."</f>
        <v>10 Nauvoo Legion (Deseret) Soldiers.</v>
      </c>
      <c r="P725" s="7">
        <v>9</v>
      </c>
      <c r="Q725" s="7" t="s">
        <v>1866</v>
      </c>
      <c r="R725" s="14">
        <v>1323</v>
      </c>
      <c r="S725" s="18" t="s">
        <v>2519</v>
      </c>
    </row>
    <row r="726" spans="4:19" x14ac:dyDescent="0.2">
      <c r="D726" s="3">
        <v>725</v>
      </c>
      <c r="F726" s="3">
        <v>725</v>
      </c>
      <c r="H726" s="3">
        <v>725</v>
      </c>
      <c r="K726" s="14">
        <v>759</v>
      </c>
      <c r="N726" s="3">
        <v>9</v>
      </c>
      <c r="O726" s="3" t="s">
        <v>2838</v>
      </c>
      <c r="P726" s="7">
        <v>10</v>
      </c>
      <c r="Q726" s="7" t="s">
        <v>1867</v>
      </c>
      <c r="R726" s="14">
        <v>1324</v>
      </c>
      <c r="S726" s="18" t="s">
        <v>2603</v>
      </c>
    </row>
    <row r="727" spans="4:19" x14ac:dyDescent="0.2">
      <c r="D727" s="3">
        <v>726</v>
      </c>
      <c r="F727" s="3">
        <v>726</v>
      </c>
      <c r="H727" s="3">
        <v>726</v>
      </c>
      <c r="K727" s="14">
        <v>760</v>
      </c>
      <c r="N727" s="3">
        <v>13</v>
      </c>
      <c r="O727" s="3" t="s">
        <v>2844</v>
      </c>
      <c r="R727" s="14">
        <v>1325</v>
      </c>
      <c r="S727" s="18" t="s">
        <v>3013</v>
      </c>
    </row>
    <row r="728" spans="4:19" x14ac:dyDescent="0.2">
      <c r="D728" s="3">
        <v>727</v>
      </c>
      <c r="F728" s="3">
        <v>727</v>
      </c>
      <c r="H728" s="3">
        <v>727</v>
      </c>
      <c r="K728" s="14">
        <v>761</v>
      </c>
      <c r="N728" s="3">
        <v>15</v>
      </c>
      <c r="O728" s="3" t="str">
        <f ca="1">"Automaton Patrol ("&amp;RANDBETWEEN(1,4)&amp;")."</f>
        <v>Automaton Patrol (3).</v>
      </c>
      <c r="Q728" s="21" t="s">
        <v>2278</v>
      </c>
      <c r="R728" s="14">
        <v>1326</v>
      </c>
      <c r="S728" s="18" t="s">
        <v>2520</v>
      </c>
    </row>
    <row r="729" spans="4:19" x14ac:dyDescent="0.2">
      <c r="D729" s="3">
        <v>728</v>
      </c>
      <c r="F729" s="3">
        <v>728</v>
      </c>
      <c r="H729" s="3">
        <v>728</v>
      </c>
      <c r="K729" s="14">
        <v>762</v>
      </c>
      <c r="N729" s="3">
        <v>17</v>
      </c>
      <c r="O729" s="3" t="s">
        <v>2845</v>
      </c>
      <c r="P729" s="3">
        <v>1</v>
      </c>
      <c r="Q729" s="2" t="str">
        <f ca="1">"January "&amp;RANDBETWEEN(1,31)</f>
        <v>January 28</v>
      </c>
      <c r="R729" s="14">
        <v>1327</v>
      </c>
      <c r="S729" s="18" t="s">
        <v>2591</v>
      </c>
    </row>
    <row r="730" spans="4:19" x14ac:dyDescent="0.2">
      <c r="D730" s="3">
        <v>729</v>
      </c>
      <c r="F730" s="3">
        <v>729</v>
      </c>
      <c r="H730" s="3">
        <v>729</v>
      </c>
      <c r="K730" s="14">
        <v>763</v>
      </c>
      <c r="N730" s="3">
        <v>19</v>
      </c>
      <c r="O730" s="3" t="s">
        <v>2846</v>
      </c>
      <c r="P730" s="3">
        <v>2</v>
      </c>
      <c r="Q730" s="2" t="str">
        <f ca="1">"February "&amp;RANDBETWEEN(1,28)</f>
        <v>February 5</v>
      </c>
      <c r="R730" s="14">
        <v>1328</v>
      </c>
      <c r="S730" s="18" t="s">
        <v>2522</v>
      </c>
    </row>
    <row r="731" spans="4:19" x14ac:dyDescent="0.2">
      <c r="D731" s="3">
        <v>730</v>
      </c>
      <c r="F731" s="3">
        <v>730</v>
      </c>
      <c r="H731" s="3">
        <v>730</v>
      </c>
      <c r="K731" s="14">
        <v>764</v>
      </c>
      <c r="P731" s="3">
        <v>3</v>
      </c>
      <c r="Q731" s="2" t="str">
        <f ca="1">"March "&amp;RANDBETWEEN(1,31)</f>
        <v>March 24</v>
      </c>
      <c r="R731" s="14">
        <v>1329</v>
      </c>
      <c r="S731" s="18" t="s">
        <v>2524</v>
      </c>
    </row>
    <row r="732" spans="4:19" x14ac:dyDescent="0.2">
      <c r="D732" s="3">
        <v>731</v>
      </c>
      <c r="F732" s="3">
        <v>731</v>
      </c>
      <c r="H732" s="3">
        <v>731</v>
      </c>
      <c r="K732" s="14">
        <v>765</v>
      </c>
      <c r="N732" s="7"/>
      <c r="O732" s="47" t="s">
        <v>2884</v>
      </c>
      <c r="P732" s="3">
        <v>4</v>
      </c>
      <c r="Q732" s="2" t="str">
        <f ca="1">"April "&amp;RANDBETWEEN(1,30)</f>
        <v>April 12</v>
      </c>
      <c r="R732" s="14">
        <v>1330</v>
      </c>
      <c r="S732" s="18" t="s">
        <v>2584</v>
      </c>
    </row>
    <row r="733" spans="4:19" x14ac:dyDescent="0.2">
      <c r="D733" s="3">
        <v>732</v>
      </c>
      <c r="F733" s="3">
        <v>732</v>
      </c>
      <c r="H733" s="3">
        <v>732</v>
      </c>
      <c r="K733" s="14">
        <v>766</v>
      </c>
      <c r="O733" s="7" t="s">
        <v>2862</v>
      </c>
      <c r="P733" s="3">
        <v>5</v>
      </c>
      <c r="Q733" s="2" t="str">
        <f ca="1">"May "&amp;RANDBETWEEN(1,31)</f>
        <v>May 14</v>
      </c>
      <c r="R733" s="14">
        <v>1331</v>
      </c>
      <c r="S733" s="18" t="s">
        <v>2527</v>
      </c>
    </row>
    <row r="734" spans="4:19" x14ac:dyDescent="0.2">
      <c r="D734" s="3">
        <v>733</v>
      </c>
      <c r="F734" s="3">
        <v>733</v>
      </c>
      <c r="H734" s="3">
        <v>733</v>
      </c>
      <c r="K734" s="14">
        <v>767</v>
      </c>
      <c r="N734" s="3">
        <v>1</v>
      </c>
      <c r="O734" s="3" t="s">
        <v>2847</v>
      </c>
      <c r="P734" s="3">
        <v>6</v>
      </c>
      <c r="Q734" s="2" t="str">
        <f ca="1">"June "&amp;RANDBETWEEN(1,30)</f>
        <v>June 7</v>
      </c>
      <c r="R734" s="14">
        <v>1332</v>
      </c>
      <c r="S734" s="18" t="s">
        <v>2528</v>
      </c>
    </row>
    <row r="735" spans="4:19" x14ac:dyDescent="0.2">
      <c r="D735" s="3">
        <v>734</v>
      </c>
      <c r="F735" s="3">
        <v>734</v>
      </c>
      <c r="H735" s="3">
        <v>734</v>
      </c>
      <c r="K735" s="14">
        <v>768</v>
      </c>
      <c r="N735" s="3">
        <v>2</v>
      </c>
      <c r="O735" s="3" t="s">
        <v>2848</v>
      </c>
      <c r="P735" s="3">
        <v>7</v>
      </c>
      <c r="Q735" s="2" t="str">
        <f ca="1">"July "&amp;RANDBETWEEN(1,31)</f>
        <v>July 1</v>
      </c>
      <c r="R735" s="14">
        <v>1333</v>
      </c>
      <c r="S735" s="18" t="s">
        <v>2529</v>
      </c>
    </row>
    <row r="736" spans="4:19" x14ac:dyDescent="0.2">
      <c r="D736" s="3">
        <v>735</v>
      </c>
      <c r="F736" s="3">
        <v>735</v>
      </c>
      <c r="H736" s="3">
        <v>735</v>
      </c>
      <c r="K736" s="14">
        <v>769</v>
      </c>
      <c r="N736" s="3">
        <v>3</v>
      </c>
      <c r="O736" s="3" t="s">
        <v>2849</v>
      </c>
      <c r="P736" s="3">
        <v>8</v>
      </c>
      <c r="Q736" s="2" t="str">
        <f ca="1">"August "&amp;RANDBETWEEN(1,31)</f>
        <v>August 19</v>
      </c>
      <c r="R736" s="14">
        <v>1334</v>
      </c>
      <c r="S736" s="18" t="s">
        <v>2530</v>
      </c>
    </row>
    <row r="737" spans="4:19" x14ac:dyDescent="0.2">
      <c r="D737" s="3">
        <v>736</v>
      </c>
      <c r="F737" s="3">
        <v>736</v>
      </c>
      <c r="H737" s="3">
        <v>736</v>
      </c>
      <c r="K737" s="14">
        <v>770</v>
      </c>
      <c r="N737" s="3">
        <v>4</v>
      </c>
      <c r="O737" s="3" t="str">
        <f ca="1">RANDBETWEEN(2,12)&amp;" Indian Braves."</f>
        <v>12 Indian Braves.</v>
      </c>
      <c r="P737" s="3">
        <v>9</v>
      </c>
      <c r="Q737" s="2" t="str">
        <f ca="1">"September "&amp;RANDBETWEEN(1,30)</f>
        <v>September 5</v>
      </c>
      <c r="R737" s="14">
        <v>1335</v>
      </c>
      <c r="S737" s="18" t="s">
        <v>2569</v>
      </c>
    </row>
    <row r="738" spans="4:19" x14ac:dyDescent="0.2">
      <c r="D738" s="3">
        <v>737</v>
      </c>
      <c r="F738" s="3">
        <v>737</v>
      </c>
      <c r="H738" s="3">
        <v>737</v>
      </c>
      <c r="K738" s="14">
        <v>771</v>
      </c>
      <c r="N738" s="3">
        <v>10</v>
      </c>
      <c r="O738" s="3" t="str">
        <f ca="1">RANDBETWEEN(2,8)&amp;" Veteran Indian Braves."</f>
        <v>3 Veteran Indian Braves.</v>
      </c>
      <c r="P738" s="3">
        <v>10</v>
      </c>
      <c r="Q738" s="2" t="str">
        <f ca="1">"October "&amp;RANDBETWEEN(1,31)</f>
        <v>October 1</v>
      </c>
      <c r="R738" s="14">
        <v>1336</v>
      </c>
      <c r="S738" s="18" t="s">
        <v>2574</v>
      </c>
    </row>
    <row r="739" spans="4:19" x14ac:dyDescent="0.2">
      <c r="D739" s="3">
        <v>738</v>
      </c>
      <c r="F739" s="3">
        <v>738</v>
      </c>
      <c r="H739" s="3">
        <v>738</v>
      </c>
      <c r="K739" s="14">
        <v>772</v>
      </c>
      <c r="N739" s="3">
        <v>13</v>
      </c>
      <c r="O739" s="3" t="s">
        <v>2868</v>
      </c>
      <c r="P739" s="3">
        <v>11</v>
      </c>
      <c r="Q739" s="2" t="str">
        <f ca="1">"November "&amp;RANDBETWEEN(1,30)</f>
        <v>November 12</v>
      </c>
      <c r="R739" s="14">
        <v>1337</v>
      </c>
      <c r="S739" s="18" t="s">
        <v>2588</v>
      </c>
    </row>
    <row r="740" spans="4:19" x14ac:dyDescent="0.2">
      <c r="D740" s="3">
        <v>739</v>
      </c>
      <c r="F740" s="3">
        <v>739</v>
      </c>
      <c r="H740" s="3">
        <v>739</v>
      </c>
      <c r="K740" s="14">
        <v>773</v>
      </c>
      <c r="N740" s="3">
        <v>15</v>
      </c>
      <c r="O740" s="3" t="str">
        <f ca="1">RANDBETWEEN(1,4)&amp;" Prospector(s) (use townsfolk)."</f>
        <v>3 Prospector(s) (use townsfolk).</v>
      </c>
      <c r="P740" s="3">
        <v>12</v>
      </c>
      <c r="Q740" s="2" t="str">
        <f ca="1">"December "&amp;RANDBETWEEN(1,31)</f>
        <v>December 3</v>
      </c>
      <c r="R740" s="14">
        <v>1338</v>
      </c>
      <c r="S740" s="18" t="s">
        <v>2531</v>
      </c>
    </row>
    <row r="741" spans="4:19" x14ac:dyDescent="0.2">
      <c r="D741" s="3">
        <v>740</v>
      </c>
      <c r="F741" s="3">
        <v>740</v>
      </c>
      <c r="H741" s="3">
        <v>740</v>
      </c>
      <c r="K741" s="14">
        <v>774</v>
      </c>
      <c r="N741" s="3">
        <v>17</v>
      </c>
      <c r="O741" s="3" t="str">
        <f ca="1">RANDBETWEEN(2,12)&amp;" Raiders (Use Outlaws."</f>
        <v>12 Raiders (Use Outlaws.</v>
      </c>
      <c r="R741" s="14">
        <v>1339</v>
      </c>
      <c r="S741" s="18" t="s">
        <v>2602</v>
      </c>
    </row>
    <row r="742" spans="4:19" x14ac:dyDescent="0.2">
      <c r="D742" s="3">
        <v>741</v>
      </c>
      <c r="F742" s="3">
        <v>741</v>
      </c>
      <c r="H742" s="3">
        <v>741</v>
      </c>
      <c r="K742" s="14">
        <v>775</v>
      </c>
      <c r="N742" s="3">
        <v>19</v>
      </c>
      <c r="O742" s="3" t="str">
        <f ca="1">RANDBETWEEN(2,8)&amp;" Iron Dragon Miners (Martial Artists)."</f>
        <v>8 Iron Dragon Miners (Martial Artists).</v>
      </c>
      <c r="Q742" s="21" t="s">
        <v>2712</v>
      </c>
      <c r="R742" s="14">
        <v>1340</v>
      </c>
      <c r="S742" s="18" t="s">
        <v>2600</v>
      </c>
    </row>
    <row r="743" spans="4:19" x14ac:dyDescent="0.2">
      <c r="D743" s="3">
        <v>742</v>
      </c>
      <c r="F743" s="3">
        <v>742</v>
      </c>
      <c r="H743" s="3">
        <v>742</v>
      </c>
      <c r="K743" s="14">
        <v>776</v>
      </c>
      <c r="N743" s="7"/>
      <c r="O743" s="7"/>
      <c r="P743" s="3">
        <v>1</v>
      </c>
      <c r="Q743" s="2" t="s">
        <v>2713</v>
      </c>
      <c r="R743" s="14">
        <v>1341</v>
      </c>
      <c r="S743" s="18" t="s">
        <v>2534</v>
      </c>
    </row>
    <row r="744" spans="4:19" x14ac:dyDescent="0.2">
      <c r="D744" s="3">
        <v>743</v>
      </c>
      <c r="F744" s="3">
        <v>743</v>
      </c>
      <c r="H744" s="3">
        <v>743</v>
      </c>
      <c r="K744" s="14">
        <v>777</v>
      </c>
      <c r="O744" s="47" t="s">
        <v>2886</v>
      </c>
      <c r="P744" s="3">
        <v>2</v>
      </c>
      <c r="Q744" s="2" t="s">
        <v>2714</v>
      </c>
      <c r="R744" s="14">
        <v>1342</v>
      </c>
      <c r="S744" s="18" t="s">
        <v>2535</v>
      </c>
    </row>
    <row r="745" spans="4:19" x14ac:dyDescent="0.2">
      <c r="D745" s="3">
        <v>744</v>
      </c>
      <c r="F745" s="3">
        <v>744</v>
      </c>
      <c r="H745" s="3">
        <v>744</v>
      </c>
      <c r="K745" s="14">
        <v>778</v>
      </c>
      <c r="N745" s="3">
        <v>1</v>
      </c>
      <c r="O745" s="3" t="s">
        <v>2850</v>
      </c>
      <c r="P745" s="3">
        <v>3</v>
      </c>
      <c r="Q745" s="2" t="s">
        <v>2715</v>
      </c>
      <c r="R745" s="14">
        <v>1343</v>
      </c>
      <c r="S745" s="18" t="s">
        <v>2575</v>
      </c>
    </row>
    <row r="746" spans="4:19" x14ac:dyDescent="0.2">
      <c r="D746" s="3">
        <v>745</v>
      </c>
      <c r="F746" s="3">
        <v>745</v>
      </c>
      <c r="H746" s="3">
        <v>745</v>
      </c>
      <c r="K746" s="14">
        <v>779</v>
      </c>
      <c r="N746" s="3">
        <v>2</v>
      </c>
      <c r="O746" s="3" t="s">
        <v>2848</v>
      </c>
      <c r="P746" s="3">
        <v>4</v>
      </c>
      <c r="Q746" s="2" t="s">
        <v>2716</v>
      </c>
      <c r="R746" s="14">
        <v>1344</v>
      </c>
      <c r="S746" s="18" t="s">
        <v>2536</v>
      </c>
    </row>
    <row r="747" spans="4:19" x14ac:dyDescent="0.2">
      <c r="D747" s="3">
        <v>746</v>
      </c>
      <c r="F747" s="3">
        <v>746</v>
      </c>
      <c r="H747" s="3">
        <v>746</v>
      </c>
      <c r="K747" s="14">
        <v>780</v>
      </c>
      <c r="N747" s="3">
        <v>3</v>
      </c>
      <c r="O747" s="3" t="s">
        <v>2851</v>
      </c>
      <c r="P747" s="3">
        <v>5</v>
      </c>
      <c r="Q747" s="2" t="s">
        <v>2717</v>
      </c>
      <c r="R747" s="14">
        <v>1345</v>
      </c>
      <c r="S747" s="18" t="s">
        <v>2537</v>
      </c>
    </row>
    <row r="748" spans="4:19" x14ac:dyDescent="0.2">
      <c r="D748" s="3">
        <v>747</v>
      </c>
      <c r="F748" s="3">
        <v>747</v>
      </c>
      <c r="H748" s="3">
        <v>747</v>
      </c>
      <c r="K748" s="14">
        <v>781</v>
      </c>
      <c r="N748" s="3">
        <v>4</v>
      </c>
      <c r="O748" s="3" t="s">
        <v>2849</v>
      </c>
      <c r="P748" s="3">
        <v>6</v>
      </c>
      <c r="Q748" s="2" t="s">
        <v>2718</v>
      </c>
      <c r="R748" s="14">
        <v>1346</v>
      </c>
      <c r="S748" s="18" t="s">
        <v>2594</v>
      </c>
    </row>
    <row r="749" spans="4:19" x14ac:dyDescent="0.2">
      <c r="D749" s="3">
        <v>748</v>
      </c>
      <c r="F749" s="3">
        <v>748</v>
      </c>
      <c r="H749" s="3">
        <v>748</v>
      </c>
      <c r="K749" s="14">
        <v>782</v>
      </c>
      <c r="N749" s="3">
        <v>5</v>
      </c>
      <c r="O749" s="3" t="str">
        <f ca="1">RANDBETWEEN(2,12)&amp;" Veteran Indian Braves."</f>
        <v>4 Veteran Indian Braves.</v>
      </c>
      <c r="P749" s="3">
        <v>7</v>
      </c>
      <c r="Q749" s="2" t="s">
        <v>2719</v>
      </c>
      <c r="R749" s="14">
        <v>1347</v>
      </c>
      <c r="S749" s="18" t="s">
        <v>2576</v>
      </c>
    </row>
    <row r="750" spans="4:19" x14ac:dyDescent="0.2">
      <c r="D750" s="3">
        <v>749</v>
      </c>
      <c r="F750" s="3">
        <v>749</v>
      </c>
      <c r="H750" s="3">
        <v>749</v>
      </c>
      <c r="K750" s="14">
        <v>783</v>
      </c>
      <c r="N750" s="3">
        <v>11</v>
      </c>
      <c r="O750" s="3" t="str">
        <f ca="1">RANDBETWEEN(2,16)&amp;" Indian Braves."</f>
        <v>16 Indian Braves.</v>
      </c>
      <c r="P750" s="3">
        <v>8</v>
      </c>
      <c r="Q750" s="2" t="s">
        <v>2720</v>
      </c>
      <c r="R750" s="14">
        <v>1348</v>
      </c>
      <c r="S750" s="18" t="s">
        <v>2583</v>
      </c>
    </row>
    <row r="751" spans="4:19" x14ac:dyDescent="0.2">
      <c r="D751" s="3">
        <v>750</v>
      </c>
      <c r="F751" s="3">
        <v>750</v>
      </c>
      <c r="H751" s="3">
        <v>750</v>
      </c>
      <c r="K751" s="14">
        <v>784</v>
      </c>
      <c r="P751" s="3">
        <v>9</v>
      </c>
      <c r="Q751" s="2" t="s">
        <v>2721</v>
      </c>
      <c r="R751" s="14">
        <v>1349</v>
      </c>
      <c r="S751" s="18" t="s">
        <v>2540</v>
      </c>
    </row>
    <row r="752" spans="4:19" x14ac:dyDescent="0.2">
      <c r="D752" s="3">
        <v>751</v>
      </c>
      <c r="F752" s="3">
        <v>751</v>
      </c>
      <c r="H752" s="3">
        <v>751</v>
      </c>
      <c r="K752" s="14">
        <v>785</v>
      </c>
      <c r="N752" s="7"/>
      <c r="O752" s="47" t="s">
        <v>2885</v>
      </c>
      <c r="P752" s="3">
        <v>10</v>
      </c>
      <c r="Q752" s="2" t="s">
        <v>2722</v>
      </c>
      <c r="R752" s="14">
        <v>1350</v>
      </c>
      <c r="S752" s="18" t="s">
        <v>2592</v>
      </c>
    </row>
    <row r="753" spans="4:19" x14ac:dyDescent="0.2">
      <c r="D753" s="3">
        <v>752</v>
      </c>
      <c r="F753" s="3">
        <v>752</v>
      </c>
      <c r="H753" s="3">
        <v>752</v>
      </c>
      <c r="K753" s="14">
        <v>786</v>
      </c>
      <c r="O753" s="7" t="s">
        <v>2863</v>
      </c>
      <c r="P753" s="3">
        <v>11</v>
      </c>
      <c r="Q753" s="2" t="s">
        <v>2723</v>
      </c>
      <c r="R753" s="14">
        <v>1351</v>
      </c>
      <c r="S753" s="18" t="s">
        <v>2604</v>
      </c>
    </row>
    <row r="754" spans="4:19" x14ac:dyDescent="0.2">
      <c r="D754" s="3">
        <v>753</v>
      </c>
      <c r="F754" s="3">
        <v>753</v>
      </c>
      <c r="H754" s="3">
        <v>753</v>
      </c>
      <c r="K754" s="14">
        <v>787</v>
      </c>
      <c r="N754" s="3">
        <v>1</v>
      </c>
      <c r="O754" s="3" t="s">
        <v>2852</v>
      </c>
      <c r="P754" s="3">
        <v>12</v>
      </c>
      <c r="Q754" s="2" t="s">
        <v>2724</v>
      </c>
      <c r="R754" s="14">
        <v>1352</v>
      </c>
      <c r="S754" s="18" t="s">
        <v>2541</v>
      </c>
    </row>
    <row r="755" spans="4:19" x14ac:dyDescent="0.2">
      <c r="D755" s="3">
        <v>754</v>
      </c>
      <c r="F755" s="3">
        <v>754</v>
      </c>
      <c r="H755" s="3">
        <v>754</v>
      </c>
      <c r="K755" s="14">
        <v>788</v>
      </c>
      <c r="N755" s="3">
        <v>3</v>
      </c>
      <c r="O755" s="3" t="s">
        <v>2853</v>
      </c>
      <c r="R755" s="14">
        <v>1353</v>
      </c>
      <c r="S755" s="18" t="s">
        <v>2596</v>
      </c>
    </row>
    <row r="756" spans="4:19" x14ac:dyDescent="0.2">
      <c r="D756" s="3">
        <v>755</v>
      </c>
      <c r="F756" s="3">
        <v>755</v>
      </c>
      <c r="H756" s="3">
        <v>755</v>
      </c>
      <c r="K756" s="14">
        <v>789</v>
      </c>
      <c r="N756" s="3">
        <v>5</v>
      </c>
      <c r="O756" s="3" t="s">
        <v>2854</v>
      </c>
      <c r="R756" s="14">
        <v>1354</v>
      </c>
      <c r="S756" s="18" t="s">
        <v>2586</v>
      </c>
    </row>
    <row r="757" spans="4:19" x14ac:dyDescent="0.2">
      <c r="D757" s="3">
        <v>756</v>
      </c>
      <c r="F757" s="3">
        <v>756</v>
      </c>
      <c r="H757" s="3">
        <v>756</v>
      </c>
      <c r="K757" s="14">
        <v>790</v>
      </c>
      <c r="N757" s="3">
        <v>6</v>
      </c>
      <c r="O757" s="3" t="s">
        <v>2855</v>
      </c>
      <c r="R757" s="14">
        <v>1355</v>
      </c>
      <c r="S757" s="18" t="s">
        <v>2542</v>
      </c>
    </row>
    <row r="758" spans="4:19" x14ac:dyDescent="0.2">
      <c r="D758" s="3">
        <v>757</v>
      </c>
      <c r="F758" s="3">
        <v>757</v>
      </c>
      <c r="H758" s="3">
        <v>757</v>
      </c>
      <c r="K758" s="14">
        <v>791</v>
      </c>
      <c r="N758" s="3">
        <v>7</v>
      </c>
      <c r="O758" s="3" t="s">
        <v>2856</v>
      </c>
      <c r="R758" s="14">
        <v>1356</v>
      </c>
      <c r="S758" s="18" t="s">
        <v>2543</v>
      </c>
    </row>
    <row r="759" spans="4:19" x14ac:dyDescent="0.2">
      <c r="D759" s="3">
        <v>758</v>
      </c>
      <c r="F759" s="3">
        <v>758</v>
      </c>
      <c r="H759" s="3">
        <v>758</v>
      </c>
      <c r="K759" s="14">
        <v>792</v>
      </c>
      <c r="N759" s="3">
        <v>8</v>
      </c>
      <c r="O759" s="3" t="s">
        <v>2831</v>
      </c>
      <c r="R759" s="14">
        <v>1357</v>
      </c>
      <c r="S759" s="18" t="s">
        <v>2544</v>
      </c>
    </row>
    <row r="760" spans="4:19" x14ac:dyDescent="0.2">
      <c r="D760" s="3">
        <v>759</v>
      </c>
      <c r="F760" s="3">
        <v>759</v>
      </c>
      <c r="H760" s="3">
        <v>759</v>
      </c>
      <c r="K760" s="14">
        <v>793</v>
      </c>
      <c r="N760" s="3">
        <v>9</v>
      </c>
      <c r="O760" s="3" t="s">
        <v>2832</v>
      </c>
      <c r="R760" s="14">
        <v>1358</v>
      </c>
      <c r="S760" s="18" t="s">
        <v>2545</v>
      </c>
    </row>
    <row r="761" spans="4:19" x14ac:dyDescent="0.2">
      <c r="D761" s="3">
        <v>760</v>
      </c>
      <c r="F761" s="3">
        <v>760</v>
      </c>
      <c r="H761" s="3">
        <v>760</v>
      </c>
      <c r="K761" s="14">
        <v>794</v>
      </c>
      <c r="N761" s="3">
        <v>10</v>
      </c>
      <c r="O761" s="3" t="str">
        <f ca="1">"Terrantulas ("&amp;VLOOKUP(RANDBETWEEN(1,6),SIZE,2)&amp;")"</f>
        <v>Terrantulas (Large)</v>
      </c>
      <c r="R761" s="14">
        <v>1359</v>
      </c>
      <c r="S761" s="18" t="s">
        <v>2546</v>
      </c>
    </row>
    <row r="762" spans="4:19" x14ac:dyDescent="0.2">
      <c r="D762" s="3">
        <v>761</v>
      </c>
      <c r="F762" s="3">
        <v>761</v>
      </c>
      <c r="H762" s="3">
        <v>761</v>
      </c>
      <c r="K762" s="14">
        <v>795</v>
      </c>
      <c r="N762" s="3">
        <v>11</v>
      </c>
      <c r="O762" s="3" t="str">
        <f ca="1">RANDBETWEEN(2,20)&amp;" Indian Braves."</f>
        <v>3 Indian Braves.</v>
      </c>
      <c r="R762" s="14">
        <v>1360</v>
      </c>
      <c r="S762" s="18" t="s">
        <v>2547</v>
      </c>
    </row>
    <row r="763" spans="4:19" x14ac:dyDescent="0.2">
      <c r="D763" s="3">
        <v>762</v>
      </c>
      <c r="F763" s="3">
        <v>762</v>
      </c>
      <c r="H763" s="3">
        <v>762</v>
      </c>
      <c r="K763" s="14">
        <v>796</v>
      </c>
      <c r="N763" s="3">
        <v>16</v>
      </c>
      <c r="O763" s="3" t="str">
        <f ca="1">RANDBETWEEN(2,12)&amp;" Confederate Soldiers."</f>
        <v>11 Confederate Soldiers.</v>
      </c>
      <c r="R763" s="14">
        <v>1361</v>
      </c>
      <c r="S763" s="18" t="s">
        <v>2570</v>
      </c>
    </row>
    <row r="764" spans="4:19" x14ac:dyDescent="0.2">
      <c r="D764" s="3">
        <v>763</v>
      </c>
      <c r="F764" s="3">
        <v>763</v>
      </c>
      <c r="H764" s="3">
        <v>763</v>
      </c>
      <c r="K764" s="14">
        <v>797</v>
      </c>
      <c r="N764" s="3">
        <v>18</v>
      </c>
      <c r="O764" s="3" t="str">
        <f ca="1">RANDBETWEEN(2,8)&amp;" Outlaws."</f>
        <v>7 Outlaws.</v>
      </c>
      <c r="R764" s="14">
        <v>1362</v>
      </c>
      <c r="S764" s="18" t="s">
        <v>2548</v>
      </c>
    </row>
    <row r="765" spans="4:19" x14ac:dyDescent="0.2">
      <c r="D765" s="3">
        <v>764</v>
      </c>
      <c r="F765" s="3">
        <v>764</v>
      </c>
      <c r="H765" s="3">
        <v>764</v>
      </c>
      <c r="K765" s="14">
        <v>798</v>
      </c>
      <c r="R765" s="14">
        <v>1363</v>
      </c>
      <c r="S765" s="18" t="s">
        <v>2549</v>
      </c>
    </row>
    <row r="766" spans="4:19" x14ac:dyDescent="0.2">
      <c r="D766" s="3">
        <v>765</v>
      </c>
      <c r="F766" s="3">
        <v>765</v>
      </c>
      <c r="H766" s="3">
        <v>765</v>
      </c>
      <c r="K766" s="14">
        <v>799</v>
      </c>
      <c r="R766" s="14">
        <v>1364</v>
      </c>
      <c r="S766" s="18" t="s">
        <v>2550</v>
      </c>
    </row>
    <row r="767" spans="4:19" x14ac:dyDescent="0.2">
      <c r="D767" s="3">
        <v>766</v>
      </c>
      <c r="F767" s="3">
        <v>766</v>
      </c>
      <c r="H767" s="3">
        <v>766</v>
      </c>
      <c r="K767" s="14">
        <v>800</v>
      </c>
      <c r="R767" s="14">
        <v>1365</v>
      </c>
      <c r="S767" s="18" t="s">
        <v>2552</v>
      </c>
    </row>
    <row r="768" spans="4:19" x14ac:dyDescent="0.2">
      <c r="D768" s="3">
        <v>767</v>
      </c>
      <c r="F768" s="3">
        <v>767</v>
      </c>
      <c r="H768" s="3">
        <v>767</v>
      </c>
      <c r="K768" s="14">
        <v>801</v>
      </c>
      <c r="R768" s="14">
        <v>1366</v>
      </c>
      <c r="S768" s="18" t="s">
        <v>2598</v>
      </c>
    </row>
    <row r="769" spans="4:19" x14ac:dyDescent="0.2">
      <c r="D769" s="3">
        <v>768</v>
      </c>
      <c r="F769" s="3">
        <v>768</v>
      </c>
      <c r="H769" s="3">
        <v>768</v>
      </c>
      <c r="K769" s="14">
        <v>802</v>
      </c>
      <c r="R769" s="14">
        <v>1367</v>
      </c>
      <c r="S769" s="18" t="s">
        <v>2553</v>
      </c>
    </row>
    <row r="770" spans="4:19" x14ac:dyDescent="0.2">
      <c r="D770" s="3">
        <v>769</v>
      </c>
      <c r="F770" s="3">
        <v>769</v>
      </c>
      <c r="H770" s="3">
        <v>769</v>
      </c>
      <c r="K770" s="14">
        <v>803</v>
      </c>
      <c r="R770" s="14">
        <v>1368</v>
      </c>
      <c r="S770" s="18" t="s">
        <v>2554</v>
      </c>
    </row>
    <row r="771" spans="4:19" x14ac:dyDescent="0.2">
      <c r="D771" s="3">
        <v>770</v>
      </c>
      <c r="F771" s="3">
        <v>770</v>
      </c>
      <c r="H771" s="3">
        <v>770</v>
      </c>
      <c r="K771" s="14">
        <v>804</v>
      </c>
      <c r="R771" s="14">
        <v>1369</v>
      </c>
      <c r="S771" s="18" t="s">
        <v>2555</v>
      </c>
    </row>
    <row r="772" spans="4:19" x14ac:dyDescent="0.2">
      <c r="D772" s="3">
        <v>771</v>
      </c>
      <c r="F772" s="3">
        <v>771</v>
      </c>
      <c r="H772" s="3">
        <v>771</v>
      </c>
      <c r="K772" s="14">
        <v>805</v>
      </c>
      <c r="R772" s="14">
        <v>1370</v>
      </c>
      <c r="S772" s="18" t="s">
        <v>2599</v>
      </c>
    </row>
    <row r="773" spans="4:19" x14ac:dyDescent="0.2">
      <c r="D773" s="3">
        <v>772</v>
      </c>
      <c r="F773" s="3">
        <v>772</v>
      </c>
      <c r="H773" s="3">
        <v>772</v>
      </c>
      <c r="K773" s="14">
        <v>806</v>
      </c>
      <c r="R773" s="14">
        <v>1371</v>
      </c>
      <c r="S773" s="18" t="s">
        <v>2577</v>
      </c>
    </row>
    <row r="774" spans="4:19" x14ac:dyDescent="0.2">
      <c r="D774" s="3">
        <v>773</v>
      </c>
      <c r="F774" s="3">
        <v>773</v>
      </c>
      <c r="H774" s="3">
        <v>773</v>
      </c>
      <c r="K774" s="14">
        <v>807</v>
      </c>
      <c r="R774" s="14">
        <v>1372</v>
      </c>
      <c r="S774" s="18" t="s">
        <v>2578</v>
      </c>
    </row>
    <row r="775" spans="4:19" x14ac:dyDescent="0.2">
      <c r="D775" s="3">
        <v>774</v>
      </c>
      <c r="F775" s="3">
        <v>774</v>
      </c>
      <c r="H775" s="3">
        <v>774</v>
      </c>
      <c r="K775" s="14">
        <v>808</v>
      </c>
      <c r="R775" s="14">
        <v>1373</v>
      </c>
      <c r="S775" s="18" t="s">
        <v>2556</v>
      </c>
    </row>
    <row r="776" spans="4:19" x14ac:dyDescent="0.2">
      <c r="D776" s="3">
        <v>775</v>
      </c>
      <c r="F776" s="3">
        <v>775</v>
      </c>
      <c r="H776" s="3">
        <v>775</v>
      </c>
      <c r="K776" s="14">
        <v>809</v>
      </c>
      <c r="R776" s="14">
        <v>1374</v>
      </c>
      <c r="S776" s="18" t="s">
        <v>2606</v>
      </c>
    </row>
    <row r="777" spans="4:19" x14ac:dyDescent="0.2">
      <c r="D777" s="3">
        <v>776</v>
      </c>
      <c r="F777" s="3">
        <v>776</v>
      </c>
      <c r="H777" s="3">
        <v>776</v>
      </c>
      <c r="K777" s="14">
        <v>810</v>
      </c>
      <c r="R777" s="14">
        <v>1375</v>
      </c>
      <c r="S777" s="18" t="s">
        <v>2605</v>
      </c>
    </row>
    <row r="778" spans="4:19" x14ac:dyDescent="0.2">
      <c r="D778" s="3">
        <v>777</v>
      </c>
      <c r="F778" s="3">
        <v>777</v>
      </c>
      <c r="H778" s="3">
        <v>777</v>
      </c>
      <c r="K778" s="14">
        <v>811</v>
      </c>
      <c r="R778" s="14">
        <v>1376</v>
      </c>
      <c r="S778" s="18" t="s">
        <v>2579</v>
      </c>
    </row>
    <row r="779" spans="4:19" x14ac:dyDescent="0.2">
      <c r="D779" s="3">
        <v>778</v>
      </c>
      <c r="F779" s="3">
        <v>778</v>
      </c>
      <c r="H779" s="3">
        <v>778</v>
      </c>
      <c r="K779" s="14">
        <v>812</v>
      </c>
      <c r="R779" s="14">
        <v>1377</v>
      </c>
      <c r="S779" s="18" t="s">
        <v>2585</v>
      </c>
    </row>
    <row r="780" spans="4:19" x14ac:dyDescent="0.2">
      <c r="D780" s="3">
        <v>779</v>
      </c>
      <c r="F780" s="3">
        <v>779</v>
      </c>
      <c r="H780" s="3">
        <v>779</v>
      </c>
      <c r="K780" s="14">
        <v>813</v>
      </c>
      <c r="R780" s="14">
        <v>1378</v>
      </c>
      <c r="S780" s="18" t="s">
        <v>2559</v>
      </c>
    </row>
    <row r="781" spans="4:19" x14ac:dyDescent="0.2">
      <c r="D781" s="3">
        <v>780</v>
      </c>
      <c r="F781" s="3">
        <v>780</v>
      </c>
      <c r="H781" s="3">
        <v>780</v>
      </c>
      <c r="K781" s="14">
        <v>814</v>
      </c>
      <c r="R781" s="14">
        <v>1379</v>
      </c>
      <c r="S781" s="18" t="s">
        <v>2560</v>
      </c>
    </row>
    <row r="782" spans="4:19" x14ac:dyDescent="0.2">
      <c r="D782" s="3">
        <v>781</v>
      </c>
      <c r="F782" s="3">
        <v>781</v>
      </c>
      <c r="H782" s="3">
        <v>781</v>
      </c>
      <c r="K782" s="14">
        <v>815</v>
      </c>
      <c r="R782" s="14">
        <v>1380</v>
      </c>
      <c r="S782" s="18" t="s">
        <v>2561</v>
      </c>
    </row>
    <row r="783" spans="4:19" x14ac:dyDescent="0.2">
      <c r="D783" s="3">
        <v>782</v>
      </c>
      <c r="F783" s="3">
        <v>782</v>
      </c>
      <c r="H783" s="3">
        <v>782</v>
      </c>
      <c r="K783" s="14">
        <v>816</v>
      </c>
      <c r="R783" s="14">
        <v>1381</v>
      </c>
      <c r="S783" s="18" t="s">
        <v>2562</v>
      </c>
    </row>
    <row r="784" spans="4:19" x14ac:dyDescent="0.2">
      <c r="D784" s="3">
        <v>783</v>
      </c>
      <c r="F784" s="3">
        <v>783</v>
      </c>
      <c r="H784" s="3">
        <v>783</v>
      </c>
      <c r="K784" s="14">
        <v>817</v>
      </c>
      <c r="R784" s="14">
        <v>1382</v>
      </c>
      <c r="S784" s="18" t="s">
        <v>2580</v>
      </c>
    </row>
    <row r="785" spans="4:19" x14ac:dyDescent="0.2">
      <c r="D785" s="3">
        <v>784</v>
      </c>
      <c r="F785" s="3">
        <v>784</v>
      </c>
      <c r="H785" s="3">
        <v>784</v>
      </c>
      <c r="K785" s="14">
        <v>818</v>
      </c>
      <c r="R785" s="14">
        <v>1383</v>
      </c>
      <c r="S785" s="18" t="s">
        <v>2563</v>
      </c>
    </row>
    <row r="786" spans="4:19" x14ac:dyDescent="0.2">
      <c r="D786" s="3">
        <v>785</v>
      </c>
      <c r="F786" s="3">
        <v>785</v>
      </c>
      <c r="H786" s="3">
        <v>785</v>
      </c>
      <c r="K786" s="14">
        <v>819</v>
      </c>
      <c r="R786" s="14">
        <v>1384</v>
      </c>
      <c r="S786" s="18" t="s">
        <v>2581</v>
      </c>
    </row>
    <row r="787" spans="4:19" x14ac:dyDescent="0.2">
      <c r="D787" s="3">
        <v>786</v>
      </c>
      <c r="F787" s="3">
        <v>786</v>
      </c>
      <c r="H787" s="3">
        <v>786</v>
      </c>
      <c r="K787" s="14">
        <v>820</v>
      </c>
      <c r="R787" s="14">
        <v>1385</v>
      </c>
      <c r="S787" s="18" t="s">
        <v>2601</v>
      </c>
    </row>
    <row r="788" spans="4:19" x14ac:dyDescent="0.2">
      <c r="D788" s="3">
        <v>787</v>
      </c>
      <c r="F788" s="3">
        <v>787</v>
      </c>
      <c r="H788" s="3">
        <v>787</v>
      </c>
      <c r="K788" s="14">
        <v>821</v>
      </c>
      <c r="R788" s="14">
        <v>1386</v>
      </c>
      <c r="S788" s="18" t="s">
        <v>2565</v>
      </c>
    </row>
    <row r="789" spans="4:19" x14ac:dyDescent="0.2">
      <c r="D789" s="3">
        <v>788</v>
      </c>
      <c r="F789" s="3">
        <v>788</v>
      </c>
      <c r="H789" s="3">
        <v>788</v>
      </c>
      <c r="K789" s="14">
        <v>822</v>
      </c>
    </row>
    <row r="790" spans="4:19" x14ac:dyDescent="0.2">
      <c r="D790" s="3">
        <v>789</v>
      </c>
      <c r="F790" s="3">
        <v>789</v>
      </c>
      <c r="H790" s="3">
        <v>789</v>
      </c>
      <c r="K790" s="14">
        <v>823</v>
      </c>
      <c r="S790" s="22" t="s">
        <v>2683</v>
      </c>
    </row>
    <row r="791" spans="4:19" x14ac:dyDescent="0.2">
      <c r="D791" s="3">
        <v>790</v>
      </c>
      <c r="F791" s="3">
        <v>790</v>
      </c>
      <c r="H791" s="3">
        <v>790</v>
      </c>
      <c r="K791" s="14">
        <v>824</v>
      </c>
      <c r="R791" s="14">
        <v>1</v>
      </c>
      <c r="S791" s="18" t="str">
        <f ca="1">RANDBETWEEN(3,85)&amp;" bats flitting irratically through the night air."</f>
        <v>64 bats flitting irratically through the night air.</v>
      </c>
    </row>
    <row r="792" spans="4:19" x14ac:dyDescent="0.2">
      <c r="D792" s="3">
        <v>791</v>
      </c>
      <c r="F792" s="3">
        <v>791</v>
      </c>
      <c r="H792" s="3">
        <v>791</v>
      </c>
      <c r="K792" s="14">
        <v>825</v>
      </c>
      <c r="R792" s="14">
        <v>2</v>
      </c>
      <c r="S792" s="18" t="str">
        <f ca="1">RANDBETWEEN(1,15)&amp;" chicken(s)"</f>
        <v>4 chicken(s)</v>
      </c>
    </row>
    <row r="793" spans="4:19" x14ac:dyDescent="0.2">
      <c r="D793" s="3">
        <v>792</v>
      </c>
      <c r="F793" s="3">
        <v>792</v>
      </c>
      <c r="H793" s="3">
        <v>792</v>
      </c>
      <c r="K793" s="14">
        <v>826</v>
      </c>
      <c r="R793" s="14">
        <v>3</v>
      </c>
      <c r="S793" s="14" t="str">
        <f ca="1">RANDBETWEEN(5,25)&amp;" crows"</f>
        <v>19 crows</v>
      </c>
    </row>
    <row r="794" spans="4:19" x14ac:dyDescent="0.2">
      <c r="D794" s="3">
        <v>793</v>
      </c>
      <c r="F794" s="3">
        <v>793</v>
      </c>
      <c r="H794" s="3">
        <v>793</v>
      </c>
      <c r="K794" s="14">
        <v>827</v>
      </c>
      <c r="R794" s="14">
        <v>4</v>
      </c>
      <c r="S794" s="18" t="str">
        <f ca="1">RANDBETWEEN(4,15)&amp;" doves"</f>
        <v>14 doves</v>
      </c>
    </row>
    <row r="795" spans="4:19" x14ac:dyDescent="0.2">
      <c r="D795" s="3">
        <v>794</v>
      </c>
      <c r="F795" s="3">
        <v>794</v>
      </c>
      <c r="H795" s="3">
        <v>794</v>
      </c>
      <c r="K795" s="14">
        <v>828</v>
      </c>
      <c r="R795" s="14">
        <v>5</v>
      </c>
      <c r="S795" s="14" t="str">
        <f ca="1">RANDBETWEEN(1,15)&amp;" duck(s)"</f>
        <v>9 duck(s)</v>
      </c>
    </row>
    <row r="796" spans="4:19" x14ac:dyDescent="0.2">
      <c r="D796" s="3">
        <v>795</v>
      </c>
      <c r="F796" s="3">
        <v>795</v>
      </c>
      <c r="H796" s="3">
        <v>795</v>
      </c>
      <c r="K796" s="14">
        <v>829</v>
      </c>
      <c r="R796" s="14">
        <v>6</v>
      </c>
      <c r="S796" s="14" t="str">
        <f ca="1">RANDBETWEEN(1,3)&amp;" eagle(s)"</f>
        <v>3 eagle(s)</v>
      </c>
    </row>
    <row r="797" spans="4:19" x14ac:dyDescent="0.2">
      <c r="D797" s="3">
        <v>796</v>
      </c>
      <c r="F797" s="3">
        <v>796</v>
      </c>
      <c r="H797" s="3">
        <v>796</v>
      </c>
      <c r="K797" s="14">
        <v>830</v>
      </c>
      <c r="R797" s="14">
        <v>7</v>
      </c>
      <c r="S797" s="14" t="str">
        <f ca="1">RANDBETWEEN(1,2)&amp;" falcon(s)"</f>
        <v>2 falcon(s)</v>
      </c>
    </row>
    <row r="798" spans="4:19" x14ac:dyDescent="0.2">
      <c r="D798" s="3">
        <v>797</v>
      </c>
      <c r="F798" s="3">
        <v>797</v>
      </c>
      <c r="H798" s="3">
        <v>797</v>
      </c>
      <c r="K798" s="14">
        <v>831</v>
      </c>
      <c r="R798" s="14">
        <v>8</v>
      </c>
      <c r="S798" s="18" t="str">
        <f ca="1">RANDBETWEEN(2,15)&amp;" geese"</f>
        <v>13 geese</v>
      </c>
    </row>
    <row r="799" spans="4:19" x14ac:dyDescent="0.2">
      <c r="D799" s="3">
        <v>798</v>
      </c>
      <c r="F799" s="3">
        <v>798</v>
      </c>
      <c r="H799" s="3">
        <v>798</v>
      </c>
      <c r="K799" s="14">
        <v>832</v>
      </c>
      <c r="R799" s="14">
        <v>9</v>
      </c>
      <c r="S799" s="18" t="str">
        <f ca="1">RANDBETWEEN(1,5)&amp;" grouse"</f>
        <v>1 grouse</v>
      </c>
    </row>
    <row r="800" spans="4:19" x14ac:dyDescent="0.2">
      <c r="D800" s="3">
        <v>799</v>
      </c>
      <c r="F800" s="3">
        <v>799</v>
      </c>
      <c r="H800" s="3">
        <v>799</v>
      </c>
      <c r="K800" s="14">
        <v>833</v>
      </c>
      <c r="R800" s="14">
        <v>10</v>
      </c>
      <c r="S800" s="14" t="str">
        <f ca="1">RANDBETWEEN(5,25)&amp;" gulls"</f>
        <v>13 gulls</v>
      </c>
    </row>
    <row r="801" spans="4:19" x14ac:dyDescent="0.2">
      <c r="D801" s="3">
        <v>800</v>
      </c>
      <c r="F801" s="3">
        <v>800</v>
      </c>
      <c r="H801" s="3">
        <v>800</v>
      </c>
      <c r="K801" s="14">
        <v>834</v>
      </c>
      <c r="R801" s="14">
        <v>11</v>
      </c>
      <c r="S801" s="14" t="str">
        <f ca="1">RANDBETWEEN(1,2)&amp;" hawk(s)"</f>
        <v>2 hawk(s)</v>
      </c>
    </row>
    <row r="802" spans="4:19" x14ac:dyDescent="0.2">
      <c r="D802" s="3">
        <v>801</v>
      </c>
      <c r="F802" s="3">
        <v>801</v>
      </c>
      <c r="H802" s="3">
        <v>801</v>
      </c>
      <c r="K802" s="14">
        <v>835</v>
      </c>
      <c r="R802" s="14">
        <v>12</v>
      </c>
      <c r="S802" s="14" t="str">
        <f ca="1">RANDBETWEEN(1,15)&amp;" owl(s)"</f>
        <v>1 owl(s)</v>
      </c>
    </row>
    <row r="803" spans="4:19" x14ac:dyDescent="0.2">
      <c r="D803" s="3">
        <v>802</v>
      </c>
      <c r="F803" s="3">
        <v>802</v>
      </c>
      <c r="H803" s="3">
        <v>802</v>
      </c>
      <c r="K803" s="14">
        <v>836</v>
      </c>
      <c r="R803" s="14">
        <v>13</v>
      </c>
      <c r="S803" s="18" t="str">
        <f ca="1">RANDBETWEEN(2,15)&amp;" partridges"</f>
        <v>5 partridges</v>
      </c>
    </row>
    <row r="804" spans="4:19" x14ac:dyDescent="0.2">
      <c r="D804" s="3">
        <v>803</v>
      </c>
      <c r="F804" s="3">
        <v>803</v>
      </c>
      <c r="H804" s="3">
        <v>803</v>
      </c>
      <c r="K804" s="14">
        <v>837</v>
      </c>
      <c r="R804" s="14">
        <v>14</v>
      </c>
      <c r="S804" s="18" t="str">
        <f ca="1">RANDBETWEEN(5,20)&amp;" pheasants"</f>
        <v>18 pheasants</v>
      </c>
    </row>
    <row r="805" spans="4:19" x14ac:dyDescent="0.2">
      <c r="D805" s="3">
        <v>804</v>
      </c>
      <c r="F805" s="3">
        <v>804</v>
      </c>
      <c r="H805" s="3">
        <v>804</v>
      </c>
      <c r="K805" s="14">
        <v>838</v>
      </c>
      <c r="R805" s="14">
        <v>15</v>
      </c>
      <c r="S805" s="18" t="str">
        <f ca="1">RANDBETWEEN(5,15)&amp;" quail"</f>
        <v>10 quail</v>
      </c>
    </row>
    <row r="806" spans="4:19" x14ac:dyDescent="0.2">
      <c r="D806" s="3">
        <v>805</v>
      </c>
      <c r="F806" s="3">
        <v>805</v>
      </c>
      <c r="H806" s="3">
        <v>805</v>
      </c>
      <c r="K806" s="14">
        <v>839</v>
      </c>
      <c r="R806" s="14">
        <v>16</v>
      </c>
      <c r="S806" s="14" t="str">
        <f ca="1">RANDBETWEEN(5,50)&amp;" ravens"</f>
        <v>24 ravens</v>
      </c>
    </row>
    <row r="807" spans="4:19" x14ac:dyDescent="0.2">
      <c r="D807" s="3">
        <v>806</v>
      </c>
      <c r="F807" s="3">
        <v>806</v>
      </c>
      <c r="H807" s="3">
        <v>806</v>
      </c>
      <c r="K807" s="14">
        <v>840</v>
      </c>
      <c r="R807" s="14">
        <v>17</v>
      </c>
      <c r="S807" s="18" t="s">
        <v>2689</v>
      </c>
    </row>
    <row r="808" spans="4:19" x14ac:dyDescent="0.2">
      <c r="D808" s="3">
        <v>807</v>
      </c>
      <c r="F808" s="3">
        <v>807</v>
      </c>
      <c r="H808" s="3">
        <v>807</v>
      </c>
      <c r="K808" s="14">
        <v>841</v>
      </c>
      <c r="R808" s="14">
        <v>18</v>
      </c>
      <c r="S808" s="18" t="str">
        <f ca="1">RANDBETWEEN(1,15)&amp;" turkey(s)"</f>
        <v>6 turkey(s)</v>
      </c>
    </row>
    <row r="809" spans="4:19" x14ac:dyDescent="0.2">
      <c r="D809" s="3">
        <v>808</v>
      </c>
      <c r="F809" s="3">
        <v>808</v>
      </c>
      <c r="H809" s="3">
        <v>808</v>
      </c>
      <c r="K809" s="14">
        <v>842</v>
      </c>
      <c r="R809" s="14">
        <v>19</v>
      </c>
      <c r="S809" s="14" t="str">
        <f ca="1">RANDBETWEEN(3,10)&amp;" vultures"</f>
        <v>4 vultures</v>
      </c>
    </row>
    <row r="810" spans="4:19" x14ac:dyDescent="0.2">
      <c r="D810" s="3">
        <v>809</v>
      </c>
      <c r="F810" s="3">
        <v>809</v>
      </c>
      <c r="H810" s="3">
        <v>809</v>
      </c>
      <c r="K810" s="14">
        <v>843</v>
      </c>
      <c r="R810" s="14">
        <v>20</v>
      </c>
      <c r="S810" s="18" t="str">
        <f ca="1">RANDBETWEEN(1,15)&amp;" water fowl(s)"</f>
        <v>11 water fowl(s)</v>
      </c>
    </row>
    <row r="811" spans="4:19" x14ac:dyDescent="0.2">
      <c r="D811" s="3">
        <v>810</v>
      </c>
      <c r="F811" s="3">
        <v>810</v>
      </c>
      <c r="H811" s="3">
        <v>810</v>
      </c>
      <c r="K811" s="14">
        <v>844</v>
      </c>
      <c r="R811" s="14">
        <v>21</v>
      </c>
      <c r="S811" s="14" t="str">
        <f ca="1">RANDBETWEEN(1,15)&amp;" antelope"</f>
        <v>7 antelope</v>
      </c>
    </row>
    <row r="812" spans="4:19" x14ac:dyDescent="0.2">
      <c r="D812" s="3">
        <v>811</v>
      </c>
      <c r="F812" s="3">
        <v>811</v>
      </c>
      <c r="H812" s="3">
        <v>811</v>
      </c>
      <c r="K812" s="14">
        <v>845</v>
      </c>
      <c r="R812" s="14">
        <v>22</v>
      </c>
      <c r="S812" s="14" t="s">
        <v>2690</v>
      </c>
    </row>
    <row r="813" spans="4:19" x14ac:dyDescent="0.2">
      <c r="D813" s="3">
        <v>812</v>
      </c>
      <c r="F813" s="3">
        <v>812</v>
      </c>
      <c r="H813" s="3">
        <v>812</v>
      </c>
      <c r="K813" s="14">
        <v>846</v>
      </c>
      <c r="R813" s="14">
        <v>23</v>
      </c>
      <c r="S813" s="14" t="s">
        <v>2691</v>
      </c>
    </row>
    <row r="814" spans="4:19" x14ac:dyDescent="0.2">
      <c r="D814" s="3">
        <v>813</v>
      </c>
      <c r="F814" s="3">
        <v>813</v>
      </c>
      <c r="H814" s="3">
        <v>813</v>
      </c>
      <c r="K814" s="14">
        <v>847</v>
      </c>
      <c r="R814" s="14">
        <v>24</v>
      </c>
      <c r="S814" s="14" t="str">
        <f ca="1">RANDBETWEEN(2,4)&amp;" black bears"</f>
        <v>2 black bears</v>
      </c>
    </row>
    <row r="815" spans="4:19" x14ac:dyDescent="0.2">
      <c r="D815" s="3">
        <v>814</v>
      </c>
      <c r="F815" s="3">
        <v>814</v>
      </c>
      <c r="H815" s="3">
        <v>814</v>
      </c>
      <c r="K815" s="14">
        <v>848</v>
      </c>
      <c r="R815" s="14">
        <v>25</v>
      </c>
      <c r="S815" s="14" t="str">
        <f ca="1">RANDBETWEEN(2,5)&amp;" brown bears"</f>
        <v>5 brown bears</v>
      </c>
    </row>
    <row r="816" spans="4:19" x14ac:dyDescent="0.2">
      <c r="D816" s="3">
        <v>815</v>
      </c>
      <c r="F816" s="3">
        <v>815</v>
      </c>
      <c r="H816" s="3">
        <v>815</v>
      </c>
      <c r="K816" s="14">
        <v>849</v>
      </c>
      <c r="R816" s="14">
        <v>26</v>
      </c>
      <c r="S816" s="14" t="str">
        <f ca="1">RANDBETWEEN(1,3)&amp;" grizzly bear(s)"</f>
        <v>2 grizzly bear(s)</v>
      </c>
    </row>
    <row r="817" spans="4:19" x14ac:dyDescent="0.2">
      <c r="D817" s="3">
        <v>816</v>
      </c>
      <c r="F817" s="3">
        <v>816</v>
      </c>
      <c r="H817" s="3">
        <v>816</v>
      </c>
      <c r="K817" s="14">
        <v>850</v>
      </c>
      <c r="R817" s="14">
        <v>27</v>
      </c>
      <c r="S817" s="18" t="str">
        <f ca="1">RANDBETWEEN(1,4)&amp;" Kodiak bears(s)"</f>
        <v>1 Kodiak bears(s)</v>
      </c>
    </row>
    <row r="818" spans="4:19" x14ac:dyDescent="0.2">
      <c r="D818" s="3">
        <v>817</v>
      </c>
      <c r="F818" s="3">
        <v>817</v>
      </c>
      <c r="H818" s="3">
        <v>817</v>
      </c>
      <c r="K818" s="14">
        <v>851</v>
      </c>
      <c r="R818" s="14">
        <v>28</v>
      </c>
      <c r="S818" s="14" t="str">
        <f ca="1">RANDBETWEEN(1,5)&amp;" beaver(s)"</f>
        <v>2 beaver(s)</v>
      </c>
    </row>
    <row r="819" spans="4:19" x14ac:dyDescent="0.2">
      <c r="D819" s="3">
        <v>818</v>
      </c>
      <c r="F819" s="3">
        <v>818</v>
      </c>
      <c r="H819" s="3">
        <v>818</v>
      </c>
      <c r="K819" s="14">
        <v>852</v>
      </c>
      <c r="R819" s="14">
        <v>29</v>
      </c>
      <c r="S819" s="14" t="str">
        <f ca="1">RANDBETWEEN(4,1000)&amp;" bighorns"</f>
        <v>303 bighorns</v>
      </c>
    </row>
    <row r="820" spans="4:19" x14ac:dyDescent="0.2">
      <c r="D820" s="3">
        <v>819</v>
      </c>
      <c r="F820" s="3">
        <v>819</v>
      </c>
      <c r="H820" s="3">
        <v>819</v>
      </c>
      <c r="K820" s="14">
        <v>853</v>
      </c>
      <c r="R820" s="14">
        <v>30</v>
      </c>
      <c r="S820" s="14" t="str">
        <f ca="1">RANDBETWEEN(10,150)&amp;" bison(s)"</f>
        <v>35 bison(s)</v>
      </c>
    </row>
    <row r="821" spans="4:19" x14ac:dyDescent="0.2">
      <c r="D821" s="3">
        <v>820</v>
      </c>
      <c r="F821" s="3">
        <v>820</v>
      </c>
      <c r="H821" s="3">
        <v>820</v>
      </c>
      <c r="K821" s="14">
        <v>854</v>
      </c>
      <c r="R821" s="14">
        <v>31</v>
      </c>
      <c r="S821" s="14" t="s">
        <v>2692</v>
      </c>
    </row>
    <row r="822" spans="4:19" x14ac:dyDescent="0.2">
      <c r="D822" s="3">
        <v>821</v>
      </c>
      <c r="F822" s="3">
        <v>821</v>
      </c>
      <c r="H822" s="3">
        <v>821</v>
      </c>
      <c r="K822" s="14">
        <v>855</v>
      </c>
      <c r="R822" s="14">
        <v>32</v>
      </c>
      <c r="S822" s="14" t="str">
        <f ca="1">RANDBETWEEN(1,15)&amp;" buck(s)"</f>
        <v>3 buck(s)</v>
      </c>
    </row>
    <row r="823" spans="4:19" x14ac:dyDescent="0.2">
      <c r="D823" s="3">
        <v>822</v>
      </c>
      <c r="F823" s="3">
        <v>822</v>
      </c>
      <c r="H823" s="3">
        <v>822</v>
      </c>
      <c r="K823" s="14">
        <v>856</v>
      </c>
      <c r="R823" s="14">
        <v>33</v>
      </c>
      <c r="S823" s="14" t="str">
        <f ca="1">RANDBETWEEN(10,250)&amp;" buffalo"</f>
        <v>88 buffalo</v>
      </c>
    </row>
    <row r="824" spans="4:19" x14ac:dyDescent="0.2">
      <c r="D824" s="3">
        <v>823</v>
      </c>
      <c r="F824" s="3">
        <v>823</v>
      </c>
      <c r="H824" s="3">
        <v>823</v>
      </c>
      <c r="K824" s="14">
        <v>857</v>
      </c>
      <c r="R824" s="14">
        <v>34</v>
      </c>
      <c r="S824" s="14" t="str">
        <f ca="1">RANDBETWEEN(1,15)&amp;" chipmunk(s)"</f>
        <v>8 chipmunk(s)</v>
      </c>
    </row>
    <row r="825" spans="4:19" x14ac:dyDescent="0.2">
      <c r="D825" s="3">
        <v>824</v>
      </c>
      <c r="F825" s="3">
        <v>824</v>
      </c>
      <c r="H825" s="3">
        <v>824</v>
      </c>
      <c r="K825" s="14">
        <v>858</v>
      </c>
      <c r="R825" s="14">
        <v>35</v>
      </c>
      <c r="S825" s="14" t="s">
        <v>2693</v>
      </c>
    </row>
    <row r="826" spans="4:19" x14ac:dyDescent="0.2">
      <c r="D826" s="3">
        <v>825</v>
      </c>
      <c r="F826" s="3">
        <v>825</v>
      </c>
      <c r="H826" s="3">
        <v>825</v>
      </c>
      <c r="K826" s="14">
        <v>859</v>
      </c>
      <c r="R826" s="14">
        <v>36</v>
      </c>
      <c r="S826" s="14" t="str">
        <f ca="1">RANDBETWEEN(5,400)&amp;" cows"</f>
        <v>180 cows</v>
      </c>
    </row>
    <row r="827" spans="4:19" x14ac:dyDescent="0.2">
      <c r="D827" s="3">
        <v>826</v>
      </c>
      <c r="F827" s="3">
        <v>826</v>
      </c>
      <c r="H827" s="3">
        <v>826</v>
      </c>
      <c r="K827" s="14">
        <v>860</v>
      </c>
      <c r="R827" s="14">
        <v>37</v>
      </c>
      <c r="S827" s="14" t="str">
        <f ca="1">RANDBETWEEN(2,5)&amp;" coyotes"</f>
        <v>5 coyotes</v>
      </c>
    </row>
    <row r="828" spans="4:19" x14ac:dyDescent="0.2">
      <c r="D828" s="3">
        <v>827</v>
      </c>
      <c r="F828" s="3">
        <v>827</v>
      </c>
      <c r="H828" s="3">
        <v>827</v>
      </c>
      <c r="K828" s="14">
        <v>861</v>
      </c>
      <c r="R828" s="14">
        <v>38</v>
      </c>
      <c r="S828" s="14" t="str">
        <f ca="1">RANDBETWEEN(4,18)&amp;" deer"</f>
        <v>14 deer</v>
      </c>
    </row>
    <row r="829" spans="4:19" x14ac:dyDescent="0.2">
      <c r="D829" s="3">
        <v>828</v>
      </c>
      <c r="F829" s="3">
        <v>828</v>
      </c>
      <c r="H829" s="3">
        <v>828</v>
      </c>
      <c r="K829" s="14">
        <v>862</v>
      </c>
      <c r="R829" s="14">
        <v>39</v>
      </c>
      <c r="S829" s="14" t="str">
        <f ca="1">RANDBETWEEN(4,20)&amp;" elk"</f>
        <v>9 elk</v>
      </c>
    </row>
    <row r="830" spans="4:19" x14ac:dyDescent="0.2">
      <c r="D830" s="3">
        <v>829</v>
      </c>
      <c r="F830" s="3">
        <v>829</v>
      </c>
      <c r="H830" s="3">
        <v>829</v>
      </c>
      <c r="K830" s="14">
        <v>863</v>
      </c>
      <c r="R830" s="14">
        <v>40</v>
      </c>
      <c r="S830" s="14" t="str">
        <f ca="1">RANDBETWEEN(1,5)&amp;" ferret(s)"</f>
        <v>5 ferret(s)</v>
      </c>
    </row>
    <row r="831" spans="4:19" x14ac:dyDescent="0.2">
      <c r="D831" s="3">
        <v>830</v>
      </c>
      <c r="F831" s="3">
        <v>830</v>
      </c>
      <c r="H831" s="3">
        <v>830</v>
      </c>
      <c r="K831" s="14">
        <v>864</v>
      </c>
      <c r="R831" s="14">
        <v>41</v>
      </c>
      <c r="S831" s="14" t="s">
        <v>2694</v>
      </c>
    </row>
    <row r="832" spans="4:19" x14ac:dyDescent="0.2">
      <c r="D832" s="3">
        <v>831</v>
      </c>
      <c r="F832" s="3">
        <v>831</v>
      </c>
      <c r="H832" s="3">
        <v>831</v>
      </c>
      <c r="K832" s="14">
        <v>865</v>
      </c>
      <c r="R832" s="14">
        <v>42</v>
      </c>
      <c r="S832" s="14" t="s">
        <v>2695</v>
      </c>
    </row>
    <row r="833" spans="4:19" x14ac:dyDescent="0.2">
      <c r="D833" s="3">
        <v>832</v>
      </c>
      <c r="F833" s="3">
        <v>832</v>
      </c>
      <c r="H833" s="3">
        <v>832</v>
      </c>
      <c r="K833" s="14">
        <v>866</v>
      </c>
      <c r="R833" s="14">
        <v>43</v>
      </c>
      <c r="S833" s="14" t="str">
        <f ca="1">RANDBETWEEN(1,15)&amp;" goat(s)"</f>
        <v>7 goat(s)</v>
      </c>
    </row>
    <row r="834" spans="4:19" x14ac:dyDescent="0.2">
      <c r="D834" s="3">
        <v>833</v>
      </c>
      <c r="F834" s="3">
        <v>833</v>
      </c>
      <c r="H834" s="3">
        <v>833</v>
      </c>
      <c r="K834" s="14">
        <v>867</v>
      </c>
      <c r="R834" s="14">
        <v>44</v>
      </c>
      <c r="S834" s="14" t="str">
        <f ca="1">RANDBETWEEN(1,15)&amp;" gopher(s)"</f>
        <v>2 gopher(s)</v>
      </c>
    </row>
    <row r="835" spans="4:19" x14ac:dyDescent="0.2">
      <c r="D835" s="3">
        <v>834</v>
      </c>
      <c r="F835" s="3">
        <v>834</v>
      </c>
      <c r="H835" s="3">
        <v>834</v>
      </c>
      <c r="K835" s="14">
        <v>868</v>
      </c>
      <c r="R835" s="14">
        <v>45</v>
      </c>
      <c r="S835" s="14" t="str">
        <f ca="1">RANDBETWEEN(1,10)&amp;" groundhog(s)"</f>
        <v>2 groundhog(s)</v>
      </c>
    </row>
    <row r="836" spans="4:19" x14ac:dyDescent="0.2">
      <c r="D836" s="3">
        <v>835</v>
      </c>
      <c r="F836" s="3">
        <v>835</v>
      </c>
      <c r="H836" s="3">
        <v>835</v>
      </c>
      <c r="K836" s="14">
        <v>869</v>
      </c>
      <c r="R836" s="14">
        <v>46</v>
      </c>
      <c r="S836" s="14" t="str">
        <f ca="1">RANDBETWEEN(1,25)&amp;" hare"</f>
        <v>11 hare</v>
      </c>
    </row>
    <row r="837" spans="4:19" x14ac:dyDescent="0.2">
      <c r="D837" s="3">
        <v>836</v>
      </c>
      <c r="F837" s="3">
        <v>836</v>
      </c>
      <c r="H837" s="3">
        <v>836</v>
      </c>
      <c r="K837" s="14">
        <v>870</v>
      </c>
      <c r="R837" s="14">
        <v>47</v>
      </c>
      <c r="S837" s="14" t="str">
        <f ca="1">RANDBETWEEN(1,5)&amp;" hedgehog(s)"</f>
        <v>1 hedgehog(s)</v>
      </c>
    </row>
    <row r="838" spans="4:19" x14ac:dyDescent="0.2">
      <c r="D838" s="3">
        <v>837</v>
      </c>
      <c r="F838" s="3">
        <v>837</v>
      </c>
      <c r="H838" s="3">
        <v>837</v>
      </c>
      <c r="K838" s="14">
        <v>871</v>
      </c>
      <c r="R838" s="14">
        <v>48</v>
      </c>
      <c r="S838" s="14" t="str">
        <f ca="1">RANDBETWEEN(1,15)&amp;" horse(s)"</f>
        <v>2 horse(s)</v>
      </c>
    </row>
    <row r="839" spans="4:19" x14ac:dyDescent="0.2">
      <c r="D839" s="3">
        <v>838</v>
      </c>
      <c r="F839" s="3">
        <v>838</v>
      </c>
      <c r="H839" s="3">
        <v>838</v>
      </c>
      <c r="K839" s="14">
        <v>872</v>
      </c>
      <c r="R839" s="14">
        <v>49</v>
      </c>
      <c r="S839" s="14" t="str">
        <f ca="1">RANDBETWEEN(1,5)&amp;" jackrabbit(s)"</f>
        <v>1 jackrabbit(s)</v>
      </c>
    </row>
    <row r="840" spans="4:19" x14ac:dyDescent="0.2">
      <c r="D840" s="3">
        <v>839</v>
      </c>
      <c r="F840" s="3">
        <v>839</v>
      </c>
      <c r="H840" s="3">
        <v>839</v>
      </c>
      <c r="K840" s="14">
        <v>873</v>
      </c>
      <c r="R840" s="14">
        <v>50</v>
      </c>
      <c r="S840" s="14" t="s">
        <v>2696</v>
      </c>
    </row>
    <row r="841" spans="4:19" x14ac:dyDescent="0.2">
      <c r="D841" s="3">
        <v>840</v>
      </c>
      <c r="F841" s="3">
        <v>840</v>
      </c>
      <c r="H841" s="3">
        <v>840</v>
      </c>
      <c r="K841" s="14">
        <v>874</v>
      </c>
      <c r="R841" s="14">
        <v>51</v>
      </c>
      <c r="S841" s="14" t="s">
        <v>2697</v>
      </c>
    </row>
    <row r="842" spans="4:19" x14ac:dyDescent="0.2">
      <c r="D842" s="3">
        <v>841</v>
      </c>
      <c r="F842" s="3">
        <v>841</v>
      </c>
      <c r="H842" s="3">
        <v>841</v>
      </c>
      <c r="K842" s="14">
        <v>875</v>
      </c>
      <c r="R842" s="14">
        <v>52</v>
      </c>
      <c r="S842" s="14" t="s">
        <v>2698</v>
      </c>
    </row>
    <row r="843" spans="4:19" x14ac:dyDescent="0.2">
      <c r="D843" s="3">
        <v>842</v>
      </c>
      <c r="F843" s="3">
        <v>842</v>
      </c>
      <c r="H843" s="3">
        <v>842</v>
      </c>
      <c r="K843" s="14">
        <v>876</v>
      </c>
      <c r="R843" s="14">
        <v>53</v>
      </c>
      <c r="S843" s="14" t="str">
        <f ca="1">RANDBETWEEN(1,15)&amp;" moose"</f>
        <v>9 moose</v>
      </c>
    </row>
    <row r="844" spans="4:19" x14ac:dyDescent="0.2">
      <c r="D844" s="3">
        <v>843</v>
      </c>
      <c r="F844" s="3">
        <v>843</v>
      </c>
      <c r="H844" s="3">
        <v>843</v>
      </c>
      <c r="K844" s="14">
        <v>877</v>
      </c>
      <c r="R844" s="14">
        <v>54</v>
      </c>
      <c r="S844" s="14" t="str">
        <f ca="1">RANDBETWEEN(1,4)&amp;" mountain lion(s)"</f>
        <v>1 mountain lion(s)</v>
      </c>
    </row>
    <row r="845" spans="4:19" x14ac:dyDescent="0.2">
      <c r="D845" s="3">
        <v>844</v>
      </c>
      <c r="F845" s="3">
        <v>844</v>
      </c>
      <c r="H845" s="3">
        <v>844</v>
      </c>
      <c r="K845" s="14">
        <v>878</v>
      </c>
      <c r="R845" s="14">
        <v>55</v>
      </c>
      <c r="S845" s="14" t="str">
        <f ca="1">"a mouse swarm ("&amp;RANDBETWEEN(150,300)&amp;" )"</f>
        <v>a mouse swarm (156 )</v>
      </c>
    </row>
    <row r="846" spans="4:19" x14ac:dyDescent="0.2">
      <c r="D846" s="3">
        <v>845</v>
      </c>
      <c r="F846" s="3">
        <v>845</v>
      </c>
      <c r="H846" s="3">
        <v>845</v>
      </c>
      <c r="K846" s="14">
        <v>879</v>
      </c>
      <c r="R846" s="14">
        <v>56</v>
      </c>
      <c r="S846" s="14" t="str">
        <f ca="1">RANDBETWEEN(1,5)&amp;" mule(s)"</f>
        <v>3 mule(s)</v>
      </c>
    </row>
    <row r="847" spans="4:19" x14ac:dyDescent="0.2">
      <c r="D847" s="3">
        <v>846</v>
      </c>
      <c r="F847" s="3">
        <v>846</v>
      </c>
      <c r="H847" s="3">
        <v>846</v>
      </c>
      <c r="K847" s="14">
        <v>880</v>
      </c>
      <c r="R847" s="14">
        <v>57</v>
      </c>
      <c r="S847" s="14" t="str">
        <f ca="1">RANDBETWEEN(10,45)&amp;" muskrats"</f>
        <v>40 muskrats</v>
      </c>
    </row>
    <row r="848" spans="4:19" x14ac:dyDescent="0.2">
      <c r="D848" s="3">
        <v>847</v>
      </c>
      <c r="F848" s="3">
        <v>847</v>
      </c>
      <c r="H848" s="3">
        <v>847</v>
      </c>
      <c r="K848" s="14">
        <v>881</v>
      </c>
      <c r="R848" s="14">
        <v>58</v>
      </c>
      <c r="S848" s="14" t="s">
        <v>2699</v>
      </c>
    </row>
    <row r="849" spans="4:19" x14ac:dyDescent="0.2">
      <c r="D849" s="3">
        <v>848</v>
      </c>
      <c r="F849" s="3">
        <v>848</v>
      </c>
      <c r="H849" s="3">
        <v>848</v>
      </c>
      <c r="K849" s="14">
        <v>882</v>
      </c>
      <c r="R849" s="14">
        <v>59</v>
      </c>
      <c r="S849" s="14" t="str">
        <f ca="1">RANDBETWEEN(1,20)&amp;" oxen"</f>
        <v>1 oxen</v>
      </c>
    </row>
    <row r="850" spans="4:19" x14ac:dyDescent="0.2">
      <c r="D850" s="3">
        <v>849</v>
      </c>
      <c r="F850" s="3">
        <v>849</v>
      </c>
      <c r="H850" s="3">
        <v>849</v>
      </c>
      <c r="K850" s="14">
        <v>883</v>
      </c>
      <c r="R850" s="14">
        <v>60</v>
      </c>
      <c r="S850" s="14" t="str">
        <f ca="1">RANDBETWEEN(1,3)&amp;" polecat(s)"</f>
        <v>2 polecat(s)</v>
      </c>
    </row>
    <row r="851" spans="4:19" x14ac:dyDescent="0.2">
      <c r="D851" s="3">
        <v>850</v>
      </c>
      <c r="F851" s="3">
        <v>850</v>
      </c>
      <c r="H851" s="3">
        <v>850</v>
      </c>
      <c r="K851" s="14">
        <v>884</v>
      </c>
      <c r="R851" s="14">
        <v>61</v>
      </c>
      <c r="S851" s="14" t="str">
        <f ca="1">RANDBETWEEN(1,5)&amp;" porcupine"</f>
        <v>1 porcupine</v>
      </c>
    </row>
    <row r="852" spans="4:19" x14ac:dyDescent="0.2">
      <c r="D852" s="3">
        <v>851</v>
      </c>
      <c r="F852" s="3">
        <v>851</v>
      </c>
      <c r="H852" s="3">
        <v>851</v>
      </c>
      <c r="K852" s="14">
        <v>885</v>
      </c>
      <c r="R852" s="14">
        <v>62</v>
      </c>
      <c r="S852" s="14" t="str">
        <f ca="1">RANDBETWEEN(1,5)&amp;" possum(s)"</f>
        <v>3 possum(s)</v>
      </c>
    </row>
    <row r="853" spans="4:19" x14ac:dyDescent="0.2">
      <c r="D853" s="3">
        <v>852</v>
      </c>
      <c r="F853" s="3">
        <v>852</v>
      </c>
      <c r="H853" s="3">
        <v>852</v>
      </c>
      <c r="K853" s="14">
        <v>886</v>
      </c>
      <c r="R853" s="14">
        <v>63</v>
      </c>
      <c r="S853" s="14" t="str">
        <f ca="1">RANDBETWEEN(8,18)&amp;" prairie dogs"</f>
        <v>12 prairie dogs</v>
      </c>
    </row>
    <row r="854" spans="4:19" x14ac:dyDescent="0.2">
      <c r="D854" s="3">
        <v>853</v>
      </c>
      <c r="F854" s="3">
        <v>853</v>
      </c>
      <c r="H854" s="3">
        <v>853</v>
      </c>
      <c r="K854" s="14">
        <v>887</v>
      </c>
      <c r="R854" s="14">
        <v>64</v>
      </c>
      <c r="S854" s="14" t="s">
        <v>2700</v>
      </c>
    </row>
    <row r="855" spans="4:19" x14ac:dyDescent="0.2">
      <c r="D855" s="3">
        <v>854</v>
      </c>
      <c r="F855" s="3">
        <v>854</v>
      </c>
      <c r="H855" s="3">
        <v>854</v>
      </c>
      <c r="K855" s="14">
        <v>888</v>
      </c>
      <c r="R855" s="14">
        <v>65</v>
      </c>
      <c r="S855" s="14" t="str">
        <f ca="1">RANDBETWEEN(1,25)&amp;" rabbit(s)"</f>
        <v>7 rabbit(s)</v>
      </c>
    </row>
    <row r="856" spans="4:19" x14ac:dyDescent="0.2">
      <c r="D856" s="3">
        <v>855</v>
      </c>
      <c r="F856" s="3">
        <v>855</v>
      </c>
      <c r="H856" s="3">
        <v>855</v>
      </c>
      <c r="K856" s="14">
        <v>889</v>
      </c>
      <c r="R856" s="14">
        <v>66</v>
      </c>
      <c r="S856" s="14" t="str">
        <f ca="1">RANDBETWEEN(1,5)&amp;" raccoon(s)"</f>
        <v>1 raccoon(s)</v>
      </c>
    </row>
    <row r="857" spans="4:19" x14ac:dyDescent="0.2">
      <c r="D857" s="3">
        <v>856</v>
      </c>
      <c r="F857" s="3">
        <v>856</v>
      </c>
      <c r="H857" s="3">
        <v>856</v>
      </c>
      <c r="K857" s="14">
        <v>890</v>
      </c>
      <c r="R857" s="14">
        <v>67</v>
      </c>
      <c r="S857" s="14" t="str">
        <f ca="1">"a rat swarm ("&amp;RANDBETWEEN(100,200)&amp;")"</f>
        <v>a rat swarm (113)</v>
      </c>
    </row>
    <row r="858" spans="4:19" x14ac:dyDescent="0.2">
      <c r="D858" s="3">
        <v>857</v>
      </c>
      <c r="F858" s="3">
        <v>857</v>
      </c>
      <c r="H858" s="3">
        <v>857</v>
      </c>
      <c r="K858" s="14">
        <v>891</v>
      </c>
      <c r="R858" s="14">
        <v>68</v>
      </c>
      <c r="S858" s="14" t="s">
        <v>2701</v>
      </c>
    </row>
    <row r="859" spans="4:19" x14ac:dyDescent="0.2">
      <c r="D859" s="3">
        <v>858</v>
      </c>
      <c r="F859" s="3">
        <v>858</v>
      </c>
      <c r="H859" s="3">
        <v>858</v>
      </c>
      <c r="K859" s="14">
        <v>892</v>
      </c>
      <c r="R859" s="14">
        <v>69</v>
      </c>
      <c r="S859" s="14" t="str">
        <f ca="1">RANDBETWEEN(5,55)&amp;" sheep"</f>
        <v>43 sheep</v>
      </c>
    </row>
    <row r="860" spans="4:19" x14ac:dyDescent="0.2">
      <c r="D860" s="3">
        <v>859</v>
      </c>
      <c r="F860" s="3">
        <v>859</v>
      </c>
      <c r="H860" s="3">
        <v>859</v>
      </c>
      <c r="K860" s="14">
        <v>893</v>
      </c>
      <c r="R860" s="14">
        <v>70</v>
      </c>
      <c r="S860" s="14" t="str">
        <f ca="1">RANDBETWEEN(1,4)&amp;" skunk(s)"</f>
        <v>3 skunk(s)</v>
      </c>
    </row>
    <row r="861" spans="4:19" x14ac:dyDescent="0.2">
      <c r="D861" s="3">
        <v>860</v>
      </c>
      <c r="F861" s="3">
        <v>860</v>
      </c>
      <c r="H861" s="3">
        <v>860</v>
      </c>
      <c r="K861" s="14">
        <v>894</v>
      </c>
      <c r="R861" s="14">
        <v>71</v>
      </c>
      <c r="S861" s="14" t="s">
        <v>2702</v>
      </c>
    </row>
    <row r="862" spans="4:19" x14ac:dyDescent="0.2">
      <c r="D862" s="3">
        <v>861</v>
      </c>
      <c r="F862" s="3">
        <v>861</v>
      </c>
      <c r="H862" s="3">
        <v>861</v>
      </c>
      <c r="K862" s="14">
        <v>895</v>
      </c>
      <c r="R862" s="14">
        <v>72</v>
      </c>
      <c r="S862" s="14" t="str">
        <f ca="1">RANDBETWEEN(1,15)&amp;" squirrel(s)"</f>
        <v>8 squirrel(s)</v>
      </c>
    </row>
    <row r="863" spans="4:19" x14ac:dyDescent="0.2">
      <c r="D863" s="3">
        <v>862</v>
      </c>
      <c r="F863" s="3">
        <v>862</v>
      </c>
      <c r="H863" s="3">
        <v>862</v>
      </c>
      <c r="K863" s="14">
        <v>896</v>
      </c>
      <c r="R863" s="14">
        <v>73</v>
      </c>
      <c r="S863" s="14" t="str">
        <f ca="1">RANDBETWEEN(1,5)&amp;" weasel(s)"</f>
        <v>4 weasel(s)</v>
      </c>
    </row>
    <row r="864" spans="4:19" x14ac:dyDescent="0.2">
      <c r="D864" s="3">
        <v>863</v>
      </c>
      <c r="F864" s="3">
        <v>863</v>
      </c>
      <c r="H864" s="3">
        <v>863</v>
      </c>
      <c r="K864" s="14">
        <v>897</v>
      </c>
      <c r="R864" s="14">
        <v>74</v>
      </c>
      <c r="S864" s="14" t="str">
        <f ca="1">RANDBETWEEN(1,8)&amp;" wild boar(s)"</f>
        <v>1 wild boar(s)</v>
      </c>
    </row>
    <row r="865" spans="4:19" x14ac:dyDescent="0.2">
      <c r="D865" s="3">
        <v>864</v>
      </c>
      <c r="F865" s="3">
        <v>864</v>
      </c>
      <c r="H865" s="3">
        <v>864</v>
      </c>
      <c r="K865" s="14">
        <v>898</v>
      </c>
      <c r="R865" s="14">
        <v>75</v>
      </c>
      <c r="S865" s="14" t="s">
        <v>2703</v>
      </c>
    </row>
    <row r="866" spans="4:19" x14ac:dyDescent="0.2">
      <c r="D866" s="3">
        <v>865</v>
      </c>
      <c r="F866" s="3">
        <v>865</v>
      </c>
      <c r="H866" s="3">
        <v>865</v>
      </c>
      <c r="K866" s="14">
        <v>899</v>
      </c>
      <c r="R866" s="14">
        <v>76</v>
      </c>
      <c r="S866" s="14" t="str">
        <f ca="1">RANDBETWEEN(2,15)&amp;" wild dog(s)"</f>
        <v>4 wild dog(s)</v>
      </c>
    </row>
    <row r="867" spans="4:19" x14ac:dyDescent="0.2">
      <c r="D867" s="3">
        <v>866</v>
      </c>
      <c r="F867" s="3">
        <v>866</v>
      </c>
      <c r="H867" s="3">
        <v>866</v>
      </c>
      <c r="K867" s="14">
        <v>900</v>
      </c>
      <c r="R867" s="14">
        <v>77</v>
      </c>
      <c r="S867" s="14" t="str">
        <f ca="1">RANDBETWEEN(1,25)&amp;" wolf (wolves)"</f>
        <v>6 wolf (wolves)</v>
      </c>
    </row>
    <row r="868" spans="4:19" x14ac:dyDescent="0.2">
      <c r="D868" s="3">
        <v>867</v>
      </c>
      <c r="F868" s="3">
        <v>867</v>
      </c>
      <c r="H868" s="3">
        <v>867</v>
      </c>
      <c r="K868" s="14">
        <v>901</v>
      </c>
      <c r="R868" s="14">
        <v>78</v>
      </c>
      <c r="S868" s="14" t="s">
        <v>2704</v>
      </c>
    </row>
    <row r="869" spans="4:19" x14ac:dyDescent="0.2">
      <c r="D869" s="3">
        <v>868</v>
      </c>
      <c r="F869" s="3">
        <v>868</v>
      </c>
      <c r="H869" s="3">
        <v>868</v>
      </c>
      <c r="K869" s="14">
        <v>902</v>
      </c>
      <c r="R869" s="14">
        <v>79</v>
      </c>
      <c r="S869" s="14" t="str">
        <f ca="1">RANDBETWEEN(1,15)&amp;" woodchuck(s)"</f>
        <v>14 woodchuck(s)</v>
      </c>
    </row>
    <row r="870" spans="4:19" x14ac:dyDescent="0.2">
      <c r="D870" s="3">
        <v>869</v>
      </c>
      <c r="F870" s="3">
        <v>869</v>
      </c>
      <c r="H870" s="3">
        <v>869</v>
      </c>
      <c r="K870" s="14">
        <v>903</v>
      </c>
      <c r="R870" s="14">
        <v>80</v>
      </c>
      <c r="S870" s="14" t="s">
        <v>2705</v>
      </c>
    </row>
    <row r="871" spans="4:19" x14ac:dyDescent="0.2">
      <c r="D871" s="3">
        <v>870</v>
      </c>
      <c r="F871" s="3">
        <v>870</v>
      </c>
      <c r="H871" s="3">
        <v>870</v>
      </c>
      <c r="K871" s="14">
        <v>904</v>
      </c>
      <c r="R871" s="14">
        <v>81</v>
      </c>
      <c r="S871" s="14" t="s">
        <v>2706</v>
      </c>
    </row>
    <row r="872" spans="4:19" x14ac:dyDescent="0.2">
      <c r="D872" s="3">
        <v>871</v>
      </c>
      <c r="F872" s="3">
        <v>871</v>
      </c>
      <c r="H872" s="3">
        <v>871</v>
      </c>
      <c r="K872" s="14">
        <v>905</v>
      </c>
      <c r="R872" s="14">
        <v>82</v>
      </c>
      <c r="S872" s="18" t="str">
        <f ca="1">"a(an) "&amp;VLOOKUP(RANDBETWEEN(1,1384),creature,2)</f>
        <v>a(an) 4 weasel(s)</v>
      </c>
    </row>
    <row r="873" spans="4:19" x14ac:dyDescent="0.2">
      <c r="D873" s="3">
        <v>872</v>
      </c>
      <c r="F873" s="3">
        <v>872</v>
      </c>
      <c r="H873" s="3">
        <v>872</v>
      </c>
      <c r="K873" s="14">
        <v>906</v>
      </c>
    </row>
    <row r="874" spans="4:19" x14ac:dyDescent="0.2">
      <c r="D874" s="3">
        <v>873</v>
      </c>
      <c r="F874" s="3">
        <v>873</v>
      </c>
      <c r="H874" s="3">
        <v>873</v>
      </c>
      <c r="K874" s="14">
        <v>907</v>
      </c>
    </row>
    <row r="875" spans="4:19" x14ac:dyDescent="0.2">
      <c r="D875" s="3">
        <v>874</v>
      </c>
      <c r="F875" s="3">
        <v>874</v>
      </c>
      <c r="H875" s="3">
        <v>874</v>
      </c>
      <c r="K875" s="14">
        <v>908</v>
      </c>
    </row>
    <row r="876" spans="4:19" x14ac:dyDescent="0.2">
      <c r="D876" s="3">
        <v>875</v>
      </c>
      <c r="F876" s="3">
        <v>875</v>
      </c>
      <c r="H876" s="3">
        <v>875</v>
      </c>
      <c r="K876" s="14">
        <v>909</v>
      </c>
    </row>
    <row r="877" spans="4:19" x14ac:dyDescent="0.2">
      <c r="D877" s="3">
        <v>876</v>
      </c>
      <c r="F877" s="3">
        <v>876</v>
      </c>
      <c r="H877" s="3">
        <v>876</v>
      </c>
      <c r="K877" s="14">
        <v>910</v>
      </c>
    </row>
    <row r="878" spans="4:19" x14ac:dyDescent="0.2">
      <c r="D878" s="3">
        <v>877</v>
      </c>
      <c r="F878" s="3">
        <v>877</v>
      </c>
      <c r="H878" s="3">
        <v>877</v>
      </c>
      <c r="K878" s="14">
        <v>911</v>
      </c>
    </row>
    <row r="879" spans="4:19" x14ac:dyDescent="0.2">
      <c r="D879" s="3">
        <v>878</v>
      </c>
      <c r="F879" s="3">
        <v>878</v>
      </c>
      <c r="H879" s="3">
        <v>878</v>
      </c>
      <c r="K879" s="14">
        <v>912</v>
      </c>
    </row>
    <row r="880" spans="4:19" x14ac:dyDescent="0.2">
      <c r="D880" s="3">
        <v>879</v>
      </c>
      <c r="F880" s="3">
        <v>879</v>
      </c>
      <c r="H880" s="3">
        <v>879</v>
      </c>
      <c r="K880" s="14">
        <v>913</v>
      </c>
    </row>
    <row r="881" spans="4:11" x14ac:dyDescent="0.2">
      <c r="D881" s="3">
        <v>880</v>
      </c>
      <c r="F881" s="3">
        <v>880</v>
      </c>
      <c r="H881" s="3">
        <v>880</v>
      </c>
      <c r="K881" s="14">
        <v>914</v>
      </c>
    </row>
    <row r="882" spans="4:11" x14ac:dyDescent="0.2">
      <c r="D882" s="3">
        <v>881</v>
      </c>
      <c r="F882" s="3">
        <v>881</v>
      </c>
      <c r="H882" s="3">
        <v>881</v>
      </c>
      <c r="K882" s="14">
        <v>915</v>
      </c>
    </row>
    <row r="883" spans="4:11" x14ac:dyDescent="0.2">
      <c r="D883" s="3">
        <v>882</v>
      </c>
      <c r="F883" s="3">
        <v>882</v>
      </c>
      <c r="H883" s="3">
        <v>882</v>
      </c>
      <c r="K883" s="14">
        <v>916</v>
      </c>
    </row>
    <row r="884" spans="4:11" x14ac:dyDescent="0.2">
      <c r="D884" s="3">
        <v>883</v>
      </c>
      <c r="F884" s="3">
        <v>883</v>
      </c>
      <c r="H884" s="3">
        <v>883</v>
      </c>
      <c r="K884" s="14">
        <v>917</v>
      </c>
    </row>
    <row r="885" spans="4:11" x14ac:dyDescent="0.2">
      <c r="D885" s="3">
        <v>884</v>
      </c>
      <c r="F885" s="3">
        <v>884</v>
      </c>
      <c r="H885" s="3">
        <v>884</v>
      </c>
      <c r="K885" s="14">
        <v>918</v>
      </c>
    </row>
    <row r="886" spans="4:11" x14ac:dyDescent="0.2">
      <c r="D886" s="3">
        <v>885</v>
      </c>
      <c r="F886" s="3">
        <v>885</v>
      </c>
      <c r="H886" s="3">
        <v>885</v>
      </c>
      <c r="K886" s="14">
        <v>919</v>
      </c>
    </row>
    <row r="887" spans="4:11" x14ac:dyDescent="0.2">
      <c r="D887" s="3">
        <v>886</v>
      </c>
      <c r="F887" s="3">
        <v>886</v>
      </c>
      <c r="H887" s="3">
        <v>886</v>
      </c>
      <c r="K887" s="14">
        <v>920</v>
      </c>
    </row>
    <row r="888" spans="4:11" x14ac:dyDescent="0.2">
      <c r="D888" s="3">
        <v>887</v>
      </c>
      <c r="F888" s="3">
        <v>887</v>
      </c>
      <c r="H888" s="3">
        <v>887</v>
      </c>
      <c r="K888" s="14">
        <v>921</v>
      </c>
    </row>
    <row r="889" spans="4:11" x14ac:dyDescent="0.2">
      <c r="D889" s="3">
        <v>888</v>
      </c>
      <c r="F889" s="3">
        <v>888</v>
      </c>
      <c r="H889" s="3">
        <v>888</v>
      </c>
      <c r="K889" s="14">
        <v>922</v>
      </c>
    </row>
    <row r="890" spans="4:11" x14ac:dyDescent="0.2">
      <c r="D890" s="3">
        <v>889</v>
      </c>
      <c r="F890" s="3">
        <v>889</v>
      </c>
      <c r="H890" s="3">
        <v>889</v>
      </c>
      <c r="K890" s="14">
        <v>923</v>
      </c>
    </row>
    <row r="891" spans="4:11" x14ac:dyDescent="0.2">
      <c r="D891" s="3">
        <v>890</v>
      </c>
      <c r="F891" s="3">
        <v>890</v>
      </c>
      <c r="H891" s="3">
        <v>890</v>
      </c>
      <c r="K891" s="14">
        <v>924</v>
      </c>
    </row>
    <row r="892" spans="4:11" x14ac:dyDescent="0.2">
      <c r="D892" s="3">
        <v>891</v>
      </c>
      <c r="F892" s="3">
        <v>891</v>
      </c>
      <c r="H892" s="3">
        <v>891</v>
      </c>
      <c r="K892" s="14">
        <v>925</v>
      </c>
    </row>
    <row r="893" spans="4:11" x14ac:dyDescent="0.2">
      <c r="D893" s="3">
        <v>892</v>
      </c>
      <c r="F893" s="3">
        <v>892</v>
      </c>
      <c r="H893" s="3">
        <v>892</v>
      </c>
      <c r="K893" s="14">
        <v>926</v>
      </c>
    </row>
    <row r="894" spans="4:11" x14ac:dyDescent="0.2">
      <c r="D894" s="3">
        <v>893</v>
      </c>
      <c r="F894" s="3">
        <v>893</v>
      </c>
      <c r="H894" s="3">
        <v>893</v>
      </c>
      <c r="K894" s="14">
        <v>927</v>
      </c>
    </row>
    <row r="895" spans="4:11" x14ac:dyDescent="0.2">
      <c r="D895" s="3">
        <v>894</v>
      </c>
      <c r="F895" s="3">
        <v>894</v>
      </c>
      <c r="H895" s="3">
        <v>894</v>
      </c>
      <c r="K895" s="14">
        <v>928</v>
      </c>
    </row>
    <row r="896" spans="4:11" x14ac:dyDescent="0.2">
      <c r="D896" s="3">
        <v>895</v>
      </c>
      <c r="F896" s="3">
        <v>895</v>
      </c>
      <c r="H896" s="3">
        <v>895</v>
      </c>
      <c r="K896" s="14">
        <v>929</v>
      </c>
    </row>
    <row r="897" spans="4:12" x14ac:dyDescent="0.2">
      <c r="D897" s="3">
        <v>896</v>
      </c>
      <c r="F897" s="3">
        <v>896</v>
      </c>
      <c r="H897" s="3">
        <v>896</v>
      </c>
      <c r="K897" s="14">
        <v>930</v>
      </c>
    </row>
    <row r="898" spans="4:12" x14ac:dyDescent="0.2">
      <c r="D898" s="3">
        <v>897</v>
      </c>
      <c r="F898" s="3">
        <v>897</v>
      </c>
      <c r="H898" s="3">
        <v>897</v>
      </c>
      <c r="K898" s="14">
        <v>931</v>
      </c>
    </row>
    <row r="899" spans="4:12" x14ac:dyDescent="0.2">
      <c r="D899" s="3">
        <v>898</v>
      </c>
      <c r="F899" s="3">
        <v>898</v>
      </c>
      <c r="H899" s="3">
        <v>898</v>
      </c>
      <c r="K899" s="14">
        <v>932</v>
      </c>
    </row>
    <row r="900" spans="4:12" x14ac:dyDescent="0.2">
      <c r="D900" s="3">
        <v>899</v>
      </c>
      <c r="F900" s="3">
        <v>899</v>
      </c>
      <c r="H900" s="3">
        <v>899</v>
      </c>
      <c r="K900" s="14">
        <v>933</v>
      </c>
    </row>
    <row r="901" spans="4:12" x14ac:dyDescent="0.2">
      <c r="D901" s="3">
        <v>900</v>
      </c>
      <c r="F901" s="3">
        <v>900</v>
      </c>
      <c r="H901" s="3">
        <v>900</v>
      </c>
      <c r="K901" s="14">
        <v>934</v>
      </c>
    </row>
    <row r="902" spans="4:12" x14ac:dyDescent="0.2">
      <c r="D902" s="3">
        <v>901</v>
      </c>
      <c r="F902" s="3">
        <v>901</v>
      </c>
      <c r="H902" s="3">
        <v>901</v>
      </c>
      <c r="K902" s="14"/>
    </row>
    <row r="903" spans="4:12" x14ac:dyDescent="0.2">
      <c r="D903" s="3">
        <v>902</v>
      </c>
      <c r="F903" s="3">
        <v>902</v>
      </c>
      <c r="H903" s="3">
        <v>902</v>
      </c>
    </row>
    <row r="904" spans="4:12" x14ac:dyDescent="0.2">
      <c r="D904" s="3">
        <v>903</v>
      </c>
      <c r="F904" s="3">
        <v>903</v>
      </c>
      <c r="H904" s="3">
        <v>903</v>
      </c>
    </row>
    <row r="905" spans="4:12" x14ac:dyDescent="0.2">
      <c r="D905" s="3">
        <v>904</v>
      </c>
      <c r="F905" s="3">
        <v>904</v>
      </c>
      <c r="H905" s="3">
        <v>904</v>
      </c>
    </row>
    <row r="906" spans="4:12" x14ac:dyDescent="0.2">
      <c r="D906" s="3">
        <v>905</v>
      </c>
      <c r="F906" s="3">
        <v>905</v>
      </c>
      <c r="H906" s="3">
        <v>905</v>
      </c>
    </row>
    <row r="907" spans="4:12" x14ac:dyDescent="0.2">
      <c r="D907" s="3">
        <v>906</v>
      </c>
      <c r="F907" s="3">
        <v>906</v>
      </c>
      <c r="H907" s="3">
        <v>906</v>
      </c>
    </row>
    <row r="908" spans="4:12" x14ac:dyDescent="0.2">
      <c r="D908" s="3">
        <v>907</v>
      </c>
      <c r="F908" s="3">
        <v>907</v>
      </c>
      <c r="H908" s="3">
        <v>907</v>
      </c>
      <c r="L908" s="22"/>
    </row>
    <row r="909" spans="4:12" x14ac:dyDescent="0.2">
      <c r="D909" s="3">
        <v>908</v>
      </c>
      <c r="F909" s="3">
        <v>908</v>
      </c>
      <c r="H909" s="3">
        <v>908</v>
      </c>
    </row>
    <row r="910" spans="4:12" x14ac:dyDescent="0.2">
      <c r="D910" s="3">
        <v>909</v>
      </c>
      <c r="F910" s="3">
        <v>909</v>
      </c>
      <c r="H910" s="3">
        <v>909</v>
      </c>
    </row>
    <row r="911" spans="4:12" x14ac:dyDescent="0.2">
      <c r="D911" s="3">
        <v>910</v>
      </c>
      <c r="F911" s="3">
        <v>910</v>
      </c>
      <c r="H911" s="3">
        <v>910</v>
      </c>
      <c r="L911" s="22"/>
    </row>
    <row r="912" spans="4:12" x14ac:dyDescent="0.2">
      <c r="D912" s="3">
        <v>911</v>
      </c>
      <c r="F912" s="3">
        <v>911</v>
      </c>
      <c r="H912" s="3">
        <v>911</v>
      </c>
    </row>
    <row r="913" spans="4:8" x14ac:dyDescent="0.2">
      <c r="D913" s="3">
        <v>912</v>
      </c>
      <c r="F913" s="3">
        <v>912</v>
      </c>
      <c r="H913" s="3">
        <v>912</v>
      </c>
    </row>
    <row r="914" spans="4:8" x14ac:dyDescent="0.2">
      <c r="D914" s="3">
        <v>913</v>
      </c>
      <c r="F914" s="3">
        <v>913</v>
      </c>
      <c r="H914" s="3">
        <v>913</v>
      </c>
    </row>
    <row r="915" spans="4:8" x14ac:dyDescent="0.2">
      <c r="D915" s="3">
        <v>914</v>
      </c>
      <c r="F915" s="3">
        <v>914</v>
      </c>
      <c r="H915" s="3">
        <v>914</v>
      </c>
    </row>
    <row r="916" spans="4:8" x14ac:dyDescent="0.2">
      <c r="D916" s="3">
        <v>915</v>
      </c>
      <c r="F916" s="3">
        <v>915</v>
      </c>
      <c r="H916" s="3">
        <v>915</v>
      </c>
    </row>
    <row r="917" spans="4:8" x14ac:dyDescent="0.2">
      <c r="D917" s="3">
        <v>916</v>
      </c>
      <c r="F917" s="3">
        <v>916</v>
      </c>
      <c r="H917" s="3">
        <v>916</v>
      </c>
    </row>
    <row r="918" spans="4:8" x14ac:dyDescent="0.2">
      <c r="D918" s="3">
        <v>917</v>
      </c>
      <c r="F918" s="3">
        <v>917</v>
      </c>
      <c r="H918" s="3">
        <v>917</v>
      </c>
    </row>
    <row r="919" spans="4:8" x14ac:dyDescent="0.2">
      <c r="D919" s="3">
        <v>918</v>
      </c>
      <c r="F919" s="3">
        <v>918</v>
      </c>
      <c r="H919" s="3">
        <v>918</v>
      </c>
    </row>
    <row r="920" spans="4:8" x14ac:dyDescent="0.2">
      <c r="D920" s="3">
        <v>919</v>
      </c>
      <c r="F920" s="3">
        <v>919</v>
      </c>
      <c r="H920" s="3">
        <v>919</v>
      </c>
    </row>
    <row r="921" spans="4:8" x14ac:dyDescent="0.2">
      <c r="D921" s="3">
        <v>920</v>
      </c>
      <c r="F921" s="3">
        <v>920</v>
      </c>
      <c r="H921" s="3">
        <v>920</v>
      </c>
    </row>
    <row r="922" spans="4:8" x14ac:dyDescent="0.2">
      <c r="D922" s="3">
        <v>921</v>
      </c>
      <c r="F922" s="3">
        <v>921</v>
      </c>
      <c r="H922" s="3">
        <v>921</v>
      </c>
    </row>
    <row r="923" spans="4:8" x14ac:dyDescent="0.2">
      <c r="D923" s="3">
        <v>922</v>
      </c>
      <c r="F923" s="3">
        <v>922</v>
      </c>
      <c r="H923" s="3">
        <v>922</v>
      </c>
    </row>
    <row r="924" spans="4:8" x14ac:dyDescent="0.2">
      <c r="D924" s="3">
        <v>923</v>
      </c>
      <c r="F924" s="3">
        <v>923</v>
      </c>
      <c r="H924" s="3">
        <v>923</v>
      </c>
    </row>
    <row r="925" spans="4:8" x14ac:dyDescent="0.2">
      <c r="D925" s="3">
        <v>924</v>
      </c>
      <c r="F925" s="3">
        <v>924</v>
      </c>
      <c r="H925" s="3">
        <v>924</v>
      </c>
    </row>
    <row r="926" spans="4:8" x14ac:dyDescent="0.2">
      <c r="D926" s="3">
        <v>925</v>
      </c>
      <c r="F926" s="3">
        <v>925</v>
      </c>
      <c r="H926" s="3">
        <v>925</v>
      </c>
    </row>
    <row r="927" spans="4:8" x14ac:dyDescent="0.2">
      <c r="D927" s="3">
        <v>926</v>
      </c>
      <c r="F927" s="3">
        <v>926</v>
      </c>
      <c r="H927" s="3">
        <v>926</v>
      </c>
    </row>
    <row r="928" spans="4:8" x14ac:dyDescent="0.2">
      <c r="D928" s="3">
        <v>927</v>
      </c>
      <c r="F928" s="3">
        <v>927</v>
      </c>
      <c r="H928" s="3">
        <v>927</v>
      </c>
    </row>
    <row r="929" spans="4:8" x14ac:dyDescent="0.2">
      <c r="D929" s="3">
        <v>928</v>
      </c>
      <c r="F929" s="3">
        <v>928</v>
      </c>
      <c r="H929" s="3">
        <v>928</v>
      </c>
    </row>
    <row r="930" spans="4:8" x14ac:dyDescent="0.2">
      <c r="D930" s="3">
        <v>929</v>
      </c>
      <c r="F930" s="3">
        <v>929</v>
      </c>
      <c r="H930" s="3">
        <v>929</v>
      </c>
    </row>
    <row r="931" spans="4:8" x14ac:dyDescent="0.2">
      <c r="D931" s="3">
        <v>930</v>
      </c>
      <c r="F931" s="3">
        <v>930</v>
      </c>
      <c r="H931" s="3">
        <v>930</v>
      </c>
    </row>
    <row r="932" spans="4:8" x14ac:dyDescent="0.2">
      <c r="D932" s="3">
        <v>931</v>
      </c>
      <c r="F932" s="3">
        <v>931</v>
      </c>
      <c r="H932" s="3">
        <v>931</v>
      </c>
    </row>
    <row r="933" spans="4:8" x14ac:dyDescent="0.2">
      <c r="D933" s="3">
        <v>932</v>
      </c>
      <c r="F933" s="3">
        <v>932</v>
      </c>
      <c r="H933" s="3">
        <v>932</v>
      </c>
    </row>
    <row r="934" spans="4:8" x14ac:dyDescent="0.2">
      <c r="D934" s="3">
        <v>933</v>
      </c>
      <c r="F934" s="3">
        <v>933</v>
      </c>
      <c r="H934" s="3">
        <v>933</v>
      </c>
    </row>
    <row r="935" spans="4:8" x14ac:dyDescent="0.2">
      <c r="D935" s="3">
        <v>934</v>
      </c>
      <c r="F935" s="3">
        <v>934</v>
      </c>
      <c r="H935" s="3">
        <v>934</v>
      </c>
    </row>
    <row r="936" spans="4:8" x14ac:dyDescent="0.2">
      <c r="D936" s="3">
        <v>935</v>
      </c>
      <c r="F936" s="3">
        <v>935</v>
      </c>
      <c r="H936" s="3">
        <v>935</v>
      </c>
    </row>
    <row r="937" spans="4:8" x14ac:dyDescent="0.2">
      <c r="D937" s="3">
        <v>936</v>
      </c>
      <c r="F937" s="3">
        <v>936</v>
      </c>
      <c r="H937" s="3">
        <v>936</v>
      </c>
    </row>
    <row r="938" spans="4:8" x14ac:dyDescent="0.2">
      <c r="D938" s="3">
        <v>937</v>
      </c>
      <c r="F938" s="3">
        <v>937</v>
      </c>
      <c r="H938" s="3">
        <v>937</v>
      </c>
    </row>
    <row r="939" spans="4:8" x14ac:dyDescent="0.2">
      <c r="D939" s="3">
        <v>938</v>
      </c>
      <c r="F939" s="3">
        <v>938</v>
      </c>
      <c r="H939" s="3">
        <v>938</v>
      </c>
    </row>
    <row r="940" spans="4:8" x14ac:dyDescent="0.2">
      <c r="D940" s="3">
        <v>939</v>
      </c>
      <c r="F940" s="3">
        <v>939</v>
      </c>
      <c r="H940" s="3">
        <v>939</v>
      </c>
    </row>
    <row r="941" spans="4:8" x14ac:dyDescent="0.2">
      <c r="D941" s="3">
        <v>940</v>
      </c>
      <c r="F941" s="3">
        <v>940</v>
      </c>
      <c r="H941" s="3">
        <v>940</v>
      </c>
    </row>
    <row r="942" spans="4:8" x14ac:dyDescent="0.2">
      <c r="D942" s="3">
        <v>941</v>
      </c>
      <c r="F942" s="3">
        <v>941</v>
      </c>
      <c r="H942" s="3">
        <v>941</v>
      </c>
    </row>
    <row r="943" spans="4:8" x14ac:dyDescent="0.2">
      <c r="D943" s="3">
        <v>942</v>
      </c>
      <c r="F943" s="3">
        <v>942</v>
      </c>
      <c r="H943" s="3">
        <v>942</v>
      </c>
    </row>
    <row r="944" spans="4:8" x14ac:dyDescent="0.2">
      <c r="D944" s="3">
        <v>943</v>
      </c>
      <c r="F944" s="3">
        <v>943</v>
      </c>
      <c r="H944" s="3">
        <v>943</v>
      </c>
    </row>
    <row r="945" spans="4:8" x14ac:dyDescent="0.2">
      <c r="D945" s="3">
        <v>944</v>
      </c>
      <c r="F945" s="3">
        <v>944</v>
      </c>
      <c r="H945" s="3">
        <v>944</v>
      </c>
    </row>
    <row r="946" spans="4:8" x14ac:dyDescent="0.2">
      <c r="D946" s="3">
        <v>945</v>
      </c>
      <c r="F946" s="3">
        <v>945</v>
      </c>
      <c r="H946" s="3">
        <v>945</v>
      </c>
    </row>
    <row r="947" spans="4:8" x14ac:dyDescent="0.2">
      <c r="D947" s="3">
        <v>946</v>
      </c>
      <c r="F947" s="3">
        <v>946</v>
      </c>
      <c r="H947" s="3">
        <v>946</v>
      </c>
    </row>
    <row r="948" spans="4:8" x14ac:dyDescent="0.2">
      <c r="D948" s="3">
        <v>947</v>
      </c>
      <c r="F948" s="3">
        <v>947</v>
      </c>
      <c r="H948" s="3">
        <v>947</v>
      </c>
    </row>
    <row r="949" spans="4:8" x14ac:dyDescent="0.2">
      <c r="D949" s="3">
        <v>948</v>
      </c>
      <c r="F949" s="3">
        <v>948</v>
      </c>
      <c r="H949" s="3">
        <v>948</v>
      </c>
    </row>
    <row r="950" spans="4:8" x14ac:dyDescent="0.2">
      <c r="D950" s="3">
        <v>949</v>
      </c>
      <c r="F950" s="3">
        <v>949</v>
      </c>
      <c r="H950" s="3">
        <v>949</v>
      </c>
    </row>
    <row r="951" spans="4:8" x14ac:dyDescent="0.2">
      <c r="D951" s="3">
        <v>950</v>
      </c>
      <c r="F951" s="3">
        <v>950</v>
      </c>
      <c r="H951" s="3">
        <v>950</v>
      </c>
    </row>
    <row r="952" spans="4:8" x14ac:dyDescent="0.2">
      <c r="D952" s="3">
        <v>951</v>
      </c>
      <c r="F952" s="3">
        <v>951</v>
      </c>
      <c r="H952" s="3">
        <v>951</v>
      </c>
    </row>
    <row r="953" spans="4:8" x14ac:dyDescent="0.2">
      <c r="D953" s="3">
        <v>952</v>
      </c>
      <c r="F953" s="3">
        <v>952</v>
      </c>
      <c r="H953" s="3">
        <v>952</v>
      </c>
    </row>
    <row r="954" spans="4:8" x14ac:dyDescent="0.2">
      <c r="D954" s="3">
        <v>953</v>
      </c>
      <c r="F954" s="3">
        <v>953</v>
      </c>
      <c r="H954" s="3">
        <v>953</v>
      </c>
    </row>
    <row r="955" spans="4:8" x14ac:dyDescent="0.2">
      <c r="D955" s="3">
        <v>954</v>
      </c>
      <c r="F955" s="3">
        <v>954</v>
      </c>
      <c r="H955" s="3">
        <v>954</v>
      </c>
    </row>
    <row r="956" spans="4:8" x14ac:dyDescent="0.2">
      <c r="D956" s="3">
        <v>955</v>
      </c>
      <c r="F956" s="3">
        <v>955</v>
      </c>
      <c r="H956" s="3">
        <v>955</v>
      </c>
    </row>
    <row r="957" spans="4:8" x14ac:dyDescent="0.2">
      <c r="D957" s="3">
        <v>956</v>
      </c>
      <c r="F957" s="3">
        <v>956</v>
      </c>
      <c r="H957" s="3">
        <v>956</v>
      </c>
    </row>
    <row r="958" spans="4:8" x14ac:dyDescent="0.2">
      <c r="D958" s="3">
        <v>957</v>
      </c>
      <c r="F958" s="3">
        <v>957</v>
      </c>
      <c r="H958" s="3">
        <v>957</v>
      </c>
    </row>
    <row r="959" spans="4:8" x14ac:dyDescent="0.2">
      <c r="D959" s="3">
        <v>958</v>
      </c>
      <c r="F959" s="3">
        <v>958</v>
      </c>
      <c r="H959" s="3">
        <v>958</v>
      </c>
    </row>
    <row r="960" spans="4:8" x14ac:dyDescent="0.2">
      <c r="D960" s="3">
        <v>959</v>
      </c>
      <c r="F960" s="3">
        <v>959</v>
      </c>
      <c r="H960" s="3">
        <v>959</v>
      </c>
    </row>
    <row r="961" spans="4:8" x14ac:dyDescent="0.2">
      <c r="D961" s="3">
        <v>960</v>
      </c>
      <c r="F961" s="3">
        <v>960</v>
      </c>
      <c r="H961" s="3">
        <v>960</v>
      </c>
    </row>
    <row r="962" spans="4:8" x14ac:dyDescent="0.2">
      <c r="D962" s="3">
        <v>961</v>
      </c>
      <c r="F962" s="3">
        <v>961</v>
      </c>
      <c r="H962" s="3">
        <v>961</v>
      </c>
    </row>
    <row r="963" spans="4:8" x14ac:dyDescent="0.2">
      <c r="D963" s="3">
        <v>962</v>
      </c>
      <c r="F963" s="3">
        <v>962</v>
      </c>
      <c r="H963" s="3">
        <v>962</v>
      </c>
    </row>
    <row r="964" spans="4:8" x14ac:dyDescent="0.2">
      <c r="D964" s="3">
        <v>963</v>
      </c>
      <c r="F964" s="3">
        <v>963</v>
      </c>
      <c r="H964" s="3">
        <v>963</v>
      </c>
    </row>
    <row r="965" spans="4:8" x14ac:dyDescent="0.2">
      <c r="D965" s="3">
        <v>964</v>
      </c>
      <c r="F965" s="3">
        <v>964</v>
      </c>
      <c r="H965" s="3">
        <v>964</v>
      </c>
    </row>
    <row r="966" spans="4:8" x14ac:dyDescent="0.2">
      <c r="D966" s="3">
        <v>965</v>
      </c>
      <c r="F966" s="3">
        <v>965</v>
      </c>
      <c r="H966" s="3">
        <v>965</v>
      </c>
    </row>
    <row r="967" spans="4:8" x14ac:dyDescent="0.2">
      <c r="D967" s="3">
        <v>966</v>
      </c>
      <c r="F967" s="3">
        <v>966</v>
      </c>
      <c r="H967" s="3">
        <v>966</v>
      </c>
    </row>
    <row r="968" spans="4:8" x14ac:dyDescent="0.2">
      <c r="D968" s="3">
        <v>967</v>
      </c>
      <c r="F968" s="3">
        <v>967</v>
      </c>
      <c r="H968" s="3">
        <v>967</v>
      </c>
    </row>
    <row r="969" spans="4:8" x14ac:dyDescent="0.2">
      <c r="D969" s="3">
        <v>968</v>
      </c>
      <c r="F969" s="3">
        <v>968</v>
      </c>
      <c r="H969" s="3">
        <v>968</v>
      </c>
    </row>
    <row r="970" spans="4:8" x14ac:dyDescent="0.2">
      <c r="D970" s="3">
        <v>969</v>
      </c>
      <c r="F970" s="3">
        <v>969</v>
      </c>
      <c r="H970" s="3">
        <v>969</v>
      </c>
    </row>
    <row r="971" spans="4:8" x14ac:dyDescent="0.2">
      <c r="D971" s="3">
        <v>970</v>
      </c>
      <c r="F971" s="3">
        <v>970</v>
      </c>
      <c r="H971" s="3">
        <v>970</v>
      </c>
    </row>
    <row r="972" spans="4:8" x14ac:dyDescent="0.2">
      <c r="D972" s="3">
        <v>971</v>
      </c>
      <c r="F972" s="3">
        <v>971</v>
      </c>
      <c r="H972" s="3">
        <v>971</v>
      </c>
    </row>
    <row r="973" spans="4:8" x14ac:dyDescent="0.2">
      <c r="D973" s="3">
        <v>972</v>
      </c>
      <c r="F973" s="3">
        <v>972</v>
      </c>
      <c r="H973" s="3">
        <v>972</v>
      </c>
    </row>
    <row r="974" spans="4:8" x14ac:dyDescent="0.2">
      <c r="D974" s="3">
        <v>973</v>
      </c>
      <c r="F974" s="3">
        <v>973</v>
      </c>
      <c r="H974" s="3">
        <v>973</v>
      </c>
    </row>
    <row r="975" spans="4:8" x14ac:dyDescent="0.2">
      <c r="D975" s="3">
        <v>974</v>
      </c>
      <c r="F975" s="3">
        <v>974</v>
      </c>
      <c r="H975" s="3">
        <v>974</v>
      </c>
    </row>
    <row r="976" spans="4:8" x14ac:dyDescent="0.2">
      <c r="D976" s="3">
        <v>975</v>
      </c>
      <c r="F976" s="3">
        <v>975</v>
      </c>
      <c r="H976" s="3">
        <v>975</v>
      </c>
    </row>
    <row r="977" spans="4:8" x14ac:dyDescent="0.2">
      <c r="D977" s="3">
        <v>976</v>
      </c>
      <c r="F977" s="3">
        <v>976</v>
      </c>
      <c r="H977" s="3">
        <v>976</v>
      </c>
    </row>
    <row r="978" spans="4:8" x14ac:dyDescent="0.2">
      <c r="D978" s="3">
        <v>977</v>
      </c>
      <c r="F978" s="3">
        <v>977</v>
      </c>
      <c r="H978" s="3">
        <v>977</v>
      </c>
    </row>
    <row r="979" spans="4:8" x14ac:dyDescent="0.2">
      <c r="D979" s="3">
        <v>978</v>
      </c>
      <c r="F979" s="3">
        <v>978</v>
      </c>
      <c r="H979" s="3">
        <v>978</v>
      </c>
    </row>
    <row r="980" spans="4:8" x14ac:dyDescent="0.2">
      <c r="D980" s="3">
        <v>979</v>
      </c>
      <c r="F980" s="3">
        <v>979</v>
      </c>
      <c r="H980" s="3">
        <v>979</v>
      </c>
    </row>
    <row r="981" spans="4:8" x14ac:dyDescent="0.2">
      <c r="D981" s="3">
        <v>980</v>
      </c>
      <c r="F981" s="3">
        <v>980</v>
      </c>
      <c r="H981" s="3">
        <v>980</v>
      </c>
    </row>
    <row r="982" spans="4:8" x14ac:dyDescent="0.2">
      <c r="D982" s="3">
        <v>981</v>
      </c>
      <c r="F982" s="3">
        <v>981</v>
      </c>
      <c r="H982" s="3">
        <v>981</v>
      </c>
    </row>
    <row r="983" spans="4:8" x14ac:dyDescent="0.2">
      <c r="D983" s="3">
        <v>982</v>
      </c>
      <c r="F983" s="3">
        <v>982</v>
      </c>
      <c r="H983" s="3">
        <v>982</v>
      </c>
    </row>
    <row r="984" spans="4:8" x14ac:dyDescent="0.2">
      <c r="D984" s="3">
        <v>983</v>
      </c>
      <c r="F984" s="3">
        <v>983</v>
      </c>
      <c r="H984" s="3">
        <v>983</v>
      </c>
    </row>
    <row r="985" spans="4:8" x14ac:dyDescent="0.2">
      <c r="D985" s="3">
        <v>984</v>
      </c>
      <c r="F985" s="3">
        <v>984</v>
      </c>
      <c r="H985" s="3">
        <v>984</v>
      </c>
    </row>
    <row r="986" spans="4:8" x14ac:dyDescent="0.2">
      <c r="D986" s="3">
        <v>985</v>
      </c>
      <c r="F986" s="3">
        <v>985</v>
      </c>
      <c r="H986" s="3">
        <v>985</v>
      </c>
    </row>
    <row r="987" spans="4:8" x14ac:dyDescent="0.2">
      <c r="D987" s="3">
        <v>986</v>
      </c>
      <c r="F987" s="3">
        <v>986</v>
      </c>
      <c r="H987" s="3">
        <v>986</v>
      </c>
    </row>
    <row r="988" spans="4:8" x14ac:dyDescent="0.2">
      <c r="D988" s="3">
        <v>987</v>
      </c>
      <c r="F988" s="3">
        <v>987</v>
      </c>
      <c r="H988" s="3">
        <v>987</v>
      </c>
    </row>
    <row r="989" spans="4:8" x14ac:dyDescent="0.2">
      <c r="D989" s="3">
        <v>988</v>
      </c>
      <c r="F989" s="3">
        <v>988</v>
      </c>
      <c r="H989" s="3">
        <v>988</v>
      </c>
    </row>
    <row r="990" spans="4:8" x14ac:dyDescent="0.2">
      <c r="D990" s="3">
        <v>989</v>
      </c>
      <c r="F990" s="3">
        <v>989</v>
      </c>
      <c r="H990" s="3">
        <v>989</v>
      </c>
    </row>
    <row r="991" spans="4:8" x14ac:dyDescent="0.2">
      <c r="D991" s="3">
        <v>990</v>
      </c>
      <c r="F991" s="3">
        <v>990</v>
      </c>
      <c r="H991" s="3">
        <v>990</v>
      </c>
    </row>
    <row r="992" spans="4:8" x14ac:dyDescent="0.2">
      <c r="D992" s="3">
        <v>991</v>
      </c>
      <c r="F992" s="3">
        <v>991</v>
      </c>
      <c r="H992" s="3">
        <v>991</v>
      </c>
    </row>
    <row r="993" spans="3:15" x14ac:dyDescent="0.2">
      <c r="D993" s="3">
        <v>992</v>
      </c>
      <c r="F993" s="3">
        <v>992</v>
      </c>
      <c r="H993" s="3">
        <v>992</v>
      </c>
    </row>
    <row r="994" spans="3:15" x14ac:dyDescent="0.2">
      <c r="D994" s="3">
        <v>993</v>
      </c>
      <c r="F994" s="3">
        <v>993</v>
      </c>
      <c r="H994" s="3">
        <v>993</v>
      </c>
    </row>
    <row r="995" spans="3:15" x14ac:dyDescent="0.2">
      <c r="D995" s="3">
        <v>994</v>
      </c>
      <c r="F995" s="3">
        <v>994</v>
      </c>
      <c r="H995" s="3">
        <v>994</v>
      </c>
    </row>
    <row r="996" spans="3:15" x14ac:dyDescent="0.2">
      <c r="D996" s="3">
        <v>995</v>
      </c>
      <c r="F996" s="3">
        <v>995</v>
      </c>
      <c r="H996" s="3">
        <v>995</v>
      </c>
    </row>
    <row r="997" spans="3:15" x14ac:dyDescent="0.2">
      <c r="D997" s="3">
        <v>996</v>
      </c>
      <c r="F997" s="3">
        <v>996</v>
      </c>
      <c r="H997" s="3">
        <v>996</v>
      </c>
    </row>
    <row r="998" spans="3:15" x14ac:dyDescent="0.2">
      <c r="D998" s="3">
        <v>997</v>
      </c>
      <c r="F998" s="3">
        <v>997</v>
      </c>
      <c r="H998" s="3">
        <v>997</v>
      </c>
    </row>
    <row r="999" spans="3:15" x14ac:dyDescent="0.2">
      <c r="D999" s="3">
        <v>998</v>
      </c>
      <c r="F999" s="3">
        <v>998</v>
      </c>
      <c r="H999" s="3">
        <v>998</v>
      </c>
    </row>
    <row r="1000" spans="3:15" x14ac:dyDescent="0.2">
      <c r="D1000" s="3">
        <v>999</v>
      </c>
      <c r="F1000" s="3">
        <v>999</v>
      </c>
      <c r="H1000" s="3">
        <v>999</v>
      </c>
    </row>
    <row r="1001" spans="3:15" x14ac:dyDescent="0.2">
      <c r="D1001" s="3">
        <v>1000</v>
      </c>
      <c r="F1001" s="3">
        <v>1000</v>
      </c>
      <c r="H1001" s="3">
        <v>1000</v>
      </c>
    </row>
    <row r="1005" spans="3:15" ht="94.5" x14ac:dyDescent="0.2">
      <c r="C1005" s="43">
        <f ca="1">(RANDBETWEEN(1,36))</f>
        <v>33</v>
      </c>
      <c r="D1005" s="3">
        <v>1</v>
      </c>
      <c r="E1005" s="3" t="s">
        <v>416</v>
      </c>
    </row>
    <row r="1006" spans="3:15" ht="126" x14ac:dyDescent="0.2">
      <c r="D1006" s="3">
        <v>2</v>
      </c>
      <c r="E1006" s="3" t="s">
        <v>268</v>
      </c>
    </row>
    <row r="1007" spans="3:15" ht="220.5" x14ac:dyDescent="0.2">
      <c r="D1007" s="3">
        <v>3</v>
      </c>
      <c r="E1007" s="3" t="s">
        <v>260</v>
      </c>
      <c r="O1007" s="7"/>
    </row>
    <row r="1008" spans="3:15" ht="173.25" x14ac:dyDescent="0.2">
      <c r="D1008" s="3">
        <v>4</v>
      </c>
      <c r="E1008" s="3" t="s">
        <v>84</v>
      </c>
    </row>
    <row r="1009" spans="4:5" ht="236.25" x14ac:dyDescent="0.2">
      <c r="D1009" s="3">
        <v>5</v>
      </c>
      <c r="E1009" s="3" t="s">
        <v>161</v>
      </c>
    </row>
    <row r="1010" spans="4:5" ht="110.25" x14ac:dyDescent="0.2">
      <c r="D1010" s="3">
        <v>6</v>
      </c>
      <c r="E1010" s="3" t="s">
        <v>635</v>
      </c>
    </row>
    <row r="1011" spans="4:5" ht="110.25" x14ac:dyDescent="0.2">
      <c r="D1011" s="3">
        <v>7</v>
      </c>
      <c r="E1011" s="3" t="s">
        <v>85</v>
      </c>
    </row>
    <row r="1012" spans="4:5" ht="126" x14ac:dyDescent="0.2">
      <c r="D1012" s="3">
        <v>8</v>
      </c>
      <c r="E1012" s="8" t="str">
        <f ca="1">Tables!E1103&amp;" Any hombre using the rope to cross will be attacked by "&amp;RANDBETWEEN(2,6)&amp;" wall crawlers by day or "&amp;RANDBETWEEN(2,6)&amp;" Devil Bats at night."</f>
        <v>The Posse is trekking through the wilderness and come to a ravine. A wooden-rope bridge once spanned the chasm, but now only one side of the bridge remains--basically two ropes, one 3 feet above the other spanning the gulf.  The Posse can go around, but it will add a day or two to their trek. They can scale down into the ravine, but are faced with the prospect of crossing the raging river that runs thru it. Any hombre using the rope to cross will be attacked by 3 wall crawlers by day or 4 Devil Bats at night.</v>
      </c>
    </row>
    <row r="1013" spans="4:5" ht="141.75" x14ac:dyDescent="0.2">
      <c r="D1013" s="3">
        <v>9</v>
      </c>
      <c r="E1013" s="8" t="str">
        <f ca="1">Tables!E1104&amp;RANDBETWEEN(2,6)&amp;" Wall Crawlers will attack. Beating off an attack while scattered over 200 vertical feet of rock will certainly add a certain level of tension!"</f>
        <v>The Posse comes to a rocky crevasse.  While not impassable, it will require careful navigation. The crevasse is the home of a small collection Wall Crawlers.  The encounter should only appear to be a technical challenge, clambering up and down rocks, transporting their gear without breakage, etc. The whole time that they are engaged in this, they are being watched, and when they are at their most vulnerable 2 Wall Crawlers will attack. Beating off an attack while scattered over 200 vertical feet of rock will certainly add a certain level of tension!</v>
      </c>
    </row>
    <row r="1014" spans="4:5" ht="110.25" x14ac:dyDescent="0.2">
      <c r="D1014" s="3">
        <v>10</v>
      </c>
      <c r="E1014" s="8" t="s">
        <v>262</v>
      </c>
    </row>
    <row r="1015" spans="4:5" ht="110.25" x14ac:dyDescent="0.2">
      <c r="D1015" s="3">
        <v>11</v>
      </c>
      <c r="E1015" s="8" t="s">
        <v>160</v>
      </c>
    </row>
    <row r="1016" spans="4:5" ht="94.5" x14ac:dyDescent="0.2">
      <c r="D1016" s="3">
        <v>12</v>
      </c>
      <c r="E1016" s="8" t="s">
        <v>167</v>
      </c>
    </row>
    <row r="1017" spans="4:5" ht="126" x14ac:dyDescent="0.2">
      <c r="D1017" s="3">
        <v>13</v>
      </c>
      <c r="E1017" s="8" t="s">
        <v>187</v>
      </c>
    </row>
    <row r="1018" spans="4:5" ht="110.25" x14ac:dyDescent="0.2">
      <c r="D1018" s="3">
        <v>14</v>
      </c>
      <c r="E1018" s="8" t="s">
        <v>198</v>
      </c>
    </row>
    <row r="1019" spans="4:5" ht="110.25" x14ac:dyDescent="0.2">
      <c r="D1019" s="3">
        <v>15</v>
      </c>
      <c r="E1019" s="8" t="s">
        <v>86</v>
      </c>
    </row>
    <row r="1020" spans="4:5" ht="94.5" x14ac:dyDescent="0.2">
      <c r="D1020" s="3">
        <v>16</v>
      </c>
      <c r="E1020" s="2" t="s">
        <v>259</v>
      </c>
    </row>
    <row r="1021" spans="4:5" ht="141.75" x14ac:dyDescent="0.2">
      <c r="D1021" s="3">
        <v>17</v>
      </c>
      <c r="E1021" s="1" t="s">
        <v>265</v>
      </c>
    </row>
    <row r="1022" spans="4:5" ht="204.75" x14ac:dyDescent="0.2">
      <c r="D1022" s="3">
        <v>18</v>
      </c>
      <c r="E1022" s="3" t="s">
        <v>308</v>
      </c>
    </row>
    <row r="1023" spans="4:5" ht="189" x14ac:dyDescent="0.2">
      <c r="D1023" s="3">
        <v>19</v>
      </c>
      <c r="E1023" s="3" t="s">
        <v>248</v>
      </c>
    </row>
    <row r="1024" spans="4:5" ht="141.75" x14ac:dyDescent="0.2">
      <c r="D1024" s="3">
        <v>20</v>
      </c>
      <c r="E1024" s="3" t="s">
        <v>257</v>
      </c>
    </row>
    <row r="1025" spans="4:5" ht="157.5" x14ac:dyDescent="0.2">
      <c r="D1025" s="3">
        <v>21</v>
      </c>
      <c r="E1025" s="3" t="s">
        <v>258</v>
      </c>
    </row>
    <row r="1026" spans="4:5" ht="94.5" x14ac:dyDescent="0.2">
      <c r="D1026" s="3">
        <v>22</v>
      </c>
      <c r="E1026" s="3" t="s">
        <v>244</v>
      </c>
    </row>
    <row r="1027" spans="4:5" ht="141.75" x14ac:dyDescent="0.2">
      <c r="D1027" s="3">
        <v>23</v>
      </c>
      <c r="E1027" s="3" t="s">
        <v>431</v>
      </c>
    </row>
    <row r="1028" spans="4:5" ht="252" x14ac:dyDescent="0.2">
      <c r="D1028" s="3">
        <v>24</v>
      </c>
      <c r="E1028" s="3" t="s">
        <v>264</v>
      </c>
    </row>
    <row r="1029" spans="4:5" ht="157.5" x14ac:dyDescent="0.2">
      <c r="D1029" s="3">
        <v>25</v>
      </c>
      <c r="E1029" s="3" t="s">
        <v>242</v>
      </c>
    </row>
    <row r="1030" spans="4:5" ht="110.25" x14ac:dyDescent="0.2">
      <c r="D1030" s="3">
        <v>26</v>
      </c>
      <c r="E1030" s="3" t="s">
        <v>243</v>
      </c>
    </row>
    <row r="1031" spans="4:5" ht="94.5" x14ac:dyDescent="0.2">
      <c r="D1031" s="3">
        <v>27</v>
      </c>
      <c r="E1031" s="3" t="s">
        <v>307</v>
      </c>
    </row>
    <row r="1032" spans="4:5" ht="94.5" x14ac:dyDescent="0.2">
      <c r="D1032" s="3">
        <v>28</v>
      </c>
      <c r="E1032" s="3" t="s">
        <v>87</v>
      </c>
    </row>
    <row r="1033" spans="4:5" ht="110.25" x14ac:dyDescent="0.2">
      <c r="D1033" s="3">
        <v>29</v>
      </c>
      <c r="E1033" s="3" t="str">
        <f ca="1">"The Posse hears some groans of pain coming from some brush nearby. If investigated they will find an old man, who's dying from a shotgun wound to the guts, with his last ounce of life he gives the Posse a map and tells them that its the Lost "&amp;VLOOKUP(RANDBETWEEN(1,83),NAME,2)&amp;" Ghost Rock mine, then he gives up the ghost. The old man in reality is a well preserved walking dead and the map leads to an old played out mine with other undead waiting to ambush the Posse."</f>
        <v>The Posse hears some groans of pain coming from some brush nearby. If investigated they will find an old man, who's dying from a shotgun wound to the guts, with his last ounce of life he gives the Posse a map and tells them that its the Lost McDuffie Ghost Rock mine, then he gives up the ghost. The old man in reality is a well preserved walking dead and the map leads to an old played out mine with other undead waiting to ambush the Posse.</v>
      </c>
    </row>
    <row r="1034" spans="4:5" ht="94.5" x14ac:dyDescent="0.2">
      <c r="D1034" s="3">
        <v>30</v>
      </c>
      <c r="E1034" s="3" t="s">
        <v>138</v>
      </c>
    </row>
    <row r="1035" spans="4:5" ht="94.5" x14ac:dyDescent="0.2">
      <c r="D1035" s="3">
        <v>31</v>
      </c>
      <c r="E1035" s="3" t="s">
        <v>139</v>
      </c>
    </row>
    <row r="1036" spans="4:5" ht="189" x14ac:dyDescent="0.2">
      <c r="D1036" s="3">
        <v>32</v>
      </c>
      <c r="E1036" s="3" t="str">
        <f ca="1">"The Posse sees a large tree in the distance, and closer inspection reveals that there are "&amp;RANDBETWEEN(2,8)&amp;" corpses that have been hanged in it.  "&amp;Tables!E1105</f>
        <v>The Posse sees a large tree in the distance, and closer inspection reveals that there are 3 corpses that have been hanged in it.  Curious types may try to investigate further, and that’s where the fun begins. As the Posse approaches, the tree makes sneak rolls and uses its "tendrils" to loop around the Posse's ankles, and once it has them in the air, makes fightin' rolls to loop their necks.  If the Posse notices something strange before the tree attacks {like several sorts of weapons littering the ground around the tree from previous victims} and backs off, the tree will start to flail at the Posse with the "nooses" and hit them with the "corpses." Further, it can throw bodies of prior victims at the Posse from a distance, which being walkin' dead, can then pursue the Posse further.</v>
      </c>
    </row>
    <row r="1037" spans="4:5" ht="157.5" x14ac:dyDescent="0.2">
      <c r="D1037" s="3">
        <v>33</v>
      </c>
      <c r="E1037" s="3" t="s">
        <v>345</v>
      </c>
    </row>
    <row r="1038" spans="4:5" ht="110.25" x14ac:dyDescent="0.2">
      <c r="D1038" s="3">
        <v>34</v>
      </c>
      <c r="E1038" s="3" t="s">
        <v>41</v>
      </c>
    </row>
    <row r="1039" spans="4:5" ht="126" x14ac:dyDescent="0.2">
      <c r="D1039" s="3">
        <v>35</v>
      </c>
      <c r="E1039" s="3" t="str">
        <f ca="1">"Indian Burial Ground:  Off to the "&amp;VLOOKUP(RANDBETWEEN(1,4),Compas,2)&amp;" several mounds decorated with totems dot the horizon.  Upon further investigation the Posse finds that some of the graves have been desecrated.  If they investigate for more than 2 minutes voices may be heard crying in the wind."&amp;Tables!E1106</f>
        <v>Indian Burial Ground:  Off to the east several mounds decorated with totems dot the horizon.  Upon further investigation the Posse finds that some of the graves have been desecrated.  If they investigate for more than 2 minutes voices may be heard crying in the wind.  If there is a Indian among them he/she hears the “ancestors” cry for vengeance and is compelled to recover the Warriors’ remains {Spirit v. 3} and return them to their restin’ place {as a one point Obligation}…</v>
      </c>
    </row>
    <row r="1040" spans="4:5" ht="78.75" x14ac:dyDescent="0.2">
      <c r="D1040" s="3">
        <v>36</v>
      </c>
      <c r="E1040" s="2" t="s">
        <v>252</v>
      </c>
    </row>
    <row r="1041" spans="4:14" ht="94.5" x14ac:dyDescent="0.2">
      <c r="D1041" s="3">
        <v>37</v>
      </c>
      <c r="E1041" s="18" t="str">
        <f ca="1">"The Posse comes across a traiding caravan of "&amp;RANDBETWEEN(2,12)&amp;" wagons with three persons per wagon, "&amp;RANDBETWEEN(2,8)&amp;" are armed. They are selling the following: "&amp;VLOOKUP(RANDBETWEEN(1,50),store,2)&amp;", "&amp;VLOOKUP(RANDBETWEEN(1,50),store,2)&amp;", "&amp;VLOOKUP(RANDBETWEEN(1,50),store,2)&amp;", "&amp;VLOOKUP(RANDBETWEEN(1,100),DIME,2)&amp;", "&amp;VLOOKUP(RANDBETWEEN(1,100),DIME,2)&amp;", "&amp;VLOOKUP(RANDBETWEEN(1,4413),BOOK,2)&amp;", "&amp;VLOOKUP(RANDBETWEEN(1,4413),BOOK,2)&amp;", "&amp;VLOOKUP(RANDBETWEEN(1,20),stuff,2)&amp;" &amp; "&amp;VLOOKUP(RANDBETWEEN(1,20),things,2)&amp;"."</f>
        <v>The Posse comes across a traiding caravan of 12 wagons with three persons per wagon, 2 are armed. They are selling the following: weapon cleaning kit {$5.09}, beer {$0.08}, hats {$1.86}, Canyon o' Doom , Isaac Stone Meets Dr. Ross' Talking Ape, Volume 1, Issue 5, The Hunchback of Notre-Dame, by Victor Hugo {1831} , The Hunchback of Notre-Dame, by Victor Hugo {1831} , hatchet &amp; bowie knife.</v>
      </c>
    </row>
    <row r="1042" spans="4:14" x14ac:dyDescent="0.2">
      <c r="D1042" s="3">
        <v>38</v>
      </c>
    </row>
    <row r="1043" spans="4:14" x14ac:dyDescent="0.2">
      <c r="D1043" s="3">
        <v>39</v>
      </c>
      <c r="N1043" s="7"/>
    </row>
    <row r="1044" spans="4:14" x14ac:dyDescent="0.2">
      <c r="D1044" s="3">
        <v>40</v>
      </c>
      <c r="N1044" s="7"/>
    </row>
    <row r="1045" spans="4:14" x14ac:dyDescent="0.2">
      <c r="D1045" s="3">
        <v>41</v>
      </c>
      <c r="N1045" s="7"/>
    </row>
    <row r="1046" spans="4:14" x14ac:dyDescent="0.2">
      <c r="D1046" s="3">
        <v>42</v>
      </c>
      <c r="N1046" s="7"/>
    </row>
    <row r="1047" spans="4:14" x14ac:dyDescent="0.2">
      <c r="D1047" s="3">
        <v>43</v>
      </c>
      <c r="N1047" s="7"/>
    </row>
    <row r="1048" spans="4:14" x14ac:dyDescent="0.2">
      <c r="D1048" s="3">
        <v>44</v>
      </c>
      <c r="N1048" s="7"/>
    </row>
    <row r="1049" spans="4:14" x14ac:dyDescent="0.2">
      <c r="D1049" s="3">
        <v>45</v>
      </c>
      <c r="N1049" s="7"/>
    </row>
    <row r="1050" spans="4:14" x14ac:dyDescent="0.2">
      <c r="D1050" s="3">
        <v>46</v>
      </c>
      <c r="N1050" s="7"/>
    </row>
    <row r="1051" spans="4:14" x14ac:dyDescent="0.2">
      <c r="D1051" s="3">
        <v>47</v>
      </c>
      <c r="N1051" s="7"/>
    </row>
    <row r="1052" spans="4:14" x14ac:dyDescent="0.2">
      <c r="D1052" s="3">
        <v>48</v>
      </c>
      <c r="N1052" s="7"/>
    </row>
    <row r="1053" spans="4:14" x14ac:dyDescent="0.2">
      <c r="D1053" s="3">
        <v>49</v>
      </c>
      <c r="N1053" s="7"/>
    </row>
    <row r="1054" spans="4:14" x14ac:dyDescent="0.2">
      <c r="D1054" s="3">
        <v>50</v>
      </c>
      <c r="N1054" s="7"/>
    </row>
    <row r="1055" spans="4:14" x14ac:dyDescent="0.2">
      <c r="D1055" s="3">
        <v>51</v>
      </c>
      <c r="N1055" s="7"/>
    </row>
    <row r="1056" spans="4:14" x14ac:dyDescent="0.2">
      <c r="D1056" s="3">
        <v>52</v>
      </c>
      <c r="N1056" s="7"/>
    </row>
    <row r="1057" spans="4:14" x14ac:dyDescent="0.2">
      <c r="D1057" s="3">
        <v>53</v>
      </c>
      <c r="N1057" s="7"/>
    </row>
    <row r="1058" spans="4:14" x14ac:dyDescent="0.2">
      <c r="D1058" s="3">
        <v>54</v>
      </c>
      <c r="N1058" s="7"/>
    </row>
    <row r="1059" spans="4:14" x14ac:dyDescent="0.2">
      <c r="D1059" s="3">
        <v>55</v>
      </c>
      <c r="N1059" s="7"/>
    </row>
    <row r="1060" spans="4:14" x14ac:dyDescent="0.2">
      <c r="D1060" s="3">
        <v>56</v>
      </c>
      <c r="N1060" s="7"/>
    </row>
    <row r="1061" spans="4:14" x14ac:dyDescent="0.2">
      <c r="D1061" s="3">
        <v>57</v>
      </c>
      <c r="N1061" s="7"/>
    </row>
    <row r="1062" spans="4:14" x14ac:dyDescent="0.2">
      <c r="D1062" s="3">
        <v>58</v>
      </c>
      <c r="N1062" s="7"/>
    </row>
    <row r="1063" spans="4:14" x14ac:dyDescent="0.2">
      <c r="D1063" s="3">
        <v>59</v>
      </c>
      <c r="E1063" s="3" t="s">
        <v>2708</v>
      </c>
      <c r="N1063" s="7"/>
    </row>
    <row r="1064" spans="4:14" x14ac:dyDescent="0.2">
      <c r="D1064" s="3">
        <v>60</v>
      </c>
      <c r="N1064" s="7"/>
    </row>
    <row r="1065" spans="4:14" x14ac:dyDescent="0.2">
      <c r="D1065" s="3">
        <v>61</v>
      </c>
      <c r="N1065" s="7"/>
    </row>
    <row r="1066" spans="4:14" x14ac:dyDescent="0.2">
      <c r="D1066" s="3">
        <v>62</v>
      </c>
      <c r="N1066" s="7"/>
    </row>
    <row r="1067" spans="4:14" x14ac:dyDescent="0.2">
      <c r="D1067" s="3">
        <v>63</v>
      </c>
      <c r="N1067" s="7"/>
    </row>
    <row r="1068" spans="4:14" x14ac:dyDescent="0.2">
      <c r="D1068" s="3">
        <v>64</v>
      </c>
      <c r="N1068" s="7"/>
    </row>
    <row r="1069" spans="4:14" x14ac:dyDescent="0.2">
      <c r="D1069" s="3">
        <v>65</v>
      </c>
      <c r="N1069" s="7"/>
    </row>
    <row r="1070" spans="4:14" x14ac:dyDescent="0.2">
      <c r="D1070" s="3">
        <v>66</v>
      </c>
      <c r="N1070" s="7"/>
    </row>
    <row r="1071" spans="4:14" x14ac:dyDescent="0.2">
      <c r="D1071" s="3">
        <v>67</v>
      </c>
      <c r="N1071" s="7"/>
    </row>
    <row r="1072" spans="4:14" x14ac:dyDescent="0.2">
      <c r="D1072" s="3">
        <v>68</v>
      </c>
      <c r="N1072" s="7"/>
    </row>
    <row r="1073" spans="4:14" x14ac:dyDescent="0.2">
      <c r="D1073" s="3">
        <v>69</v>
      </c>
      <c r="N1073" s="7"/>
    </row>
    <row r="1074" spans="4:14" x14ac:dyDescent="0.2">
      <c r="D1074" s="3">
        <v>70</v>
      </c>
      <c r="N1074" s="7"/>
    </row>
    <row r="1075" spans="4:14" x14ac:dyDescent="0.2">
      <c r="D1075" s="3">
        <v>71</v>
      </c>
      <c r="N1075" s="7"/>
    </row>
    <row r="1076" spans="4:14" x14ac:dyDescent="0.2">
      <c r="D1076" s="3">
        <v>72</v>
      </c>
      <c r="N1076" s="7"/>
    </row>
    <row r="1077" spans="4:14" x14ac:dyDescent="0.2">
      <c r="D1077" s="3">
        <v>73</v>
      </c>
      <c r="N1077" s="7"/>
    </row>
    <row r="1078" spans="4:14" x14ac:dyDescent="0.2">
      <c r="D1078" s="3">
        <v>74</v>
      </c>
      <c r="N1078" s="7"/>
    </row>
    <row r="1079" spans="4:14" x14ac:dyDescent="0.2">
      <c r="D1079" s="3">
        <v>75</v>
      </c>
    </row>
    <row r="1080" spans="4:14" x14ac:dyDescent="0.2">
      <c r="D1080" s="3">
        <v>76</v>
      </c>
    </row>
    <row r="1081" spans="4:14" x14ac:dyDescent="0.2">
      <c r="D1081" s="3">
        <v>77</v>
      </c>
    </row>
    <row r="1082" spans="4:14" x14ac:dyDescent="0.2">
      <c r="D1082" s="3">
        <v>78</v>
      </c>
    </row>
    <row r="1083" spans="4:14" x14ac:dyDescent="0.2">
      <c r="D1083" s="3">
        <v>79</v>
      </c>
    </row>
    <row r="1084" spans="4:14" x14ac:dyDescent="0.2">
      <c r="D1084" s="3">
        <v>80</v>
      </c>
    </row>
    <row r="1085" spans="4:14" x14ac:dyDescent="0.2">
      <c r="D1085" s="3">
        <v>81</v>
      </c>
    </row>
    <row r="1086" spans="4:14" x14ac:dyDescent="0.2">
      <c r="D1086" s="3">
        <v>82</v>
      </c>
    </row>
    <row r="1087" spans="4:14" x14ac:dyDescent="0.2">
      <c r="D1087" s="3">
        <v>83</v>
      </c>
    </row>
    <row r="1088" spans="4:14" x14ac:dyDescent="0.2">
      <c r="D1088" s="3">
        <v>84</v>
      </c>
    </row>
    <row r="1089" spans="4:5" x14ac:dyDescent="0.2">
      <c r="D1089" s="3">
        <v>85</v>
      </c>
    </row>
    <row r="1090" spans="4:5" x14ac:dyDescent="0.2">
      <c r="D1090" s="3">
        <v>86</v>
      </c>
    </row>
    <row r="1091" spans="4:5" x14ac:dyDescent="0.2">
      <c r="D1091" s="3">
        <v>87</v>
      </c>
    </row>
    <row r="1092" spans="4:5" x14ac:dyDescent="0.2">
      <c r="D1092" s="3">
        <v>88</v>
      </c>
    </row>
    <row r="1093" spans="4:5" x14ac:dyDescent="0.2">
      <c r="D1093" s="3">
        <v>89</v>
      </c>
    </row>
    <row r="1094" spans="4:5" x14ac:dyDescent="0.2">
      <c r="D1094" s="3">
        <v>90</v>
      </c>
    </row>
    <row r="1095" spans="4:5" x14ac:dyDescent="0.2">
      <c r="D1095" s="3">
        <v>91</v>
      </c>
    </row>
    <row r="1096" spans="4:5" x14ac:dyDescent="0.2">
      <c r="D1096" s="3">
        <v>92</v>
      </c>
    </row>
    <row r="1097" spans="4:5" x14ac:dyDescent="0.2">
      <c r="D1097" s="3">
        <v>93</v>
      </c>
    </row>
    <row r="1098" spans="4:5" x14ac:dyDescent="0.2">
      <c r="D1098" s="3">
        <v>94</v>
      </c>
    </row>
    <row r="1099" spans="4:5" x14ac:dyDescent="0.2">
      <c r="D1099" s="3">
        <v>95</v>
      </c>
    </row>
    <row r="1100" spans="4:5" x14ac:dyDescent="0.2">
      <c r="D1100" s="3">
        <v>96</v>
      </c>
    </row>
    <row r="1101" spans="4:5" x14ac:dyDescent="0.2">
      <c r="D1101" s="3">
        <v>97</v>
      </c>
    </row>
    <row r="1102" spans="4:5" x14ac:dyDescent="0.2">
      <c r="D1102" s="3">
        <v>98</v>
      </c>
    </row>
    <row r="1103" spans="4:5" ht="110.25" x14ac:dyDescent="0.2">
      <c r="D1103" s="3">
        <v>99</v>
      </c>
      <c r="E1103" s="3" t="s">
        <v>2687</v>
      </c>
    </row>
    <row r="1104" spans="4:5" ht="110.25" x14ac:dyDescent="0.2">
      <c r="D1104" s="3">
        <v>100</v>
      </c>
      <c r="E1104" s="8" t="s">
        <v>163</v>
      </c>
    </row>
    <row r="1105" spans="5:5" ht="157.5" x14ac:dyDescent="0.2">
      <c r="E1105" s="3" t="s">
        <v>140</v>
      </c>
    </row>
    <row r="1106" spans="5:5" ht="63" x14ac:dyDescent="0.2">
      <c r="E1106" s="3" t="str">
        <f ca="1">"  If there is a Indian among them he/she hears the “ancestors” cry for vengeance and is compelled to recover the Warriors’ remains {Spirit v. "&amp;RANDBETWEEN(2,20)&amp;"} and return them to their restin’ place {as a one point Obligation}…"</f>
        <v xml:space="preserve">  If there is a Indian among them he/she hears the “ancestors” cry for vengeance and is compelled to recover the Warriors’ remains {Spirit v. 3} and return them to their restin’ place {as a one point Obligation}…</v>
      </c>
    </row>
  </sheetData>
  <sortState ref="I2:J357">
    <sortCondition ref="J2:J357"/>
  </sortState>
  <phoneticPr fontId="1"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
  <sheetViews>
    <sheetView workbookViewId="0"/>
  </sheetViews>
  <sheetFormatPr defaultColWidth="12.140625" defaultRowHeight="15.75" x14ac:dyDescent="0.2"/>
  <cols>
    <col min="1" max="1" width="69.28515625" style="18" customWidth="1"/>
    <col min="2" max="2" width="2.7109375" style="18" customWidth="1"/>
    <col min="3" max="3" width="62.5703125" style="18" customWidth="1"/>
    <col min="4" max="4" width="12.140625" style="18" customWidth="1"/>
    <col min="8" max="16384" width="12.140625" style="18"/>
  </cols>
  <sheetData>
    <row r="1" spans="1:3" x14ac:dyDescent="0.2">
      <c r="A1" s="27"/>
    </row>
    <row r="2" spans="1:3" x14ac:dyDescent="0.2">
      <c r="A2" s="41"/>
    </row>
    <row r="3" spans="1:3" x14ac:dyDescent="0.2">
      <c r="A3" s="41"/>
    </row>
    <row r="4" spans="1:3" x14ac:dyDescent="0.2">
      <c r="A4" s="41"/>
      <c r="C4" s="41"/>
    </row>
    <row r="5" spans="1:3" x14ac:dyDescent="0.2">
      <c r="A5" s="41"/>
    </row>
    <row r="12" spans="1:3" x14ac:dyDescent="0.2">
      <c r="A12" s="41"/>
    </row>
  </sheetData>
  <sortState ref="A29:A98">
    <sortCondition ref="A2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88</vt:i4>
      </vt:variant>
    </vt:vector>
  </HeadingPairs>
  <TitlesOfParts>
    <vt:vector size="92" baseType="lpstr">
      <vt:lpstr>Information</vt:lpstr>
      <vt:lpstr>Encounters</vt:lpstr>
      <vt:lpstr>Tables</vt:lpstr>
      <vt:lpstr>Sheet1</vt:lpstr>
      <vt:lpstr>animal</vt:lpstr>
      <vt:lpstr>Big</vt:lpstr>
      <vt:lpstr>Bonus</vt:lpstr>
      <vt:lpstr>BOOK</vt:lpstr>
      <vt:lpstr>BOTTLE</vt:lpstr>
      <vt:lpstr>Bugs</vt:lpstr>
      <vt:lpstr>BW</vt:lpstr>
      <vt:lpstr>CC</vt:lpstr>
      <vt:lpstr>CHANGE</vt:lpstr>
      <vt:lpstr>chase</vt:lpstr>
      <vt:lpstr>Chess</vt:lpstr>
      <vt:lpstr>Civil</vt:lpstr>
      <vt:lpstr>classes</vt:lpstr>
      <vt:lpstr>CLOTHES</vt:lpstr>
      <vt:lpstr>coat</vt:lpstr>
      <vt:lpstr>Compas</vt:lpstr>
      <vt:lpstr>creature</vt:lpstr>
      <vt:lpstr>critter</vt:lpstr>
      <vt:lpstr>CULT</vt:lpstr>
      <vt:lpstr>DATE</vt:lpstr>
      <vt:lpstr>DAY</vt:lpstr>
      <vt:lpstr>Deck</vt:lpstr>
      <vt:lpstr>DICE</vt:lpstr>
      <vt:lpstr>DIME</vt:lpstr>
      <vt:lpstr>Disposition</vt:lpstr>
      <vt:lpstr>DRINKS</vt:lpstr>
      <vt:lpstr>ELIXIR</vt:lpstr>
      <vt:lpstr>FILL</vt:lpstr>
      <vt:lpstr>fish</vt:lpstr>
      <vt:lpstr>FIT</vt:lpstr>
      <vt:lpstr>FOBBS</vt:lpstr>
      <vt:lpstr>GAME</vt:lpstr>
      <vt:lpstr>Guns</vt:lpstr>
      <vt:lpstr>HATS</vt:lpstr>
      <vt:lpstr>HIDE</vt:lpstr>
      <vt:lpstr>HOYLES</vt:lpstr>
      <vt:lpstr>Hunt</vt:lpstr>
      <vt:lpstr>ING</vt:lpstr>
      <vt:lpstr>InTown</vt:lpstr>
      <vt:lpstr>InWilderness</vt:lpstr>
      <vt:lpstr>kidnapped</vt:lpstr>
      <vt:lpstr>LANG</vt:lpstr>
      <vt:lpstr>LETTERS</vt:lpstr>
      <vt:lpstr>LUCK</vt:lpstr>
      <vt:lpstr>MAGAZINE</vt:lpstr>
      <vt:lpstr>MAGIC</vt:lpstr>
      <vt:lpstr>MARKED</vt:lpstr>
      <vt:lpstr>MONTH</vt:lpstr>
      <vt:lpstr>NAME</vt:lpstr>
      <vt:lpstr>NEWS</vt:lpstr>
      <vt:lpstr>NPCS</vt:lpstr>
      <vt:lpstr>OCCULT</vt:lpstr>
      <vt:lpstr>PAPER</vt:lpstr>
      <vt:lpstr>Place</vt:lpstr>
      <vt:lpstr>plight</vt:lpstr>
      <vt:lpstr>POCKET</vt:lpstr>
      <vt:lpstr>POUCH</vt:lpstr>
      <vt:lpstr>Tables!profession</vt:lpstr>
      <vt:lpstr>quake</vt:lpstr>
      <vt:lpstr>REMEDY</vt:lpstr>
      <vt:lpstr>SECRET</vt:lpstr>
      <vt:lpstr>sex</vt:lpstr>
      <vt:lpstr>SHIP</vt:lpstr>
      <vt:lpstr>SIZE</vt:lpstr>
      <vt:lpstr>SN</vt:lpstr>
      <vt:lpstr>store</vt:lpstr>
      <vt:lpstr>STREET</vt:lpstr>
      <vt:lpstr>stuff</vt:lpstr>
      <vt:lpstr>Suite</vt:lpstr>
      <vt:lpstr>TDT</vt:lpstr>
      <vt:lpstr>TGB</vt:lpstr>
      <vt:lpstr>TGML</vt:lpstr>
      <vt:lpstr>TGMS</vt:lpstr>
      <vt:lpstr>TGN</vt:lpstr>
      <vt:lpstr>things</vt:lpstr>
      <vt:lpstr>THP</vt:lpstr>
      <vt:lpstr>Time</vt:lpstr>
      <vt:lpstr>TINMAN</vt:lpstr>
      <vt:lpstr>TONICS</vt:lpstr>
      <vt:lpstr>town</vt:lpstr>
      <vt:lpstr>trait</vt:lpstr>
      <vt:lpstr>TRD</vt:lpstr>
      <vt:lpstr>tributes</vt:lpstr>
      <vt:lpstr>TWS</vt:lpstr>
      <vt:lpstr>Vampire</vt:lpstr>
      <vt:lpstr>varmints</vt:lpstr>
      <vt:lpstr>wilderness</vt:lpstr>
      <vt:lpstr>WORKS</vt:lpstr>
    </vt:vector>
  </TitlesOfParts>
  <Company>French's Asylum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French</dc:creator>
  <cp:lastModifiedBy>Edward French</cp:lastModifiedBy>
  <dcterms:created xsi:type="dcterms:W3CDTF">2006-12-21T04:44:40Z</dcterms:created>
  <dcterms:modified xsi:type="dcterms:W3CDTF">2013-07-29T00:55:10Z</dcterms:modified>
</cp:coreProperties>
</file>