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D3C923D3-3007-4040-B9C1-D847FC6F240D}" xr6:coauthVersionLast="47" xr6:coauthVersionMax="47" xr10:uidLastSave="{00000000-0000-0000-0000-000000000000}"/>
  <bookViews>
    <workbookView xWindow="-120" yWindow="-120" windowWidth="29040" windowHeight="157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8" i="1" l="1"/>
  <c r="O20" i="28"/>
  <c r="C20"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20" i="1"/>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8"/>
  <c r="Y11" i="8"/>
  <c r="AD19" i="8"/>
  <c r="AD20" i="8"/>
  <c r="X11" i="7"/>
  <c r="Y11" i="7"/>
  <c r="AD19" i="7"/>
  <c r="AD20" i="7"/>
  <c r="X12" i="8"/>
  <c r="Y12" i="8"/>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AD16" i="8"/>
  <c r="AD17" i="8"/>
  <c r="U19" i="27"/>
  <c r="V18" i="27"/>
  <c r="AD24" i="8"/>
  <c r="AD25" i="8"/>
  <c r="AD27" i="8"/>
  <c r="AD28" i="8"/>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C16" i="28"/>
  <c r="C16" i="11"/>
  <c r="C17" i="8"/>
  <c r="C16" i="12"/>
  <c r="C17" i="28"/>
  <c r="C17" i="1"/>
  <c r="C17" i="7"/>
  <c r="C16" i="1"/>
  <c r="C17" i="14"/>
  <c r="C16" i="27"/>
  <c r="C17" i="12"/>
  <c r="C17" i="13"/>
  <c r="C17" i="11"/>
  <c r="C17" i="27"/>
  <c r="X11" i="1"/>
  <c r="Y11" i="1"/>
  <c r="U17" i="1"/>
  <c r="V16" i="1"/>
  <c r="C18" i="13"/>
  <c r="C18" i="27"/>
  <c r="C18" i="14"/>
  <c r="C18" i="1"/>
  <c r="C18" i="7"/>
  <c r="C18" i="12"/>
  <c r="C18" i="8"/>
  <c r="C18" i="11"/>
  <c r="C18" i="28"/>
  <c r="AD19" i="1"/>
  <c r="AD20" i="1"/>
  <c r="AD16" i="1"/>
  <c r="AD17"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<sst xmlns="http://schemas.openxmlformats.org/spreadsheetml/2006/main" count="996" uniqueCount="250">
  <si>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</si>
  <si>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</si>
  <si>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</si>
  <si>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</si>
  <si>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</si>
  <si>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</si>
  <si>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</si>
  <si>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</si>
  <si>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</si>
  <si>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</si>
  <si>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</si>
  <si>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</si>
  <si>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</si>
  <si>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</si>
  <si>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</si>
  <si>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</si>
  <si>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</si>
  <si>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</si>
  <si>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</si>
  <si>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</si>
  <si>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</si>
  <si>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</si>
  <si>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</si>
  <si>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</si>
  <si>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</si>
  <si>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</si>
  <si>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</si>
  <si>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</si>
  <si>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</si>
  <si>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</si>
  <si>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</si>
  <si>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</si>
  <si>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</si>
  <si>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</si>
  <si>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</si>
  <si>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</si>
  <si>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</si>
  <si>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</si>
  <si>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</si>
  <si>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</si>
  <si>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</si>
  <si>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</si>
  <si>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</si>
  <si>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</si>
  <si>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</si>
  <si>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</si>
  <si>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</si>
  <si>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</si>
  <si>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</si>
  <si>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</si>
  <si>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</si>
  <si>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</si>
  <si>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</si>
  <si>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</si>
  <si>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</si>
  <si>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</si>
  <si>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</si>
  <si>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</si>
  <si>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</si>
  <si>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</si>
  <si>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</si>
  <si>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</si>
  <si>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</si>
  <si>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</si>
  <si>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</si>
  <si>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</si>
  <si>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</si>
  <si>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</si>
  <si>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</si>
  <si>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</si>
  <si>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</si>
  <si>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</si>
  <si>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</si>
  <si>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</si>
  <si>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</si>
  <si>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</si>
  <si>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</si>
  <si>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</si>
  <si>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</si>
  <si>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</si>
  <si>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</si>
  <si>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</si>
  <si>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</si>
  <si>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</si>
  <si>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</si>
  <si>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</si>
  <si>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</si>
  <si>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</si>
  <si>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</si>
  <si>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</si>
  <si>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</si>
  <si>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</si>
  <si>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</si>
  <si>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</si>
  <si>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</si>
  <si>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</si>
  <si>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</si>
  <si>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</si>
  <si>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</si>
  <si>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</si>
  <si>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</si>
  <si>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</si>
  <si>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</si>
  <si>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</si>
  <si>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</si>
  <si>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</si>
  <si>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</si>
  <si>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</si>
  <si>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</si>
  <si>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</si>
  <si>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</si>
  <si>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</si>
  <si>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</si>
  <si>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</si>
  <si>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</si>
  <si>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</si>
  <si>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</si>
  <si>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</si>
  <si>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</si>
  <si>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</si>
  <si>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</si>
  <si>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</si>
  <si>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</si>
  <si>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</si>
  <si>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</si>
  <si>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</si>
  <si>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</si>
  <si>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</si>
  <si>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</si>
  <si>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</si>
  <si>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</si>
  <si>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</si>
  <si>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</si>
  <si>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</si>
  <si>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</si>
  <si>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</si>
  <si>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</si>
  <si>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</si>
  <si>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</si>
  <si>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</si>
  <si>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</si>
  <si>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</si>
  <si>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</si>
  <si>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</si>
  <si>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</si>
  <si>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</si>
  <si>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</si>
  <si>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</si>
  <si>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</si>
  <si>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</si>
  <si>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</si>
  <si>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</si>
  <si>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</si>
  <si>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</si>
  <si>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</si>
  <si>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</si>
  <si>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</si>
  <si>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</si>
  <si>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</si>
  <si>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</si>
  <si>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</si>
  <si>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</si>
  <si>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</si>
  <si>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</si>
  <si>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</si>
  <si>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</si>
  <si>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</si>
  <si>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</si>
  <si>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</si>
  <si>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</si>
  <si>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</si>
  <si>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</si>
  <si>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</si>
  <si>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</si>
  <si>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</si>
  <si>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</si>
  <si>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</si>
  <si>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</si>
  <si>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</si>
  <si>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</si>
  <si>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</si>
  <si>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</si>
  <si>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</si>
  <si>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</si>
  <si>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</si>
  <si>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</si>
  <si>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</si>
  <si>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</si>
  <si>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</si>
  <si>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</si>
  <si>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</si>
  <si>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</si>
  <si>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</si>
  <si>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</si>
  <si>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</si>
  <si>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</si>
  <si>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</si>
  <si>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</si>
  <si>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</si>
  <si>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</si>
  <si>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</si>
  <si>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</si>
  <si>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</si>
  <si>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</si>
  <si>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</si>
  <si>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</si>
  <si>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</si>
  <si>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</si>
  <si>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</si>
  <si>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</si>
  <si>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</si>
  <si>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</si>
  <si>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</si>
  <si>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</si>
  <si>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</si>
  <si>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</si>
  <si>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</si>
  <si>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</si>
  <si>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</si>
  <si>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</si>
  <si>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</si>
  <si>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</si>
  <si>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</si>
  <si>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</si>
  <si>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</si>
  <si>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</si>
  <si>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</si>
  <si>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</si>
  <si>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</si>
  <si>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</si>
  <si>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</si>
  <si>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</si>
  <si>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</si>
  <si>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</si>
  <si>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</si>
  <si>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</si>
  <si>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</si>
  <si>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</si>
  <si>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</si>
  <si>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</si>
  <si>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</si>
  <si>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</si>
  <si>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</si>
  <si>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</si>
  <si>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</si>
  <si>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</si>
  <si>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</si>
  <si>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</si>
  <si>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</si>
  <si>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 David Dubins, 2007-2022 (d.dubins@utoronto.ca)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</si>
</sst>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6">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9">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40" fillId="2" borderId="0" xfId="0" applyFont="1" applyFill="1"/>
    <xf numFmtId="0" fontId="2" fillId="5"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0.11555714658408101</c:v>
                </c:pt>
                <c:pt idx="2">
                  <c:v>0.23111429316816201</c:v>
                </c:pt>
                <c:pt idx="3">
                  <c:v>0.34667143975224302</c:v>
                </c:pt>
                <c:pt idx="4">
                  <c:v>0.46222858633632402</c:v>
                </c:pt>
                <c:pt idx="5">
                  <c:v>0.57778573292040503</c:v>
                </c:pt>
                <c:pt idx="6">
                  <c:v>0.69334287950448603</c:v>
                </c:pt>
                <c:pt idx="7">
                  <c:v>0.80890002608856704</c:v>
                </c:pt>
                <c:pt idx="8">
                  <c:v>0.92445717267264804</c:v>
                </c:pt>
                <c:pt idx="9">
                  <c:v>1.040014319256729</c:v>
                </c:pt>
                <c:pt idx="10">
                  <c:v>1.1555714658408101</c:v>
                </c:pt>
                <c:pt idx="11">
                  <c:v>1.2711286124248911</c:v>
                </c:pt>
                <c:pt idx="12">
                  <c:v>1.3866857590089721</c:v>
                </c:pt>
                <c:pt idx="13">
                  <c:v>1.5022429055930531</c:v>
                </c:pt>
                <c:pt idx="14">
                  <c:v>1.6178000521771341</c:v>
                </c:pt>
                <c:pt idx="15">
                  <c:v>1.7333571987612151</c:v>
                </c:pt>
                <c:pt idx="16">
                  <c:v>1.8489143453452961</c:v>
                </c:pt>
                <c:pt idx="17">
                  <c:v>1.9644714919293771</c:v>
                </c:pt>
                <c:pt idx="18">
                  <c:v>2.0800286385134581</c:v>
                </c:pt>
                <c:pt idx="19">
                  <c:v>2.1955857850975393</c:v>
                </c:pt>
                <c:pt idx="20">
                  <c:v>2.3111429316816201</c:v>
                </c:pt>
                <c:pt idx="21">
                  <c:v>2.4267000782657009</c:v>
                </c:pt>
                <c:pt idx="22">
                  <c:v>2.5422572248497817</c:v>
                </c:pt>
                <c:pt idx="23">
                  <c:v>2.6578143714338625</c:v>
                </c:pt>
                <c:pt idx="24">
                  <c:v>2.7733715180179432</c:v>
                </c:pt>
                <c:pt idx="25">
                  <c:v>2.888928664602024</c:v>
                </c:pt>
                <c:pt idx="26">
                  <c:v>3.0044858111861048</c:v>
                </c:pt>
                <c:pt idx="27">
                  <c:v>3.1200429577701856</c:v>
                </c:pt>
                <c:pt idx="28">
                  <c:v>3.2356001043542664</c:v>
                </c:pt>
                <c:pt idx="29">
                  <c:v>3.3511572509383472</c:v>
                </c:pt>
                <c:pt idx="30">
                  <c:v>3.4667143975224279</c:v>
                </c:pt>
                <c:pt idx="31">
                  <c:v>3.5822715441065087</c:v>
                </c:pt>
                <c:pt idx="32">
                  <c:v>3.6978286906905895</c:v>
                </c:pt>
              </c:numCache>
            </c:numRef>
          </c:xVal>
          <c:yVal>
            <c:numRef>
              <c:f>'Bioequivalence, Parallel'!$V$15:$V$47</c:f>
              <c:numCache>
                <c:formatCode>General</c:formatCode>
                <c:ptCount val="33"/>
                <c:pt idx="0">
                  <c:v>0.22831135673627737</c:v>
                </c:pt>
                <c:pt idx="1">
                  <c:v>0.27065256559820106</c:v>
                </c:pt>
                <c:pt idx="2">
                  <c:v>0.314221086732277</c:v>
                </c:pt>
                <c:pt idx="3">
                  <c:v>0.35727041047792041</c:v>
                </c:pt>
                <c:pt idx="4">
                  <c:v>0.39782980438758542</c:v>
                </c:pt>
                <c:pt idx="5">
                  <c:v>0.4338465299206547</c:v>
                </c:pt>
                <c:pt idx="6">
                  <c:v>0.46335460617253399</c:v>
                </c:pt>
                <c:pt idx="7">
                  <c:v>0.48465130425812258</c:v>
                </c:pt>
                <c:pt idx="8">
                  <c:v>0.4964595069001882</c:v>
                </c:pt>
                <c:pt idx="9">
                  <c:v>0.49805444680287991</c:v>
                </c:pt>
                <c:pt idx="10">
                  <c:v>0.48933734016603508</c:v>
                </c:pt>
                <c:pt idx="11">
                  <c:v>0.47084551359267213</c:v>
                </c:pt>
                <c:pt idx="12">
                  <c:v>0.44369758091411332</c:v>
                </c:pt>
                <c:pt idx="13">
                  <c:v>0.40948144746086385</c:v>
                </c:pt>
                <c:pt idx="14">
                  <c:v>0.3701007313487899</c:v>
                </c:pt>
                <c:pt idx="15">
                  <c:v>0.32760023258826015</c:v>
                </c:pt>
                <c:pt idx="16">
                  <c:v>0.28399258718598064</c:v>
                </c:pt>
                <c:pt idx="17">
                  <c:v>0.24110618514069843</c:v>
                </c:pt>
                <c:pt idx="18">
                  <c:v>0.20046947062820525</c:v>
                </c:pt>
                <c:pt idx="19">
                  <c:v>0.16324003535956169</c:v>
                </c:pt>
                <c:pt idx="20">
                  <c:v>0.13017981841469306</c:v>
                </c:pt>
                <c:pt idx="21">
                  <c:v>0.10167148978353269</c:v>
                </c:pt>
                <c:pt idx="22">
                  <c:v>7.7766626143932732E-2</c:v>
                </c:pt>
                <c:pt idx="23">
                  <c:v>5.825401628546005E-2</c:v>
                </c:pt>
                <c:pt idx="24">
                  <c:v>4.2736311146241344E-2</c:v>
                </c:pt>
                <c:pt idx="25">
                  <c:v>3.0704832810818952E-2</c:v>
                </c:pt>
                <c:pt idx="26">
                  <c:v>2.1605035584469263E-2</c:v>
                </c:pt>
                <c:pt idx="27">
                  <c:v>1.4888185783989533E-2</c:v>
                </c:pt>
                <c:pt idx="28">
                  <c:v>1.0047710600097437E-2</c:v>
                </c:pt>
                <c:pt idx="29">
                  <c:v>6.640962083123661E-3</c:v>
                </c:pt>
                <c:pt idx="30">
                  <c:v>4.2986632849936453E-3</c:v>
                </c:pt>
                <c:pt idx="31">
                  <c:v>2.7250495290019753E-3</c:v>
                </c:pt>
                <c:pt idx="32">
                  <c:v>1.691819073603052E-3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0.29665354068133176</c:v>
                </c:pt>
                <c:pt idx="1">
                  <c:v>0.29665354068133176</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1.7033464593186682</c:v>
                </c:pt>
                <c:pt idx="1">
                  <c:v>1.7033464593186682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-1.5638709635184753</c:v>
                </c:pt>
                <c:pt idx="1">
                  <c:v>-1.5638709635184753</c:v>
                </c:pt>
              </c:numCache>
            </c:numRef>
          </c:xVal>
          <c:yVal>
            <c:numRef>
              <c:f>'Bioequivalence, Parallel'!$AE$16:$AE$17</c:f>
              <c:numCache>
                <c:formatCode>General</c:formatCode>
                <c:ptCount val="2"/>
                <c:pt idx="0">
                  <c:v>0</c:v>
                </c:pt>
                <c:pt idx="1">
                  <c:v>0.49805444680287991</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3.5638709635184753</c:v>
                </c:pt>
                <c:pt idx="1">
                  <c:v>3.5638709635184753</c:v>
                </c:pt>
              </c:numCache>
            </c:numRef>
          </c:xVal>
          <c:yVal>
            <c:numRef>
              <c:f>'Bioequivalence, Parallel'!$AE$19:$AE$20</c:f>
              <c:numCache>
                <c:formatCode>General</c:formatCode>
                <c:ptCount val="2"/>
                <c:pt idx="0">
                  <c:v>0</c:v>
                </c:pt>
                <c:pt idx="1">
                  <c:v>0.49805444680287991</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0.49805444680287991</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0.49805444680287991</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6.0147960856877548E-2</c:v>
                </c:pt>
                <c:pt idx="2">
                  <c:v>0.1202959217137551</c:v>
                </c:pt>
                <c:pt idx="3">
                  <c:v>0.18044388257063265</c:v>
                </c:pt>
                <c:pt idx="4">
                  <c:v>0.24059184342751019</c:v>
                </c:pt>
                <c:pt idx="5">
                  <c:v>0.30073980428438774</c:v>
                </c:pt>
                <c:pt idx="6">
                  <c:v>0.3608877651412653</c:v>
                </c:pt>
                <c:pt idx="7">
                  <c:v>0.42103572599814287</c:v>
                </c:pt>
                <c:pt idx="8">
                  <c:v>0.48118368685502044</c:v>
                </c:pt>
                <c:pt idx="9">
                  <c:v>0.54133164771189801</c:v>
                </c:pt>
                <c:pt idx="10">
                  <c:v>0.60147960856877558</c:v>
                </c:pt>
                <c:pt idx="11">
                  <c:v>0.66162756942565315</c:v>
                </c:pt>
                <c:pt idx="12">
                  <c:v>0.72177553028253072</c:v>
                </c:pt>
                <c:pt idx="13">
                  <c:v>0.78192349113940829</c:v>
                </c:pt>
                <c:pt idx="14">
                  <c:v>0.84207145199628586</c:v>
                </c:pt>
                <c:pt idx="15">
                  <c:v>0.90221941285316343</c:v>
                </c:pt>
                <c:pt idx="16">
                  <c:v>0.962367373710041</c:v>
                </c:pt>
                <c:pt idx="17">
                  <c:v>1.0225153345669185</c:v>
                </c:pt>
                <c:pt idx="18">
                  <c:v>1.082663295423796</c:v>
                </c:pt>
                <c:pt idx="19">
                  <c:v>1.1428112562806736</c:v>
                </c:pt>
                <c:pt idx="20">
                  <c:v>1.2029592171375512</c:v>
                </c:pt>
                <c:pt idx="21">
                  <c:v>1.2631071779944287</c:v>
                </c:pt>
                <c:pt idx="22">
                  <c:v>1.3232551388513063</c:v>
                </c:pt>
                <c:pt idx="23">
                  <c:v>1.3834030997081839</c:v>
                </c:pt>
                <c:pt idx="24">
                  <c:v>1.4435510605650614</c:v>
                </c:pt>
                <c:pt idx="25">
                  <c:v>1.503699021421939</c:v>
                </c:pt>
                <c:pt idx="26">
                  <c:v>1.5638469822788166</c:v>
                </c:pt>
                <c:pt idx="27">
                  <c:v>1.6239949431356941</c:v>
                </c:pt>
                <c:pt idx="28">
                  <c:v>1.6841429039925717</c:v>
                </c:pt>
                <c:pt idx="29">
                  <c:v>1.7442908648494493</c:v>
                </c:pt>
                <c:pt idx="30">
                  <c:v>1.8044388257063269</c:v>
                </c:pt>
                <c:pt idx="31">
                  <c:v>1.8645867865632044</c:v>
                </c:pt>
                <c:pt idx="32">
                  <c:v>1.924734747420082</c:v>
                </c:pt>
              </c:numCache>
            </c:numRef>
          </c:xVal>
          <c:yVal>
            <c:numRef>
              <c:f>'Bioequivalence, Crossover'!$V$15:$V$47</c:f>
              <c:numCache>
                <c:formatCode>General</c:formatCode>
                <c:ptCount val="33"/>
                <c:pt idx="0">
                  <c:v>5.3532090305954147E-4</c:v>
                </c:pt>
                <c:pt idx="1">
                  <c:v>1.3614308782823046E-3</c:v>
                </c:pt>
                <c:pt idx="2">
                  <c:v>3.2676693182428582E-3</c:v>
                </c:pt>
                <c:pt idx="3">
                  <c:v>7.4018744335829466E-3</c:v>
                </c:pt>
                <c:pt idx="4">
                  <c:v>1.5823641525050097E-2</c:v>
                </c:pt>
                <c:pt idx="5">
                  <c:v>3.1925100068458327E-2</c:v>
                </c:pt>
                <c:pt idx="6">
                  <c:v>6.0788189407009453E-2</c:v>
                </c:pt>
                <c:pt idx="7">
                  <c:v>0.10923636954844064</c:v>
                </c:pt>
                <c:pt idx="8">
                  <c:v>0.18525776370088784</c:v>
                </c:pt>
                <c:pt idx="9">
                  <c:v>0.29651501197758523</c:v>
                </c:pt>
                <c:pt idx="10">
                  <c:v>0.44789690707849394</c:v>
                </c:pt>
                <c:pt idx="11">
                  <c:v>0.63851418586687736</c:v>
                </c:pt>
                <c:pt idx="12">
                  <c:v>0.85906128368970724</c:v>
                </c:pt>
                <c:pt idx="13">
                  <c:v>1.0907842338994449</c:v>
                </c:pt>
                <c:pt idx="14">
                  <c:v>1.3071176131726885</c:v>
                </c:pt>
                <c:pt idx="15">
                  <c:v>1.4782626042254883</c:v>
                </c:pt>
                <c:pt idx="16">
                  <c:v>1.5777915426115834</c:v>
                </c:pt>
                <c:pt idx="17">
                  <c:v>1.5893105496006901</c:v>
                </c:pt>
                <c:pt idx="18">
                  <c:v>1.5108766792405302</c:v>
                </c:pt>
                <c:pt idx="19">
                  <c:v>1.355533886018965</c:v>
                </c:pt>
                <c:pt idx="20">
                  <c:v>1.1477646605331531</c:v>
                </c:pt>
                <c:pt idx="21">
                  <c:v>0.91718391155064294</c:v>
                </c:pt>
                <c:pt idx="22">
                  <c:v>0.69170532122747919</c:v>
                </c:pt>
                <c:pt idx="23">
                  <c:v>0.4923193601798051</c:v>
                </c:pt>
                <c:pt idx="24">
                  <c:v>0.33069971569153883</c:v>
                </c:pt>
                <c:pt idx="25">
                  <c:v>0.20964371055854106</c:v>
                </c:pt>
                <c:pt idx="26">
                  <c:v>0.12542697936354921</c:v>
                </c:pt>
                <c:pt idx="27">
                  <c:v>7.0820860308331679E-2</c:v>
                </c:pt>
                <c:pt idx="28">
                  <c:v>3.7739187175571676E-2</c:v>
                </c:pt>
                <c:pt idx="29">
                  <c:v>1.8979509975539276E-2</c:v>
                </c:pt>
                <c:pt idx="30">
                  <c:v>9.0082111596319035E-3</c:v>
                </c:pt>
                <c:pt idx="31">
                  <c:v>4.0350900346774578E-3</c:v>
                </c:pt>
                <c:pt idx="32">
                  <c:v>1.705803536648734E-3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0.75377932293076022</c:v>
                </c:pt>
                <c:pt idx="1">
                  <c:v>0.75377932293076022</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1.2462206770692397</c:v>
                </c:pt>
                <c:pt idx="1">
                  <c:v>1.2462206770692397</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0.10246502816378411</c:v>
                </c:pt>
                <c:pt idx="1">
                  <c:v>0.10246502816378411</c:v>
                </c:pt>
              </c:numCache>
            </c:numRef>
          </c:xVal>
          <c:yVal>
            <c:numRef>
              <c:f>'Bioequivalence, Crossover'!$AE$16:$AE$17</c:f>
              <c:numCache>
                <c:formatCode>General</c:formatCode>
                <c:ptCount val="2"/>
                <c:pt idx="0">
                  <c:v>0</c:v>
                </c:pt>
                <c:pt idx="1">
                  <c:v>1.5893105496006901</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1.8975349718362158</c:v>
                </c:pt>
                <c:pt idx="1">
                  <c:v>1.8975349718362158</c:v>
                </c:pt>
              </c:numCache>
            </c:numRef>
          </c:xVal>
          <c:yVal>
            <c:numRef>
              <c:f>'Bioequivalence, Crossover'!$AE$19:$AE$20</c:f>
              <c:numCache>
                <c:formatCode>General</c:formatCode>
                <c:ptCount val="2"/>
                <c:pt idx="0">
                  <c:v>0</c:v>
                </c:pt>
                <c:pt idx="1">
                  <c:v>1.5893105496006901</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1.5893105496006901</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1.5893105496006901</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10</xdr:row>
          <xdr:rowOff>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40625" defaultRowHeight="12.75"/>
  <cols>
    <col min="1" max="1" width="5.140625" style="66" customWidth="1"/>
    <col min="2" max="2" width="10.42578125" style="66" customWidth="1"/>
    <col min="3" max="16384" width="9.140625" style="66"/>
  </cols>
  <sheetData>
    <row r="2" spans="2:9" ht="20.25">
      <c r="C2" s="67" t="s">
        <v>242</v>
      </c>
      <c r="I2" s="68" t="s">
        <v>241</v>
      </c>
    </row>
    <row r="3" spans="2:9" ht="20.25">
      <c r="C3" s="67" t="s">
        <v>243</v>
      </c>
    </row>
    <row r="4" spans="2:9">
      <c r="B4" s="69" t="s">
        <v>80</v>
      </c>
    </row>
    <row r="6" spans="2:9">
      <c r="B6" s="70" t="s">
        <v>249</v>
      </c>
    </row>
    <row r="8" spans="2:9">
      <c r="B8" s="71"/>
    </row>
    <row r="9" spans="2:9">
      <c r="B9" s="72"/>
    </row>
    <row r="10" spans="2:9">
      <c r="B10" s="73"/>
    </row>
    <row r="11" spans="2:9">
      <c r="B11" s="73"/>
    </row>
    <row r="12" spans="2:9">
      <c r="B12" s="73"/>
    </row>
    <row r="28" spans="2:9">
      <c r="B28" s="74" t="s">
        <v>89</v>
      </c>
    </row>
    <row r="29" spans="2:9">
      <c r="B29" s="75" t="s">
        <v>196</v>
      </c>
    </row>
    <row r="30" spans="2:9" ht="22.5" customHeight="1">
      <c r="B30" s="78" t="s">
        <v>130</v>
      </c>
      <c r="C30" s="78"/>
      <c r="D30" s="78"/>
      <c r="E30" s="78"/>
      <c r="F30" s="78"/>
      <c r="G30" s="78"/>
      <c r="H30" s="78"/>
      <c r="I30" s="78"/>
    </row>
    <row r="31" spans="2:9">
      <c r="B31" s="76" t="s">
        <v>144</v>
      </c>
    </row>
    <row r="32" spans="2:9">
      <c r="B32" s="76" t="s">
        <v>147</v>
      </c>
    </row>
    <row r="33" spans="2:2">
      <c r="B33" s="76" t="s">
        <v>137</v>
      </c>
    </row>
    <row r="34" spans="2:2">
      <c r="B34" s="76" t="s">
        <v>136</v>
      </c>
    </row>
    <row r="35" spans="2:2">
      <c r="B35" s="76" t="s">
        <v>141</v>
      </c>
    </row>
    <row r="36" spans="2:2">
      <c r="B36" s="76" t="s">
        <v>178</v>
      </c>
    </row>
    <row r="37" spans="2:2">
      <c r="B37" s="76" t="s">
        <v>199</v>
      </c>
    </row>
    <row r="38" spans="2:2">
      <c r="B38" s="76" t="s">
        <v>244</v>
      </c>
    </row>
    <row r="40" spans="2:2">
      <c r="B40" s="75" t="s">
        <v>201</v>
      </c>
    </row>
    <row r="41" spans="2:2">
      <c r="B41" s="75" t="s">
        <v>202</v>
      </c>
    </row>
    <row r="42" spans="2:2">
      <c r="B42" s="75" t="s">
        <v>203</v>
      </c>
    </row>
    <row r="43" spans="2:2">
      <c r="B43" s="75" t="s">
        <v>131</v>
      </c>
    </row>
    <row r="44" spans="2:2">
      <c r="B44" s="75" t="s">
        <v>204</v>
      </c>
    </row>
    <row r="45" spans="2:2">
      <c r="B45" s="76"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2"/>
    <col min="22" max="23" width="12.28515625" style="52" bestFit="1" customWidth="1"/>
    <col min="24" max="30" width="9.140625" style="52"/>
    <col min="31"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2" t="s">
        <v>56</v>
      </c>
    </row>
    <row r="6" spans="2:31" ht="16.5" thickBot="1">
      <c r="B6" s="1" t="s">
        <v>17</v>
      </c>
      <c r="C6" s="3">
        <v>8</v>
      </c>
      <c r="D6" s="1" t="s">
        <v>24</v>
      </c>
      <c r="U6" s="52">
        <v>2</v>
      </c>
    </row>
    <row r="7" spans="2:31" ht="13.5" thickBot="1">
      <c r="C7" s="4"/>
    </row>
    <row r="8" spans="2:31" ht="13.5" thickBot="1">
      <c r="B8" s="12" t="s">
        <v>118</v>
      </c>
      <c r="C8" s="11">
        <f>C6/C5</f>
        <v>0.2</v>
      </c>
    </row>
    <row r="10" spans="2:31">
      <c r="B10" s="8" t="s">
        <v>18</v>
      </c>
      <c r="C10" s="1">
        <f>C5</f>
        <v>40</v>
      </c>
      <c r="V10" s="52" t="s">
        <v>212</v>
      </c>
      <c r="W10" s="52" t="s">
        <v>210</v>
      </c>
      <c r="X10" s="52" t="s">
        <v>213</v>
      </c>
      <c r="Y10" s="52" t="s">
        <v>211</v>
      </c>
      <c r="AA10" s="52" t="s">
        <v>224</v>
      </c>
      <c r="AB10" s="52" t="s">
        <v>225</v>
      </c>
    </row>
    <row r="11" spans="2:31" ht="15.75">
      <c r="B11" s="1" t="s">
        <v>60</v>
      </c>
      <c r="C11" s="7">
        <v>3</v>
      </c>
      <c r="U11" s="52" t="s">
        <v>206</v>
      </c>
      <c r="V11" s="55">
        <f>4*C5</f>
        <v>160</v>
      </c>
      <c r="W11" s="52">
        <f>$C$5</f>
        <v>40</v>
      </c>
      <c r="X11" s="52">
        <f>W11/SQRT(C20)</f>
        <v>23.094010767585033</v>
      </c>
      <c r="Y11" s="52">
        <f>TINV($C$4*2,$C$20-1)*X11</f>
        <v>67.434178433881996</v>
      </c>
      <c r="AA11" s="52">
        <f>V12+4*W12</f>
        <v>328</v>
      </c>
      <c r="AB11" s="52">
        <f>AA11/33</f>
        <v>9.9393939393939394</v>
      </c>
    </row>
    <row r="12" spans="2:31" ht="15.75">
      <c r="B12" s="1" t="s">
        <v>61</v>
      </c>
      <c r="C12" s="1">
        <f>C11*(C3+1)-2</f>
        <v>4</v>
      </c>
      <c r="U12" s="52" t="s">
        <v>207</v>
      </c>
      <c r="V12" s="55">
        <f>V11+C6</f>
        <v>168</v>
      </c>
      <c r="W12" s="52">
        <f>$C$5</f>
        <v>40</v>
      </c>
      <c r="X12" s="52">
        <f>W12/SQRT(D20)</f>
        <v>23.094010767585033</v>
      </c>
      <c r="Y12" s="52">
        <f>TINV($C$4*2,$D$20-1)*X12</f>
        <v>67.434178433881996</v>
      </c>
    </row>
    <row r="13" spans="2:31" ht="15.75">
      <c r="B13" s="1" t="s">
        <v>62</v>
      </c>
      <c r="C13" s="1">
        <f>TINV(C4,C12)</f>
        <v>2.7764451051977934</v>
      </c>
      <c r="Y13" s="52" t="b">
        <v>1</v>
      </c>
      <c r="AC13" s="52" t="b">
        <v>0</v>
      </c>
    </row>
    <row r="14" spans="2:31">
      <c r="B14" s="1" t="s">
        <v>4</v>
      </c>
      <c r="C14" s="1">
        <f>SQRT((C3*C11*C6^2)/((C3+1)*C10^2))</f>
        <v>0.2449489742783178</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92.565821566118004</v>
      </c>
      <c r="AE16" s="51">
        <v>0</v>
      </c>
    </row>
    <row r="17" spans="2:31">
      <c r="B17" s="1" t="s">
        <v>6</v>
      </c>
      <c r="C17" s="1">
        <f>NCt(C13,C12,C14)</f>
        <v>0.96127583880847123</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92.565821566118004</v>
      </c>
      <c r="AE17" s="51">
        <f>IF(AC13,MAX($V$15:$V$47),0)</f>
        <v>0</v>
      </c>
    </row>
    <row r="18" spans="2:31">
      <c r="B18" s="1" t="s">
        <v>58</v>
      </c>
      <c r="C18" s="1">
        <f>1-C17</f>
        <v>3.8724161191528772E-2</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ht="14.25">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227.43417843388198</v>
      </c>
      <c r="AE19" s="51">
        <v>0</v>
      </c>
    </row>
    <row r="20" spans="2:31">
      <c r="B20" s="1" t="s">
        <v>11</v>
      </c>
      <c r="C20" s="1">
        <f>CEILING(C11,1)</f>
        <v>3</v>
      </c>
      <c r="D20" s="1">
        <f>C20*C3</f>
        <v>3</v>
      </c>
      <c r="E20" s="1">
        <f>C20+D20</f>
        <v>6</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227.43417843388198</v>
      </c>
      <c r="AE20" s="51">
        <f>AE17</f>
        <v>0</v>
      </c>
    </row>
    <row r="21" spans="2:31">
      <c r="U21" s="52">
        <f t="shared" si="2"/>
        <v>59.636363636363633</v>
      </c>
      <c r="V21" s="52">
        <f t="shared" si="0"/>
        <v>4.2834287111349645E-4</v>
      </c>
      <c r="W21" s="52">
        <f t="shared" si="1"/>
        <v>2.5419604341562314E-4</v>
      </c>
    </row>
    <row r="22" spans="2:31">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100.565821566118</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100.565821566118</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235.43417843388198</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235.43417843388198</v>
      </c>
      <c r="AE28" s="51">
        <f>AE25</f>
        <v>0</v>
      </c>
    </row>
    <row r="29" spans="2:31">
      <c r="U29" s="52">
        <f t="shared" si="2"/>
        <v>139.15151515151516</v>
      </c>
      <c r="V29" s="52">
        <f t="shared" si="0"/>
        <v>8.7068167558675656E-3</v>
      </c>
      <c r="W29" s="52">
        <f t="shared" si="1"/>
        <v>7.6895620381677134E-3</v>
      </c>
      <c r="Y29" s="52" t="b">
        <v>1</v>
      </c>
    </row>
    <row r="30" spans="2:31">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c r="D36" s="9" t="s">
        <v>81</v>
      </c>
      <c r="U36" s="52">
        <f t="shared" si="2"/>
        <v>208.72727272727272</v>
      </c>
      <c r="V36" s="52">
        <f t="shared" si="0"/>
        <v>4.7490937985305588E-3</v>
      </c>
      <c r="W36" s="52">
        <f t="shared" si="1"/>
        <v>5.939293484075259E-3</v>
      </c>
      <c r="Y36" s="52" t="s">
        <v>218</v>
      </c>
      <c r="Z36" s="52">
        <f>Z35</f>
        <v>168</v>
      </c>
      <c r="AA36" s="52">
        <f>AA33</f>
        <v>9.9706267351264838E-3</v>
      </c>
    </row>
    <row r="37" spans="2:27" ht="18">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c r="B66"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0.9</v>
      </c>
    </row>
    <row r="3" spans="2:31" ht="13.5" thickBot="1">
      <c r="B3" s="1" t="s">
        <v>233</v>
      </c>
      <c r="C3" s="49">
        <v>1</v>
      </c>
      <c r="D3" s="1" t="s">
        <v>234</v>
      </c>
    </row>
    <row r="4" spans="2:31" ht="13.5" thickBot="1">
      <c r="B4" s="8" t="s">
        <v>59</v>
      </c>
      <c r="C4" s="2">
        <v>0.05</v>
      </c>
    </row>
    <row r="5" spans="2:31" ht="13.5" thickBot="1">
      <c r="B5" s="44" t="s">
        <v>237</v>
      </c>
      <c r="C5" s="43">
        <v>0.8</v>
      </c>
      <c r="D5" s="77" t="s">
        <v>248</v>
      </c>
      <c r="U5" s="1" t="s">
        <v>56</v>
      </c>
    </row>
    <row r="6" spans="2:31" ht="16.5"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1</v>
      </c>
      <c r="W11" s="1">
        <f>$C$10</f>
        <v>0.70334645931866824</v>
      </c>
      <c r="X11" s="1">
        <f>W11/SQRT(C20)</f>
        <v>0.40607726762120328</v>
      </c>
      <c r="Y11" s="1">
        <f>TINV($C$4*2,$C$20-2)*X11</f>
        <v>2.5638709635184753</v>
      </c>
      <c r="AA11" s="46">
        <f>V11+4*W11</f>
        <v>3.813385837274673</v>
      </c>
      <c r="AB11" s="1">
        <f>AA11/33</f>
        <v>0.11555714658408101</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-0.38856230302335509</v>
      </c>
      <c r="U14" s="44" t="s">
        <v>205</v>
      </c>
      <c r="V14" s="44" t="s">
        <v>227</v>
      </c>
      <c r="W14" s="44"/>
      <c r="Y14" s="9" t="s">
        <v>220</v>
      </c>
      <c r="AC14" s="9" t="s">
        <v>222</v>
      </c>
    </row>
    <row r="15" spans="2:31">
      <c r="B15" s="1" t="s">
        <v>4</v>
      </c>
      <c r="C15" s="1">
        <f>SQRT(C3*C11)*(LN(C6)-LN(C7))/SQRT((C3+1)*C10^2)</f>
        <v>0.38856230302335498</v>
      </c>
      <c r="N15" s="44" t="s">
        <v>245</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9.3923115503076415E-2</v>
      </c>
      <c r="N16" s="44" t="s">
        <v>246</v>
      </c>
      <c r="U16" s="1">
        <f>U15+$AB$11</f>
        <v>0.11555714658408101</v>
      </c>
      <c r="V16" s="1">
        <f t="shared" ref="V16:V47" si="0">_xlfn.NORM.DIST($U16,$V$11,$C$5,FALSE)</f>
        <v>0.27065256559820106</v>
      </c>
      <c r="Y16" s="44" t="s">
        <v>216</v>
      </c>
      <c r="Z16" s="1">
        <f>$V$11-$W$11</f>
        <v>0.29665354068133176</v>
      </c>
      <c r="AA16" s="1">
        <v>0</v>
      </c>
      <c r="AC16" s="44" t="s">
        <v>216</v>
      </c>
      <c r="AD16" s="1">
        <f>$V$11-$Y$11</f>
        <v>-1.5638709635184753</v>
      </c>
      <c r="AE16" s="1">
        <v>0</v>
      </c>
    </row>
    <row r="17" spans="2:31" ht="13.5" thickBot="1">
      <c r="B17" s="1" t="s">
        <v>6</v>
      </c>
      <c r="C17" s="1">
        <f>NCt(C13,C12,C15)</f>
        <v>0.90607688449692358</v>
      </c>
      <c r="N17" s="57" t="s">
        <v>247</v>
      </c>
      <c r="O17" s="58"/>
      <c r="P17" s="59"/>
      <c r="U17" s="1">
        <f t="shared" ref="U17:U47" si="1">U16+$AB$11</f>
        <v>0.23111429316816201</v>
      </c>
      <c r="V17" s="1">
        <f t="shared" si="0"/>
        <v>0.314221086732277</v>
      </c>
      <c r="Y17" s="44" t="s">
        <v>218</v>
      </c>
      <c r="Z17" s="1">
        <f>Z16</f>
        <v>0.29665354068133176</v>
      </c>
      <c r="AA17" s="1">
        <f>IF(Y13,MAX($V$15:$V$47),0)</f>
        <v>0</v>
      </c>
      <c r="AC17" s="44" t="s">
        <v>218</v>
      </c>
      <c r="AD17" s="1">
        <f>AD16</f>
        <v>-1.5638709635184753</v>
      </c>
      <c r="AE17" s="1">
        <f>IF(AC13,MAX($V$15:$V$47),0)</f>
        <v>0.49805444680287991</v>
      </c>
    </row>
    <row r="18" spans="2:31" ht="13.5" thickBot="1">
      <c r="B18" s="1" t="s">
        <v>58</v>
      </c>
      <c r="C18" s="1">
        <f>C16-C17</f>
        <v>-0.81215376899384717</v>
      </c>
      <c r="E18" s="5"/>
      <c r="N18" s="60" t="s">
        <v>238</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5" thickBot="1">
      <c r="C19" s="16" t="s">
        <v>63</v>
      </c>
      <c r="D19" s="16" t="s">
        <v>64</v>
      </c>
      <c r="E19" s="16" t="s">
        <v>66</v>
      </c>
      <c r="N19" s="60" t="s">
        <v>239</v>
      </c>
      <c r="O19" s="65">
        <v>0.2</v>
      </c>
      <c r="P19" s="61"/>
      <c r="U19" s="1">
        <f t="shared" si="1"/>
        <v>0.46222858633632402</v>
      </c>
      <c r="V19" s="1">
        <f t="shared" si="0"/>
        <v>0.39782980438758542</v>
      </c>
      <c r="Y19" s="44" t="s">
        <v>216</v>
      </c>
      <c r="Z19" s="1">
        <f>$V$11+$W$11</f>
        <v>1.7033464593186682</v>
      </c>
      <c r="AA19" s="1">
        <v>0</v>
      </c>
      <c r="AC19" s="44" t="s">
        <v>216</v>
      </c>
      <c r="AD19" s="1">
        <f>$V$11+$Y$11</f>
        <v>3.5638709635184753</v>
      </c>
      <c r="AE19" s="1">
        <v>0</v>
      </c>
    </row>
    <row r="20" spans="2:31">
      <c r="B20" s="1" t="s">
        <v>11</v>
      </c>
      <c r="C20" s="1">
        <f>CEILING(C11,1)</f>
        <v>3</v>
      </c>
      <c r="D20" s="1">
        <f>C20*C3</f>
        <v>3</v>
      </c>
      <c r="E20" s="1">
        <f>C20+D20</f>
        <v>6</v>
      </c>
      <c r="N20" s="62" t="s">
        <v>240</v>
      </c>
      <c r="O20" s="63">
        <f>SQRT(EXP(AVERAGE(LN(O18^2+1),LN(O19^2+1)))-1)</f>
        <v>0.25437478714780926</v>
      </c>
      <c r="P20" s="64"/>
      <c r="U20" s="1">
        <f t="shared" si="1"/>
        <v>0.57778573292040503</v>
      </c>
      <c r="V20" s="1">
        <f t="shared" si="0"/>
        <v>0.4338465299206547</v>
      </c>
      <c r="Y20" s="44" t="s">
        <v>218</v>
      </c>
      <c r="Z20" s="1">
        <f>Z19</f>
        <v>1.7033464593186682</v>
      </c>
      <c r="AA20" s="1">
        <f>AA17</f>
        <v>0</v>
      </c>
      <c r="AC20" s="44" t="s">
        <v>218</v>
      </c>
      <c r="AD20" s="1">
        <f>AD19</f>
        <v>3.5638709635184753</v>
      </c>
      <c r="AE20" s="1">
        <f>AE17</f>
        <v>0.49805444680287991</v>
      </c>
    </row>
    <row r="21" spans="2:31">
      <c r="U21" s="1">
        <f t="shared" si="1"/>
        <v>0.69334287950448603</v>
      </c>
      <c r="V21" s="1">
        <f t="shared" si="0"/>
        <v>0.46335460617253399</v>
      </c>
    </row>
    <row r="22" spans="2:31">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8">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0.9</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3</v>
      </c>
      <c r="U11" s="44" t="s">
        <v>206</v>
      </c>
      <c r="V11" s="45">
        <f>C6</f>
        <v>1</v>
      </c>
      <c r="W11" s="1">
        <f>$C$10</f>
        <v>0.24622067706923975</v>
      </c>
      <c r="X11" s="1">
        <f>W11/SQRT(C20)</f>
        <v>0.14215557418597749</v>
      </c>
      <c r="Y11" s="1">
        <f>TINV($C$4*2,$C$20-2)*X11</f>
        <v>0.89753497183621589</v>
      </c>
      <c r="AA11" s="46">
        <f>V11+4*W11</f>
        <v>1.9848827082769591</v>
      </c>
      <c r="AB11" s="1">
        <f>AA11/33</f>
        <v>6.0147960856877548E-2</v>
      </c>
    </row>
    <row r="12" spans="2:31">
      <c r="B12" s="1" t="s">
        <v>2</v>
      </c>
      <c r="C12" s="1">
        <f>C11-2</f>
        <v>1</v>
      </c>
      <c r="U12" s="44"/>
    </row>
    <row r="13" spans="2:31">
      <c r="B13" s="1" t="s">
        <v>8</v>
      </c>
      <c r="C13" s="1">
        <f>TINV(C4*2,C12)</f>
        <v>6.3137515146750438</v>
      </c>
      <c r="Y13" s="1" t="b">
        <v>0</v>
      </c>
      <c r="AC13" s="1" t="b">
        <v>1</v>
      </c>
    </row>
    <row r="14" spans="2:31">
      <c r="B14" s="1" t="s">
        <v>3</v>
      </c>
      <c r="C14" s="1">
        <f>(SQRT(C11)*(LN(C6)-LN(C8)))/(SQRT(2*C10^2))</f>
        <v>-1.1099551967332593</v>
      </c>
      <c r="U14" s="44" t="s">
        <v>205</v>
      </c>
      <c r="V14" s="44" t="s">
        <v>227</v>
      </c>
      <c r="W14" s="44"/>
      <c r="Y14" s="9" t="s">
        <v>220</v>
      </c>
      <c r="AC14" s="9" t="s">
        <v>222</v>
      </c>
    </row>
    <row r="15" spans="2:31">
      <c r="B15" s="1" t="s">
        <v>4</v>
      </c>
      <c r="C15" s="1">
        <f>(SQRT(C11)*(LN(C6)-LN(C7)))/(SQRT(2*C10^2))</f>
        <v>1.1099551967332588</v>
      </c>
      <c r="U15" s="1">
        <v>0</v>
      </c>
      <c r="V15" s="1">
        <f>_xlfn.NORM.DIST($U15,$V$11,$C$5,FALSE)</f>
        <v>5.3532090305954147E-4</v>
      </c>
      <c r="Y15" s="44" t="s">
        <v>217</v>
      </c>
      <c r="Z15" s="44" t="s">
        <v>214</v>
      </c>
      <c r="AA15" s="44" t="s">
        <v>215</v>
      </c>
      <c r="AC15" s="44" t="s">
        <v>217</v>
      </c>
      <c r="AD15" s="44" t="s">
        <v>214</v>
      </c>
      <c r="AE15" s="44" t="s">
        <v>215</v>
      </c>
    </row>
    <row r="16" spans="2:31">
      <c r="B16" s="1" t="s">
        <v>7</v>
      </c>
      <c r="C16" s="1">
        <f>NCt(-C13,C12,C14)</f>
        <v>0.14631390666829924</v>
      </c>
      <c r="U16" s="1">
        <f>U15+$AB$11</f>
        <v>6.0147960856877548E-2</v>
      </c>
      <c r="V16" s="1">
        <f t="shared" ref="V16:V47" si="0">_xlfn.NORM.DIST($U16,$V$11,$C$5,FALSE)</f>
        <v>1.3614308782823046E-3</v>
      </c>
      <c r="Y16" s="44" t="s">
        <v>216</v>
      </c>
      <c r="Z16" s="1">
        <f>$V$11-$W$11</f>
        <v>0.75377932293076022</v>
      </c>
      <c r="AA16" s="1">
        <v>0</v>
      </c>
      <c r="AC16" s="44" t="s">
        <v>216</v>
      </c>
      <c r="AD16" s="1">
        <f>$V$11-$Y$11</f>
        <v>0.10246502816378411</v>
      </c>
      <c r="AE16" s="1">
        <v>0</v>
      </c>
    </row>
    <row r="17" spans="2:31">
      <c r="B17" s="1" t="s">
        <v>6</v>
      </c>
      <c r="C17" s="1">
        <f>NCt(C13,C12,C15)</f>
        <v>0.85368609333170087</v>
      </c>
      <c r="U17" s="1">
        <f t="shared" ref="U17:U47" si="1">U16+$AB$11</f>
        <v>0.1202959217137551</v>
      </c>
      <c r="V17" s="1">
        <f t="shared" si="0"/>
        <v>3.2676693182428582E-3</v>
      </c>
      <c r="Y17" s="44" t="s">
        <v>218</v>
      </c>
      <c r="Z17" s="1">
        <f>Z16</f>
        <v>0.75377932293076022</v>
      </c>
      <c r="AA17" s="1">
        <f>IF(Y13,MAX($V$15:$V$47),0)</f>
        <v>0</v>
      </c>
      <c r="AC17" s="44" t="s">
        <v>218</v>
      </c>
      <c r="AD17" s="1">
        <f>AD16</f>
        <v>0.10246502816378411</v>
      </c>
      <c r="AE17" s="1">
        <f>IF(AC13,MAX($V$15:$V$47),0)</f>
        <v>1.5893105496006901</v>
      </c>
    </row>
    <row r="18" spans="2:31">
      <c r="B18" s="1" t="s">
        <v>58</v>
      </c>
      <c r="C18" s="1">
        <f>C16-C17</f>
        <v>-0.70737218666340163</v>
      </c>
      <c r="E18" s="5"/>
      <c r="U18" s="1">
        <f t="shared" si="1"/>
        <v>0.18044388257063265</v>
      </c>
      <c r="V18" s="1">
        <f t="shared" si="0"/>
        <v>7.4018744335829466E-3</v>
      </c>
      <c r="Y18" s="44" t="s">
        <v>219</v>
      </c>
      <c r="Z18" s="44" t="s">
        <v>214</v>
      </c>
      <c r="AA18" s="44" t="s">
        <v>215</v>
      </c>
      <c r="AC18" s="44" t="s">
        <v>219</v>
      </c>
      <c r="AD18" s="44" t="s">
        <v>214</v>
      </c>
      <c r="AE18" s="44" t="s">
        <v>215</v>
      </c>
    </row>
    <row r="19" spans="2:31">
      <c r="U19" s="1">
        <f t="shared" si="1"/>
        <v>0.24059184342751019</v>
      </c>
      <c r="V19" s="1">
        <f t="shared" si="0"/>
        <v>1.5823641525050097E-2</v>
      </c>
      <c r="Y19" s="44" t="s">
        <v>216</v>
      </c>
      <c r="Z19" s="1">
        <f>$V$11+$W$11</f>
        <v>1.2462206770692397</v>
      </c>
      <c r="AA19" s="1">
        <v>0</v>
      </c>
      <c r="AC19" s="44" t="s">
        <v>216</v>
      </c>
      <c r="AD19" s="1">
        <f>$V$11+$Y$11</f>
        <v>1.8975349718362158</v>
      </c>
      <c r="AE19" s="1">
        <v>0</v>
      </c>
    </row>
    <row r="20" spans="2:31">
      <c r="B20" s="1" t="s">
        <v>11</v>
      </c>
      <c r="C20" s="1">
        <f>CEILING(C11,1)</f>
        <v>3</v>
      </c>
      <c r="U20" s="1">
        <f t="shared" si="1"/>
        <v>0.30073980428438774</v>
      </c>
      <c r="V20" s="1">
        <f t="shared" si="0"/>
        <v>3.1925100068458327E-2</v>
      </c>
      <c r="Y20" s="44" t="s">
        <v>218</v>
      </c>
      <c r="Z20" s="1">
        <f>Z19</f>
        <v>1.2462206770692397</v>
      </c>
      <c r="AA20" s="1">
        <f>AA17</f>
        <v>0</v>
      </c>
      <c r="AC20" s="44" t="s">
        <v>218</v>
      </c>
      <c r="AD20" s="1">
        <f>AD19</f>
        <v>1.8975349718362158</v>
      </c>
      <c r="AE20" s="1">
        <f>AE17</f>
        <v>1.5893105496006901</v>
      </c>
    </row>
    <row r="21" spans="2:31">
      <c r="U21" s="1">
        <f t="shared" si="1"/>
        <v>0.3608877651412653</v>
      </c>
      <c r="V21" s="1">
        <f t="shared" si="0"/>
        <v>6.0788189407009453E-2</v>
      </c>
    </row>
    <row r="22" spans="2:31">
      <c r="U22" s="1">
        <f t="shared" si="1"/>
        <v>0.42103572599814287</v>
      </c>
      <c r="V22" s="1">
        <f t="shared" si="0"/>
        <v>0.10923636954844064</v>
      </c>
      <c r="Y22" s="9"/>
      <c r="AC22" s="9"/>
    </row>
    <row r="23" spans="2:31">
      <c r="U23" s="1">
        <f t="shared" si="1"/>
        <v>0.48118368685502044</v>
      </c>
      <c r="V23" s="1">
        <f t="shared" si="0"/>
        <v>0.18525776370088784</v>
      </c>
      <c r="Y23" s="44"/>
      <c r="Z23" s="44"/>
      <c r="AA23" s="44"/>
      <c r="AC23" s="44"/>
      <c r="AD23" s="44"/>
      <c r="AE23" s="44"/>
    </row>
    <row r="24" spans="2:31">
      <c r="U24" s="1">
        <f t="shared" si="1"/>
        <v>0.54133164771189801</v>
      </c>
      <c r="V24" s="1">
        <f t="shared" si="0"/>
        <v>0.29651501197758523</v>
      </c>
      <c r="Y24" s="44"/>
      <c r="AC24" s="44"/>
    </row>
    <row r="25" spans="2:31">
      <c r="U25" s="1">
        <f t="shared" si="1"/>
        <v>0.60147960856877558</v>
      </c>
      <c r="V25" s="1">
        <f t="shared" si="0"/>
        <v>0.44789690707849394</v>
      </c>
      <c r="Y25" s="44"/>
      <c r="AC25" s="44"/>
    </row>
    <row r="26" spans="2:31">
      <c r="U26" s="1">
        <f t="shared" si="1"/>
        <v>0.66162756942565315</v>
      </c>
      <c r="V26" s="1">
        <f t="shared" si="0"/>
        <v>0.63851418586687736</v>
      </c>
      <c r="Y26" s="44"/>
      <c r="Z26" s="44"/>
      <c r="AA26" s="44"/>
      <c r="AC26" s="44"/>
      <c r="AD26" s="44"/>
      <c r="AE26" s="44"/>
    </row>
    <row r="27" spans="2:31">
      <c r="U27" s="1">
        <f t="shared" si="1"/>
        <v>0.72177553028253072</v>
      </c>
      <c r="V27" s="1">
        <f t="shared" si="0"/>
        <v>0.85906128368970724</v>
      </c>
      <c r="Y27" s="44"/>
      <c r="AC27" s="44"/>
    </row>
    <row r="28" spans="2:31">
      <c r="U28" s="1">
        <f t="shared" si="1"/>
        <v>0.78192349113940829</v>
      </c>
      <c r="V28" s="1">
        <f t="shared" si="0"/>
        <v>1.0907842338994449</v>
      </c>
      <c r="Y28" s="44"/>
      <c r="AC28" s="44"/>
    </row>
    <row r="29" spans="2:31">
      <c r="U29" s="1">
        <f t="shared" si="1"/>
        <v>0.84207145199628586</v>
      </c>
      <c r="V29" s="1">
        <f t="shared" si="0"/>
        <v>1.3071176131726885</v>
      </c>
      <c r="Y29" s="1" t="b">
        <v>1</v>
      </c>
    </row>
    <row r="30" spans="2:31">
      <c r="U30" s="1">
        <f t="shared" si="1"/>
        <v>0.90221941285316343</v>
      </c>
      <c r="V30" s="1">
        <f t="shared" si="0"/>
        <v>1.4782626042254883</v>
      </c>
      <c r="Y30" s="9" t="s">
        <v>228</v>
      </c>
    </row>
    <row r="31" spans="2:31">
      <c r="U31" s="1">
        <f t="shared" si="1"/>
        <v>0.962367373710041</v>
      </c>
      <c r="V31" s="1">
        <f t="shared" si="0"/>
        <v>1.5777915426115834</v>
      </c>
      <c r="Y31" s="44" t="s">
        <v>217</v>
      </c>
      <c r="Z31" s="44" t="s">
        <v>214</v>
      </c>
      <c r="AA31" s="44" t="s">
        <v>215</v>
      </c>
    </row>
    <row r="32" spans="2:31">
      <c r="U32" s="1">
        <f t="shared" si="1"/>
        <v>1.0225153345669185</v>
      </c>
      <c r="V32" s="1">
        <f t="shared" si="0"/>
        <v>1.5893105496006901</v>
      </c>
      <c r="Y32" s="44" t="s">
        <v>216</v>
      </c>
      <c r="Z32" s="32">
        <f>C7</f>
        <v>0.8</v>
      </c>
      <c r="AA32" s="1">
        <v>0</v>
      </c>
    </row>
    <row r="33" spans="2:27">
      <c r="U33" s="1">
        <f t="shared" si="1"/>
        <v>1.082663295423796</v>
      </c>
      <c r="V33" s="1">
        <f t="shared" si="0"/>
        <v>1.5108766792405302</v>
      </c>
      <c r="Y33" s="44" t="s">
        <v>218</v>
      </c>
      <c r="Z33" s="32">
        <f>Z32</f>
        <v>0.8</v>
      </c>
      <c r="AA33" s="1">
        <f>IF($Y$29,MAX($V$15:$W$47),0)</f>
        <v>1.5893105496006901</v>
      </c>
    </row>
    <row r="34" spans="2:27">
      <c r="U34" s="1">
        <f t="shared" si="1"/>
        <v>1.1428112562806736</v>
      </c>
      <c r="V34" s="1">
        <f t="shared" si="0"/>
        <v>1.355533886018965</v>
      </c>
      <c r="Y34" s="44" t="s">
        <v>219</v>
      </c>
      <c r="Z34" s="44" t="s">
        <v>214</v>
      </c>
      <c r="AA34" s="44" t="s">
        <v>215</v>
      </c>
    </row>
    <row r="35" spans="2:27">
      <c r="U35" s="1">
        <f t="shared" si="1"/>
        <v>1.2029592171375512</v>
      </c>
      <c r="V35" s="1">
        <f t="shared" si="0"/>
        <v>1.1477646605331531</v>
      </c>
      <c r="Y35" s="44" t="s">
        <v>216</v>
      </c>
      <c r="Z35" s="32">
        <f>C8</f>
        <v>1.25</v>
      </c>
      <c r="AA35" s="1">
        <v>0</v>
      </c>
    </row>
    <row r="36" spans="2:27">
      <c r="U36" s="1">
        <f t="shared" si="1"/>
        <v>1.2631071779944287</v>
      </c>
      <c r="V36" s="1">
        <f t="shared" si="0"/>
        <v>0.91718391155064294</v>
      </c>
      <c r="Y36" s="44" t="s">
        <v>218</v>
      </c>
      <c r="Z36" s="32">
        <f>Z35</f>
        <v>1.25</v>
      </c>
      <c r="AA36" s="1">
        <f>AA33</f>
        <v>1.5893105496006901</v>
      </c>
    </row>
    <row r="37" spans="2:27">
      <c r="U37" s="1">
        <f t="shared" si="1"/>
        <v>1.3232551388513063</v>
      </c>
      <c r="V37" s="1">
        <f t="shared" si="0"/>
        <v>0.69170532122747919</v>
      </c>
    </row>
    <row r="38" spans="2:27">
      <c r="U38" s="1">
        <f t="shared" si="1"/>
        <v>1.3834030997081839</v>
      </c>
      <c r="V38" s="1">
        <f t="shared" si="0"/>
        <v>0.4923193601798051</v>
      </c>
    </row>
    <row r="39" spans="2:27">
      <c r="U39" s="1">
        <f t="shared" si="1"/>
        <v>1.4435510605650614</v>
      </c>
      <c r="V39" s="1">
        <f t="shared" si="0"/>
        <v>0.33069971569153883</v>
      </c>
    </row>
    <row r="40" spans="2:27">
      <c r="U40" s="1">
        <f t="shared" si="1"/>
        <v>1.503699021421939</v>
      </c>
      <c r="V40" s="1">
        <f t="shared" si="0"/>
        <v>0.20964371055854106</v>
      </c>
    </row>
    <row r="41" spans="2:27">
      <c r="U41" s="1">
        <f t="shared" si="1"/>
        <v>1.5638469822788166</v>
      </c>
      <c r="V41" s="1">
        <f t="shared" si="0"/>
        <v>0.12542697936354921</v>
      </c>
    </row>
    <row r="42" spans="2:27">
      <c r="U42" s="1">
        <f t="shared" si="1"/>
        <v>1.6239949431356941</v>
      </c>
      <c r="V42" s="1">
        <f t="shared" si="0"/>
        <v>7.0820860308331679E-2</v>
      </c>
    </row>
    <row r="43" spans="2:27">
      <c r="U43" s="1">
        <f t="shared" si="1"/>
        <v>1.6841429039925717</v>
      </c>
      <c r="V43" s="1">
        <f t="shared" si="0"/>
        <v>3.7739187175571676E-2</v>
      </c>
    </row>
    <row r="44" spans="2:27" ht="20.25" customHeight="1">
      <c r="U44" s="1">
        <f t="shared" si="1"/>
        <v>1.7442908648494493</v>
      </c>
      <c r="V44" s="1">
        <f t="shared" si="0"/>
        <v>1.8979509975539276E-2</v>
      </c>
    </row>
    <row r="45" spans="2:27" ht="18">
      <c r="B45" s="28" t="s">
        <v>123</v>
      </c>
      <c r="U45" s="1">
        <f t="shared" si="1"/>
        <v>1.8044388257063269</v>
      </c>
      <c r="V45" s="1">
        <f t="shared" si="0"/>
        <v>9.0082111596319035E-3</v>
      </c>
    </row>
    <row r="46" spans="2:27">
      <c r="U46" s="1">
        <f t="shared" si="1"/>
        <v>1.8645867865632044</v>
      </c>
      <c r="V46" s="1">
        <f t="shared" si="0"/>
        <v>4.0350900346774578E-3</v>
      </c>
    </row>
    <row r="47" spans="2:27">
      <c r="U47" s="1">
        <f t="shared" si="1"/>
        <v>1.924734747420082</v>
      </c>
      <c r="V47" s="1">
        <f t="shared" si="0"/>
        <v>1.705803536648734E-3</v>
      </c>
    </row>
    <row r="60" spans="2:2">
      <c r="B60" s="1" t="s">
        <v>126</v>
      </c>
    </row>
    <row r="67" spans="2:7">
      <c r="B67" s="9" t="s">
        <v>125</v>
      </c>
      <c r="G67" s="6"/>
    </row>
    <row r="68" spans="2:7">
      <c r="G68" s="6"/>
    </row>
    <row r="69" spans="2:7">
      <c r="B69" s="9" t="s">
        <v>236</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2"/>
    <col min="27" max="27" width="20.42578125" style="52" bestFit="1" customWidth="1"/>
    <col min="28" max="34" width="9.140625" style="52"/>
    <col min="35" max="16384" width="9.140625" style="1"/>
  </cols>
  <sheetData>
    <row r="1" spans="2:31" ht="27" thickBot="1">
      <c r="B1" s="17" t="s">
        <v>76</v>
      </c>
      <c r="G1" s="9" t="s">
        <v>122</v>
      </c>
      <c r="Z1" s="52" t="s">
        <v>33</v>
      </c>
    </row>
    <row r="2" spans="2:31" ht="13.5" thickBot="1">
      <c r="B2" s="1" t="s">
        <v>1</v>
      </c>
      <c r="C2" s="2">
        <v>0.8</v>
      </c>
      <c r="Y2" s="52" t="s">
        <v>32</v>
      </c>
      <c r="Z2" s="52">
        <f>(2*G9+1)/(G9+1)</f>
        <v>1</v>
      </c>
    </row>
    <row r="3" spans="2:31" ht="13.5" thickBot="1">
      <c r="C3" s="14"/>
      <c r="Y3" s="52" t="s">
        <v>235</v>
      </c>
      <c r="Z3" s="52">
        <v>0.75</v>
      </c>
    </row>
    <row r="4" spans="2:31" ht="13.5" thickBot="1">
      <c r="B4" s="8" t="s">
        <v>59</v>
      </c>
      <c r="C4" s="2">
        <v>0.05</v>
      </c>
      <c r="Y4" s="52" t="s">
        <v>31</v>
      </c>
      <c r="Z4" s="52">
        <v>0.5</v>
      </c>
    </row>
    <row r="5" spans="2:31" ht="16.5" thickBot="1">
      <c r="B5" s="1" t="s">
        <v>120</v>
      </c>
      <c r="C5" s="43">
        <v>0.65</v>
      </c>
      <c r="D5" s="1" t="s">
        <v>127</v>
      </c>
      <c r="U5" s="52" t="s">
        <v>56</v>
      </c>
      <c r="Y5" s="52">
        <v>3</v>
      </c>
    </row>
    <row r="6" spans="2:31" ht="16.5" thickBot="1">
      <c r="B6" s="1" t="s">
        <v>34</v>
      </c>
      <c r="C6" s="43">
        <v>0.9</v>
      </c>
      <c r="D6" s="1" t="str">
        <f>IF(C6=1,"","(to "&amp;ROUND(100/C6,1)&amp;"%)")&amp;IF(OR($C$6&lt;$C$7,$C$6&gt;$C$8)," WARNING: Ratio outside BE limits.","")</f>
        <v>(to 111.1%)</v>
      </c>
      <c r="U6" s="52">
        <v>1</v>
      </c>
      <c r="Y6" s="52">
        <f>INDEX(Z2:Z4,Y5,1)</f>
        <v>0.5</v>
      </c>
    </row>
    <row r="7" spans="2:31" ht="13.5" thickBot="1">
      <c r="B7" s="1" t="s">
        <v>9</v>
      </c>
      <c r="C7" s="13">
        <v>0.8</v>
      </c>
    </row>
    <row r="8" spans="2:31" ht="13.5" thickBot="1">
      <c r="B8" s="1" t="s">
        <v>10</v>
      </c>
      <c r="C8" s="13">
        <f>1/C7</f>
        <v>1.25</v>
      </c>
    </row>
    <row r="10" spans="2:31" ht="15.75">
      <c r="B10" s="8" t="s">
        <v>26</v>
      </c>
      <c r="C10" s="1">
        <f>SQRT(LN((C5)^2+1))</f>
        <v>0.59364626421662003</v>
      </c>
      <c r="V10" s="52" t="s">
        <v>212</v>
      </c>
      <c r="W10" s="52" t="s">
        <v>210</v>
      </c>
      <c r="X10" s="52" t="s">
        <v>213</v>
      </c>
      <c r="Y10" s="52" t="s">
        <v>211</v>
      </c>
      <c r="AA10" s="52" t="s">
        <v>224</v>
      </c>
      <c r="AB10" s="52" t="s">
        <v>225</v>
      </c>
    </row>
    <row r="11" spans="2:31">
      <c r="B11" s="1" t="s">
        <v>0</v>
      </c>
      <c r="C11" s="7">
        <v>3</v>
      </c>
      <c r="U11" s="52" t="s">
        <v>206</v>
      </c>
      <c r="V11" s="53">
        <f>C6</f>
        <v>0.9</v>
      </c>
      <c r="W11" s="52">
        <f>$C$10</f>
        <v>0.59364626421662003</v>
      </c>
      <c r="X11" s="52">
        <f>W11/SQRT(C11)</f>
        <v>0.34274183044888129</v>
      </c>
      <c r="Y11" s="52">
        <f>TINV($C$4*2,$C$11-2)*X11</f>
        <v>2.1639867511391211</v>
      </c>
      <c r="AA11" s="54">
        <f>V11+4*W11</f>
        <v>3.27458505686648</v>
      </c>
      <c r="AB11" s="52">
        <f>AA11/33</f>
        <v>9.9229850208075149E-2</v>
      </c>
    </row>
    <row r="12" spans="2:31">
      <c r="B12" s="1" t="s">
        <v>2</v>
      </c>
      <c r="C12" s="1">
        <f>C11-2</f>
        <v>1</v>
      </c>
    </row>
    <row r="13" spans="2:31">
      <c r="B13" s="1" t="s">
        <v>8</v>
      </c>
      <c r="C13" s="1">
        <f>TINV(C4*2,C12)</f>
        <v>6.3137515146750438</v>
      </c>
      <c r="Y13" s="52" t="b">
        <v>0</v>
      </c>
      <c r="AC13" s="52" t="b">
        <v>1</v>
      </c>
    </row>
    <row r="14" spans="2:31">
      <c r="B14" s="1" t="s">
        <v>3</v>
      </c>
      <c r="C14" s="1">
        <f>(SQRT(C11)*(LN(C6)-LN(C8)))/(SQRT(2*C10^2))</f>
        <v>-0.67773301291839627</v>
      </c>
      <c r="U14" s="52" t="s">
        <v>205</v>
      </c>
      <c r="V14" s="52" t="s">
        <v>227</v>
      </c>
      <c r="Y14" s="55" t="s">
        <v>220</v>
      </c>
      <c r="AC14" s="55" t="s">
        <v>222</v>
      </c>
    </row>
    <row r="15" spans="2:31">
      <c r="B15" s="1" t="s">
        <v>4</v>
      </c>
      <c r="C15" s="1">
        <f>(SQRT(C11)*(LN(C6)-LN(C7)))/(SQRT(2*C10^2))</f>
        <v>0.24299684433700114</v>
      </c>
      <c r="U15" s="52">
        <v>0</v>
      </c>
      <c r="V15" s="52">
        <f>_xlfn.NORM.DIST($U15,$V$11,$C$5,FALSE)</f>
        <v>0.23533729435330628</v>
      </c>
      <c r="Y15" s="52" t="s">
        <v>217</v>
      </c>
      <c r="Z15" s="52" t="s">
        <v>214</v>
      </c>
      <c r="AA15" s="52" t="s">
        <v>215</v>
      </c>
      <c r="AC15" s="52" t="s">
        <v>217</v>
      </c>
      <c r="AD15" s="52" t="s">
        <v>214</v>
      </c>
      <c r="AE15" s="52" t="s">
        <v>215</v>
      </c>
    </row>
    <row r="16" spans="2:31">
      <c r="B16" s="1" t="s">
        <v>7</v>
      </c>
      <c r="C16" s="1">
        <f>NCt(-C13,C12,C14)</f>
        <v>0.10307839717957634</v>
      </c>
      <c r="U16" s="52">
        <f>U15+$AB$11</f>
        <v>9.9229850208075149E-2</v>
      </c>
      <c r="V16" s="52">
        <f t="shared" ref="V16:V47" si="0">_xlfn.NORM.DIST($U16,$V$11,$C$5,FALSE)</f>
        <v>0.28736242915824389</v>
      </c>
      <c r="Y16" s="52" t="s">
        <v>216</v>
      </c>
      <c r="Z16" s="52">
        <f>$V$11-$W$11</f>
        <v>0.30635373578337999</v>
      </c>
      <c r="AA16" s="52">
        <v>0</v>
      </c>
      <c r="AC16" s="52" t="s">
        <v>216</v>
      </c>
      <c r="AD16" s="52">
        <f>$V$11-$Y$11</f>
        <v>-1.2639867511391212</v>
      </c>
      <c r="AE16" s="52">
        <v>0</v>
      </c>
    </row>
    <row r="17" spans="2:31">
      <c r="B17" s="1" t="s">
        <v>6</v>
      </c>
      <c r="C17" s="1">
        <f>NCt(C13,C12,C15)</f>
        <v>0.93339405326162772</v>
      </c>
      <c r="U17" s="52">
        <f t="shared" ref="U17:U47" si="1">U16+$AB$11</f>
        <v>0.1984597004161503</v>
      </c>
      <c r="V17" s="52">
        <f t="shared" si="0"/>
        <v>0.34280549683534484</v>
      </c>
      <c r="Y17" s="52" t="s">
        <v>218</v>
      </c>
      <c r="Z17" s="52">
        <f>Z16</f>
        <v>0.30635373578337999</v>
      </c>
      <c r="AA17" s="52">
        <f>IF(Y13,MAX($V$15:$V$47),0)</f>
        <v>0</v>
      </c>
      <c r="AC17" s="52" t="s">
        <v>218</v>
      </c>
      <c r="AD17" s="52">
        <f>AD16</f>
        <v>-1.2639867511391212</v>
      </c>
      <c r="AE17" s="52">
        <f>IF(AC13,MAX($V$15:$V$47),0)</f>
        <v>0.61372245947377413</v>
      </c>
    </row>
    <row r="18" spans="2:31">
      <c r="B18" s="1" t="s">
        <v>58</v>
      </c>
      <c r="C18" s="1">
        <f>C16-C17</f>
        <v>-0.83031565608205138</v>
      </c>
      <c r="E18" s="5"/>
      <c r="U18" s="52">
        <f t="shared" si="1"/>
        <v>0.29768955062422542</v>
      </c>
      <c r="V18" s="52">
        <f t="shared" si="0"/>
        <v>0.39952515522834975</v>
      </c>
      <c r="Y18" s="52" t="s">
        <v>219</v>
      </c>
      <c r="Z18" s="52" t="s">
        <v>214</v>
      </c>
      <c r="AA18" s="52" t="s">
        <v>215</v>
      </c>
      <c r="AC18" s="52" t="s">
        <v>219</v>
      </c>
      <c r="AD18" s="52" t="s">
        <v>214</v>
      </c>
      <c r="AE18" s="52" t="s">
        <v>215</v>
      </c>
    </row>
    <row r="19" spans="2:31">
      <c r="U19" s="52">
        <f t="shared" si="1"/>
        <v>0.3969194008323006</v>
      </c>
      <c r="V19" s="52">
        <f t="shared" si="0"/>
        <v>0.45490325198376713</v>
      </c>
      <c r="Y19" s="52" t="s">
        <v>216</v>
      </c>
      <c r="Z19" s="52">
        <f>$V$11+$W$11</f>
        <v>1.4936462642166202</v>
      </c>
      <c r="AA19" s="52">
        <v>0</v>
      </c>
      <c r="AC19" s="52" t="s">
        <v>216</v>
      </c>
      <c r="AD19" s="52">
        <f>$V$11+$Y$11</f>
        <v>3.063986751139121</v>
      </c>
      <c r="AE19" s="52">
        <v>0</v>
      </c>
    </row>
    <row r="20" spans="2:31">
      <c r="B20" s="1" t="s">
        <v>11</v>
      </c>
      <c r="C20" s="1">
        <f>CEILING(INDEX(Z2:Z4,Y5,1)*C11,1)</f>
        <v>2</v>
      </c>
      <c r="U20" s="52">
        <f t="shared" si="1"/>
        <v>0.49614925104037577</v>
      </c>
      <c r="V20" s="52">
        <f t="shared" si="0"/>
        <v>0.50602563077485663</v>
      </c>
      <c r="Y20" s="52" t="s">
        <v>218</v>
      </c>
      <c r="Z20" s="52">
        <f>Z19</f>
        <v>1.4936462642166202</v>
      </c>
      <c r="AA20" s="52">
        <f>AA17</f>
        <v>0</v>
      </c>
      <c r="AC20" s="52" t="s">
        <v>218</v>
      </c>
      <c r="AD20" s="52">
        <f>AD19</f>
        <v>3.063986751139121</v>
      </c>
      <c r="AE20" s="52">
        <f>AE17</f>
        <v>0.61372245947377413</v>
      </c>
    </row>
    <row r="21" spans="2:31">
      <c r="U21" s="52">
        <f t="shared" si="1"/>
        <v>0.59537910124845095</v>
      </c>
      <c r="V21" s="52">
        <f t="shared" si="0"/>
        <v>0.54992637471810812</v>
      </c>
    </row>
    <row r="22" spans="2:31">
      <c r="U22" s="52">
        <f t="shared" si="1"/>
        <v>0.69460895145652612</v>
      </c>
      <c r="V22" s="52">
        <f t="shared" si="0"/>
        <v>0.58386863272477407</v>
      </c>
      <c r="Y22" s="55"/>
      <c r="AC22" s="55"/>
    </row>
    <row r="23" spans="2:31">
      <c r="U23" s="52">
        <f t="shared" si="1"/>
        <v>0.7938388016646013</v>
      </c>
      <c r="V23" s="52">
        <f t="shared" si="0"/>
        <v>0.60562570518659309</v>
      </c>
    </row>
    <row r="24" spans="2:31">
      <c r="U24" s="52">
        <f t="shared" si="1"/>
        <v>0.89306865187267648</v>
      </c>
      <c r="V24" s="52">
        <f t="shared" si="0"/>
        <v>0.61372245947377413</v>
      </c>
    </row>
    <row r="25" spans="2:31">
      <c r="U25" s="52">
        <f t="shared" si="1"/>
        <v>0.99229850208075165</v>
      </c>
      <c r="V25" s="52">
        <f t="shared" si="0"/>
        <v>0.60760074029019817</v>
      </c>
    </row>
    <row r="26" spans="2:31">
      <c r="U26" s="52">
        <f t="shared" si="1"/>
        <v>1.0915283522888268</v>
      </c>
      <c r="V26" s="52">
        <f t="shared" si="0"/>
        <v>0.5876830063555375</v>
      </c>
    </row>
    <row r="27" spans="2:31">
      <c r="U27" s="52">
        <f t="shared" si="1"/>
        <v>1.1907582024969019</v>
      </c>
      <c r="V27" s="52">
        <f t="shared" si="0"/>
        <v>0.55532411335267029</v>
      </c>
    </row>
    <row r="28" spans="2:31">
      <c r="U28" s="52">
        <f t="shared" si="1"/>
        <v>1.289988052704977</v>
      </c>
      <c r="V28" s="52">
        <f t="shared" si="0"/>
        <v>0.51265888884221822</v>
      </c>
    </row>
    <row r="29" spans="2:31">
      <c r="U29" s="52">
        <f t="shared" si="1"/>
        <v>1.389217902913052</v>
      </c>
      <c r="V29" s="52">
        <f t="shared" si="0"/>
        <v>0.46236932369525469</v>
      </c>
      <c r="Y29" s="52" t="b">
        <v>1</v>
      </c>
    </row>
    <row r="30" spans="2:31">
      <c r="U30" s="52">
        <f t="shared" si="1"/>
        <v>1.4884477531211271</v>
      </c>
      <c r="V30" s="52">
        <f t="shared" si="0"/>
        <v>0.40740663195800214</v>
      </c>
      <c r="Y30" s="55" t="s">
        <v>228</v>
      </c>
    </row>
    <row r="31" spans="2:31">
      <c r="U31" s="52">
        <f t="shared" si="1"/>
        <v>1.5876776033292022</v>
      </c>
      <c r="V31" s="52">
        <f t="shared" si="0"/>
        <v>0.35070805182037268</v>
      </c>
      <c r="Y31" s="52" t="s">
        <v>217</v>
      </c>
      <c r="Z31" s="52" t="s">
        <v>214</v>
      </c>
      <c r="AA31" s="52" t="s">
        <v>215</v>
      </c>
    </row>
    <row r="32" spans="2:31">
      <c r="U32" s="52">
        <f t="shared" si="1"/>
        <v>1.6869074535372772</v>
      </c>
      <c r="V32" s="52">
        <f t="shared" si="0"/>
        <v>0.29494561250934742</v>
      </c>
      <c r="Y32" s="52" t="s">
        <v>216</v>
      </c>
      <c r="Z32" s="56">
        <f>C7</f>
        <v>0.8</v>
      </c>
      <c r="AA32" s="52">
        <v>0</v>
      </c>
    </row>
    <row r="33" spans="21:27">
      <c r="U33" s="52">
        <f t="shared" si="1"/>
        <v>1.7861373037453523</v>
      </c>
      <c r="V33" s="52">
        <f t="shared" si="0"/>
        <v>0.24233531319033688</v>
      </c>
      <c r="Y33" s="52" t="s">
        <v>218</v>
      </c>
      <c r="Z33" s="56">
        <f>Z32</f>
        <v>0.8</v>
      </c>
      <c r="AA33" s="52">
        <f>IF($Y$29,MAX($V$15:$W$47),0)</f>
        <v>0.61372245947377413</v>
      </c>
    </row>
    <row r="34" spans="21:27">
      <c r="U34" s="52">
        <f t="shared" si="1"/>
        <v>1.8853671539534274</v>
      </c>
      <c r="V34" s="52">
        <f t="shared" si="0"/>
        <v>0.1945225836599368</v>
      </c>
      <c r="Y34" s="52" t="s">
        <v>219</v>
      </c>
      <c r="Z34" s="52" t="s">
        <v>214</v>
      </c>
      <c r="AA34" s="52" t="s">
        <v>215</v>
      </c>
    </row>
    <row r="35" spans="21:27">
      <c r="U35" s="52">
        <f t="shared" si="1"/>
        <v>1.9845970041615024</v>
      </c>
      <c r="V35" s="52">
        <f t="shared" si="0"/>
        <v>0.15254638314764188</v>
      </c>
      <c r="Y35" s="52" t="s">
        <v>216</v>
      </c>
      <c r="Z35" s="56">
        <f>C8</f>
        <v>1.25</v>
      </c>
      <c r="AA35" s="52">
        <v>0</v>
      </c>
    </row>
    <row r="36" spans="21:27">
      <c r="U36" s="52">
        <f t="shared" si="1"/>
        <v>2.0838268543695775</v>
      </c>
      <c r="V36" s="52">
        <f t="shared" si="0"/>
        <v>0.11687250742502221</v>
      </c>
      <c r="Y36" s="52" t="s">
        <v>218</v>
      </c>
      <c r="Z36" s="56">
        <f>Z35</f>
        <v>1.25</v>
      </c>
      <c r="AA36" s="52">
        <f>AA33</f>
        <v>0.61372245947377413</v>
      </c>
    </row>
    <row r="37" spans="21:27">
      <c r="U37" s="52">
        <f t="shared" si="1"/>
        <v>2.1830567045776528</v>
      </c>
      <c r="V37" s="52">
        <f t="shared" si="0"/>
        <v>8.7478508365891355E-2</v>
      </c>
    </row>
    <row r="38" spans="21:27">
      <c r="U38" s="52">
        <f t="shared" si="1"/>
        <v>2.2822865547857281</v>
      </c>
      <c r="V38" s="52">
        <f t="shared" si="0"/>
        <v>6.3968908046208445E-2</v>
      </c>
    </row>
    <row r="39" spans="21:27">
      <c r="U39" s="52">
        <f t="shared" si="1"/>
        <v>2.3815164049938033</v>
      </c>
      <c r="V39" s="52">
        <f t="shared" si="0"/>
        <v>4.569988070902295E-2</v>
      </c>
    </row>
    <row r="40" spans="21:27">
      <c r="U40" s="52">
        <f t="shared" si="1"/>
        <v>2.4807462552018786</v>
      </c>
      <c r="V40" s="52">
        <f t="shared" si="0"/>
        <v>3.1896259526106731E-2</v>
      </c>
    </row>
    <row r="41" spans="21:27">
      <c r="U41" s="52">
        <f t="shared" si="1"/>
        <v>2.5799761054099539</v>
      </c>
      <c r="V41" s="52">
        <f t="shared" si="0"/>
        <v>2.1749185983899813E-2</v>
      </c>
    </row>
    <row r="42" spans="21:27">
      <c r="U42" s="52">
        <f t="shared" si="1"/>
        <v>2.6792059556180292</v>
      </c>
      <c r="V42" s="52">
        <f t="shared" si="0"/>
        <v>1.4488546488791608E-2</v>
      </c>
    </row>
    <row r="43" spans="21:27">
      <c r="U43" s="52">
        <f t="shared" si="1"/>
        <v>2.7784358058261045</v>
      </c>
      <c r="V43" s="52">
        <f t="shared" si="0"/>
        <v>9.4294245755793919E-3</v>
      </c>
    </row>
    <row r="44" spans="21:27" ht="20.25" customHeight="1">
      <c r="U44" s="52">
        <f t="shared" si="1"/>
        <v>2.8776656560341798</v>
      </c>
      <c r="V44" s="52">
        <f t="shared" si="0"/>
        <v>5.9954822866968805E-3</v>
      </c>
    </row>
    <row r="45" spans="21:27">
      <c r="U45" s="52">
        <f t="shared" si="1"/>
        <v>2.9768955062422551</v>
      </c>
      <c r="V45" s="52">
        <f t="shared" si="0"/>
        <v>3.7242739410159697E-3</v>
      </c>
    </row>
    <row r="46" spans="21:27">
      <c r="U46" s="52">
        <f t="shared" si="1"/>
        <v>3.0761253564503304</v>
      </c>
      <c r="V46" s="52">
        <f t="shared" si="0"/>
        <v>2.260152134061862E-3</v>
      </c>
    </row>
    <row r="47" spans="21:27">
      <c r="U47" s="52">
        <f t="shared" si="1"/>
        <v>3.1753552066584056</v>
      </c>
      <c r="V47" s="52">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2022-02-13T05:30:22Z</dcterms:modified>
  <cp:category>Sample Size Estimation</cp:category>
</cp:coreProperties>
</file>