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3F3864DB-C671-40B3-99BF-414799972FEE}" xr6:coauthVersionLast="47" xr6:coauthVersionMax="47" xr10:uidLastSave="{00000000-0000-0000-0000-000000000000}"/>
  <bookViews>
    <workbookView xWindow="-12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<sst xmlns="http://schemas.openxmlformats.org/spreadsheetml/2006/main" count="996" uniqueCount="250">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</sst>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-1.5638709635184753</c:v>
                </c:pt>
                <c:pt idx="1">
                  <c:v>-1.5638709635184753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3.5638709635184753</c:v>
                </c:pt>
                <c:pt idx="1">
                  <c:v>3.5638709635184753</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0.92063532251344238</c:v>
                </c:pt>
                <c:pt idx="1">
                  <c:v>0.92063532251344238</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1.0793646774865577</c:v>
                </c:pt>
                <c:pt idx="1">
                  <c:v>1.0793646774865577</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CAAC1751-EC8B-4976-AA7C-DC2B04D7C83D}"/>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6" customWidth="1"/>
    <col min="2" max="2" width="10.42578125" style="66" customWidth="1"/>
    <col min="3" max="16384" width="9.140625" style="66"/>
  </cols>
  <sheetData>
    <row r="2" spans="2:9" ht="20.25">
      <c r="C2" s="67" t="s">
        <v>242</v>
      </c>
      <c r="I2" s="68" t="s">
        <v>241</v>
      </c>
    </row>
    <row r="3" spans="2:9" ht="20.25">
      <c r="C3" s="67" t="s">
        <v>243</v>
      </c>
    </row>
    <row r="4" spans="2:9">
      <c r="B4" s="69" t="s">
        <v>80</v>
      </c>
    </row>
    <row r="6" spans="2:9">
      <c r="B6" s="70" t="s">
        <v>249</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3</v>
      </c>
      <c r="U11" s="52" t="s">
        <v>206</v>
      </c>
      <c r="V11" s="55">
        <f>4*C5</f>
        <v>160</v>
      </c>
      <c r="W11" s="52">
        <f>$C$5</f>
        <v>40</v>
      </c>
      <c r="X11" s="52">
        <f>W11/SQRT(C20)</f>
        <v>23.094010767585033</v>
      </c>
      <c r="Y11" s="52">
        <f>TINV($C$4*2,$C$20-1)*X11</f>
        <v>67.434178433881996</v>
      </c>
      <c r="AA11" s="52">
        <f>V12+4*W12</f>
        <v>328</v>
      </c>
      <c r="AB11" s="52">
        <f>AA11/33</f>
        <v>9.9393939393939394</v>
      </c>
    </row>
    <row r="12" spans="2:31" ht="15.75">
      <c r="B12" s="1" t="s">
        <v>61</v>
      </c>
      <c r="C12" s="1">
        <f>C11*(C3+1)-2</f>
        <v>4</v>
      </c>
      <c r="U12" s="52" t="s">
        <v>207</v>
      </c>
      <c r="V12" s="55">
        <f>V11+C6</f>
        <v>168</v>
      </c>
      <c r="W12" s="52">
        <f>$C$5</f>
        <v>40</v>
      </c>
      <c r="X12" s="52">
        <f>W12/SQRT(D20)</f>
        <v>23.094010767585033</v>
      </c>
      <c r="Y12" s="52">
        <f>TINV($C$4*2,$D$20-1)*X12</f>
        <v>67.434178433881996</v>
      </c>
    </row>
    <row r="13" spans="2:31" ht="15.75">
      <c r="B13" s="1" t="s">
        <v>62</v>
      </c>
      <c r="C13" s="1">
        <f>TINV(C4,C12)</f>
        <v>2.7764451051977934</v>
      </c>
      <c r="Y13" s="52" t="b">
        <v>1</v>
      </c>
      <c r="AC13" s="52" t="b">
        <v>0</v>
      </c>
    </row>
    <row r="14" spans="2:31">
      <c r="B14" s="1" t="s">
        <v>4</v>
      </c>
      <c r="C14" s="1">
        <f>SQRT((C3*C11*C6^2)/((C3+1)*C10^2))</f>
        <v>0.2449489742783178</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92.565821566118004</v>
      </c>
      <c r="AE16" s="51">
        <v>0</v>
      </c>
    </row>
    <row r="17" spans="2:31">
      <c r="B17" s="1" t="s">
        <v>6</v>
      </c>
      <c r="C17" s="1">
        <f>NCt(C13,C12,C14)</f>
        <v>0.96127583880847123</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92.565821566118004</v>
      </c>
      <c r="AE17" s="51">
        <f>IF(AC13,MAX($V$15:$V$47),0)</f>
        <v>0</v>
      </c>
    </row>
    <row r="18" spans="2:31">
      <c r="B18" s="1" t="s">
        <v>58</v>
      </c>
      <c r="C18" s="1">
        <f>1-C17</f>
        <v>3.8724161191528772E-2</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227.43417843388198</v>
      </c>
      <c r="AE19" s="51">
        <v>0</v>
      </c>
    </row>
    <row r="20" spans="2:31">
      <c r="B20" s="1" t="s">
        <v>11</v>
      </c>
      <c r="C20" s="1">
        <f>CEILING(C11,1)</f>
        <v>3</v>
      </c>
      <c r="D20" s="1">
        <f>C20*C3</f>
        <v>3</v>
      </c>
      <c r="E20" s="1">
        <f>C20+D20</f>
        <v>6</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227.43417843388198</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100.565821566118</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100.565821566118</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235.43417843388198</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235.43417843388198</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1</v>
      </c>
      <c r="W11" s="1">
        <f>$C$10</f>
        <v>0.70334645931866824</v>
      </c>
      <c r="X11" s="1">
        <f>W11/SQRT(C20)</f>
        <v>0.40607726762120328</v>
      </c>
      <c r="Y11" s="1">
        <f>TINV($C$4*2,$C$20-2)*X11</f>
        <v>2.5638709635184753</v>
      </c>
      <c r="AA11" s="46">
        <f>V11+4*W11</f>
        <v>3.813385837274673</v>
      </c>
      <c r="AB11" s="1">
        <f>AA11/33</f>
        <v>0.11555714658408101</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-0.38856230302335509</v>
      </c>
      <c r="U14" s="44" t="s">
        <v>205</v>
      </c>
      <c r="V14" s="44" t="s">
        <v>227</v>
      </c>
      <c r="W14" s="44"/>
      <c r="Y14" s="9" t="s">
        <v>220</v>
      </c>
      <c r="AC14" s="9" t="s">
        <v>222</v>
      </c>
    </row>
    <row r="15" spans="2:31">
      <c r="B15" s="1" t="s">
        <v>4</v>
      </c>
      <c r="C15" s="1">
        <f>SQRT(C3*C11)*(LN(C6)-LN(C7))/SQRT((C3+1)*C10^2)</f>
        <v>0.38856230302335498</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9.3923115503076415E-2</v>
      </c>
      <c r="N16" s="44" t="s">
        <v>246</v>
      </c>
      <c r="U16" s="1">
        <f>U15+$AB$11</f>
        <v>0.11555714658408101</v>
      </c>
      <c r="V16" s="1">
        <f t="shared" ref="V16:V47" si="0">_xlfn.NORM.DIST($U16,$V$11,$C$5,FALSE)</f>
        <v>0.27065256559820106</v>
      </c>
      <c r="Y16" s="44" t="s">
        <v>216</v>
      </c>
      <c r="Z16" s="1">
        <f>$V$11-$W$11</f>
        <v>0.29665354068133176</v>
      </c>
      <c r="AA16" s="1">
        <v>0</v>
      </c>
      <c r="AC16" s="44" t="s">
        <v>216</v>
      </c>
      <c r="AD16" s="1">
        <f>$V$11-$Y$11</f>
        <v>-1.5638709635184753</v>
      </c>
      <c r="AE16" s="1">
        <v>0</v>
      </c>
    </row>
    <row r="17" spans="2:31" ht="13.5" thickBot="1">
      <c r="B17" s="1" t="s">
        <v>6</v>
      </c>
      <c r="C17" s="1">
        <f>NCt(C13,C12,C15)</f>
        <v>0.90607688449692358</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-1.5638709635184753</v>
      </c>
      <c r="AE17" s="1">
        <f>IF(AC13,MAX($V$15:$V$47),0)</f>
        <v>0.49805444680287991</v>
      </c>
    </row>
    <row r="18" spans="2:31" ht="13.5" thickBot="1">
      <c r="B18" s="1" t="s">
        <v>58</v>
      </c>
      <c r="C18" s="1">
        <f>C16-C17</f>
        <v>-0.81215376899384717</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3.5638709635184753</v>
      </c>
      <c r="AE19" s="1">
        <v>0</v>
      </c>
    </row>
    <row r="20" spans="2:31">
      <c r="B20" s="1" t="s">
        <v>11</v>
      </c>
      <c r="C20" s="1">
        <f>CEILING(C11,1)</f>
        <v>3</v>
      </c>
      <c r="D20" s="1">
        <f>C20*C3</f>
        <v>3</v>
      </c>
      <c r="E20" s="1">
        <f>C20+D20</f>
        <v>6</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3.5638709635184753</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1</v>
      </c>
      <c r="W11" s="1">
        <f>$C$10</f>
        <v>0.24622067706923975</v>
      </c>
      <c r="X11" s="1">
        <f>W11/SQRT(C20)</f>
        <v>4.6531334226225157E-2</v>
      </c>
      <c r="Y11" s="1">
        <f>TINV($C$4*2,$C$20-2)*X11</f>
        <v>7.936467748655765E-2</v>
      </c>
      <c r="AA11" s="46">
        <f>V11+4*W11</f>
        <v>1.9848827082769591</v>
      </c>
      <c r="AB11" s="1">
        <f>AA11/33</f>
        <v>6.0147960856877548E-2</v>
      </c>
    </row>
    <row r="12" spans="2:31">
      <c r="B12" s="1" t="s">
        <v>2</v>
      </c>
      <c r="C12" s="1">
        <f>C11-2</f>
        <v>26</v>
      </c>
      <c r="U12" s="44"/>
    </row>
    <row r="13" spans="2:31">
      <c r="B13" s="1" t="s">
        <v>8</v>
      </c>
      <c r="C13" s="1">
        <f>TINV(C4*2,C12)</f>
        <v>1.7056179197592738</v>
      </c>
      <c r="Y13" s="1" t="b">
        <v>0</v>
      </c>
      <c r="AC13" s="1" t="b">
        <v>1</v>
      </c>
    </row>
    <row r="14" spans="2:31">
      <c r="B14" s="1" t="s">
        <v>3</v>
      </c>
      <c r="C14" s="1">
        <f>(SQRT(C11)*(LN(C6)-LN(C8)))/(SQRT(2*C10^2))</f>
        <v>-3.3909691380265081</v>
      </c>
      <c r="U14" s="44" t="s">
        <v>205</v>
      </c>
      <c r="V14" s="44" t="s">
        <v>227</v>
      </c>
      <c r="W14" s="44"/>
      <c r="Y14" s="9" t="s">
        <v>220</v>
      </c>
      <c r="AC14" s="9" t="s">
        <v>222</v>
      </c>
    </row>
    <row r="15" spans="2:31">
      <c r="B15" s="1" t="s">
        <v>4</v>
      </c>
      <c r="C15" s="1">
        <f>(SQRT(C11)*(LN(C6)-LN(C7)))/(SQRT(2*C10^2))</f>
        <v>3.3909691380265072</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0.95113011833985861</v>
      </c>
      <c r="U16" s="1">
        <f>U15+$AB$11</f>
        <v>6.0147960856877548E-2</v>
      </c>
      <c r="V16" s="1">
        <f t="shared" ref="V16:V47" si="0">_xlfn.NORM.DIST($U16,$V$11,$C$5,FALSE)</f>
        <v>1.3614308782823046E-3</v>
      </c>
      <c r="Y16" s="44" t="s">
        <v>216</v>
      </c>
      <c r="Z16" s="1">
        <f>$V$11-$W$11</f>
        <v>0.75377932293076022</v>
      </c>
      <c r="AA16" s="1">
        <v>0</v>
      </c>
      <c r="AC16" s="44" t="s">
        <v>216</v>
      </c>
      <c r="AD16" s="1">
        <f>$V$11-$Y$11</f>
        <v>0.92063532251344238</v>
      </c>
      <c r="AE16" s="1">
        <v>0</v>
      </c>
    </row>
    <row r="17" spans="2:31">
      <c r="B17" s="1" t="s">
        <v>6</v>
      </c>
      <c r="C17" s="1">
        <f>NCt(C13,C12,C15)</f>
        <v>4.8869881660141418E-2</v>
      </c>
      <c r="U17" s="1">
        <f t="shared" ref="U17:U47" si="1">U16+$AB$11</f>
        <v>0.1202959217137551</v>
      </c>
      <c r="V17" s="1">
        <f t="shared" si="0"/>
        <v>3.2676693182428582E-3</v>
      </c>
      <c r="Y17" s="44" t="s">
        <v>218</v>
      </c>
      <c r="Z17" s="1">
        <f>Z16</f>
        <v>0.75377932293076022</v>
      </c>
      <c r="AA17" s="1">
        <f>IF(Y13,MAX($V$15:$V$47),0)</f>
        <v>0</v>
      </c>
      <c r="AC17" s="44" t="s">
        <v>218</v>
      </c>
      <c r="AD17" s="1">
        <f>AD16</f>
        <v>0.92063532251344238</v>
      </c>
      <c r="AE17" s="1">
        <f>IF(AC13,MAX($V$15:$V$47),0)</f>
        <v>1.5893105496006901</v>
      </c>
    </row>
    <row r="18" spans="2:31">
      <c r="B18" s="1" t="s">
        <v>58</v>
      </c>
      <c r="C18" s="1">
        <f>C16-C17</f>
        <v>0.90226023667971722</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1.0793646774865577</v>
      </c>
      <c r="AE19" s="1">
        <v>0</v>
      </c>
    </row>
    <row r="20" spans="2:31">
      <c r="B20" s="1" t="s">
        <v>11</v>
      </c>
      <c r="C20" s="1">
        <f>CEILING(C11,1)</f>
        <v>28</v>
      </c>
      <c r="U20" s="1">
        <f t="shared" si="1"/>
        <v>0.30073980428438774</v>
      </c>
      <c r="V20" s="1">
        <f t="shared" si="0"/>
        <v>3.1925100068458327E-2</v>
      </c>
      <c r="Y20" s="44" t="s">
        <v>218</v>
      </c>
      <c r="Z20" s="1">
        <f>Z19</f>
        <v>1.2462206770692397</v>
      </c>
      <c r="AA20" s="1">
        <f>AA17</f>
        <v>0</v>
      </c>
      <c r="AC20" s="44" t="s">
        <v>218</v>
      </c>
      <c r="AD20" s="1">
        <f>AD19</f>
        <v>1.0793646774865577</v>
      </c>
      <c r="AE20" s="1">
        <f>AE17</f>
        <v>1.5893105496006901</v>
      </c>
    </row>
    <row r="21" spans="2:31">
      <c r="U21" s="1">
        <f t="shared" si="1"/>
        <v>0.3608877651412653</v>
      </c>
      <c r="V21" s="1">
        <f t="shared" si="0"/>
        <v>6.0788189407009453E-2</v>
      </c>
    </row>
    <row r="22" spans="2:31">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c r="B67" s="9" t="s">
        <v>125</v>
      </c>
      <c r="G67" s="6"/>
    </row>
    <row r="68" spans="2:7">
      <c r="G68" s="6"/>
    </row>
    <row r="69" spans="2:7">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5" thickBot="1">
      <c r="B5" s="1" t="s">
        <v>120</v>
      </c>
      <c r="C5" s="43">
        <v>0.65</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0.59364626421662003</v>
      </c>
      <c r="V10" s="52" t="s">
        <v>212</v>
      </c>
      <c r="W10" s="52" t="s">
        <v>210</v>
      </c>
      <c r="X10" s="52" t="s">
        <v>213</v>
      </c>
      <c r="Y10" s="52" t="s">
        <v>211</v>
      </c>
      <c r="AA10" s="52" t="s">
        <v>224</v>
      </c>
      <c r="AB10" s="52" t="s">
        <v>225</v>
      </c>
    </row>
    <row r="11" spans="2:31">
      <c r="B11" s="1" t="s">
        <v>0</v>
      </c>
      <c r="C11" s="7">
        <v>3</v>
      </c>
      <c r="U11" s="52" t="s">
        <v>206</v>
      </c>
      <c r="V11" s="53">
        <f>C6</f>
        <v>0.9</v>
      </c>
      <c r="W11" s="52">
        <f>$C$10</f>
        <v>0.59364626421662003</v>
      </c>
      <c r="X11" s="52">
        <f>W11/SQRT(C11)</f>
        <v>0.34274183044888129</v>
      </c>
      <c r="Y11" s="52">
        <f>TINV($C$4*2,$C$11-2)*X11</f>
        <v>2.1639867511391211</v>
      </c>
      <c r="AA11" s="54">
        <f>V11+4*W11</f>
        <v>3.27458505686648</v>
      </c>
      <c r="AB11" s="52">
        <f>AA11/33</f>
        <v>9.9229850208075149E-2</v>
      </c>
    </row>
    <row r="12" spans="2:31">
      <c r="B12" s="1" t="s">
        <v>2</v>
      </c>
      <c r="C12" s="1">
        <f>C11-2</f>
        <v>1</v>
      </c>
    </row>
    <row r="13" spans="2:31">
      <c r="B13" s="1" t="s">
        <v>8</v>
      </c>
      <c r="C13" s="1">
        <f>TINV(C4*2,C12)</f>
        <v>6.3137515146750438</v>
      </c>
      <c r="Y13" s="52" t="b">
        <v>0</v>
      </c>
      <c r="AC13" s="52" t="b">
        <v>1</v>
      </c>
    </row>
    <row r="14" spans="2:31">
      <c r="B14" s="1" t="s">
        <v>3</v>
      </c>
      <c r="C14" s="1">
        <f>(SQRT(C11)*(LN(C6)-LN(C8)))/(SQRT(2*C10^2))</f>
        <v>-0.67773301291839627</v>
      </c>
      <c r="U14" s="52" t="s">
        <v>205</v>
      </c>
      <c r="V14" s="52" t="s">
        <v>227</v>
      </c>
      <c r="Y14" s="55" t="s">
        <v>220</v>
      </c>
      <c r="AC14" s="55" t="s">
        <v>222</v>
      </c>
    </row>
    <row r="15" spans="2:31">
      <c r="B15" s="1" t="s">
        <v>4</v>
      </c>
      <c r="C15" s="1">
        <f>(SQRT(C11)*(LN(C6)-LN(C7)))/(SQRT(2*C10^2))</f>
        <v>0.24299684433700114</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0.10307839717957634</v>
      </c>
      <c r="U16" s="52">
        <f>U15+$AB$11</f>
        <v>9.9229850208075149E-2</v>
      </c>
      <c r="V16" s="52">
        <f t="shared" ref="V16:V47" si="0">_xlfn.NORM.DIST($U16,$V$11,$C$5,FALSE)</f>
        <v>0.28736242915824389</v>
      </c>
      <c r="Y16" s="52" t="s">
        <v>216</v>
      </c>
      <c r="Z16" s="52">
        <f>$V$11-$W$11</f>
        <v>0.30635373578337999</v>
      </c>
      <c r="AA16" s="52">
        <v>0</v>
      </c>
      <c r="AC16" s="52" t="s">
        <v>216</v>
      </c>
      <c r="AD16" s="52">
        <f>$V$11-$Y$11</f>
        <v>-1.2639867511391212</v>
      </c>
      <c r="AE16" s="52">
        <v>0</v>
      </c>
    </row>
    <row r="17" spans="2:31">
      <c r="B17" s="1" t="s">
        <v>6</v>
      </c>
      <c r="C17" s="1">
        <f>NCt(C13,C12,C15)</f>
        <v>0.93339405326162772</v>
      </c>
      <c r="U17" s="52">
        <f t="shared" ref="U17:U47" si="1">U16+$AB$11</f>
        <v>0.1984597004161503</v>
      </c>
      <c r="V17" s="52">
        <f t="shared" si="0"/>
        <v>0.34280549683534484</v>
      </c>
      <c r="Y17" s="52" t="s">
        <v>218</v>
      </c>
      <c r="Z17" s="52">
        <f>Z16</f>
        <v>0.30635373578337999</v>
      </c>
      <c r="AA17" s="52">
        <f>IF(Y13,MAX($V$15:$V$47),0)</f>
        <v>0</v>
      </c>
      <c r="AC17" s="52" t="s">
        <v>218</v>
      </c>
      <c r="AD17" s="52">
        <f>AD16</f>
        <v>-1.2639867511391212</v>
      </c>
      <c r="AE17" s="52">
        <f>IF(AC13,MAX($V$15:$V$47),0)</f>
        <v>0.61372245947377413</v>
      </c>
    </row>
    <row r="18" spans="2:31">
      <c r="B18" s="1" t="s">
        <v>58</v>
      </c>
      <c r="C18" s="1">
        <f>C16-C17</f>
        <v>-0.83031565608205138</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3.063986751139121</v>
      </c>
      <c r="AE19" s="52">
        <v>0</v>
      </c>
    </row>
    <row r="20" spans="2:31">
      <c r="B20" s="1" t="s">
        <v>11</v>
      </c>
      <c r="C20" s="1">
        <f>CEILING(INDEX(Z2:Z4,Y5,1)*C11,1)</f>
        <v>2</v>
      </c>
      <c r="U20" s="52">
        <f t="shared" si="1"/>
        <v>0.49614925104037577</v>
      </c>
      <c r="V20" s="52">
        <f t="shared" si="0"/>
        <v>0.50602563077485663</v>
      </c>
      <c r="Y20" s="52" t="s">
        <v>218</v>
      </c>
      <c r="Z20" s="52">
        <f>Z19</f>
        <v>1.4936462642166202</v>
      </c>
      <c r="AA20" s="52">
        <f>AA17</f>
        <v>0</v>
      </c>
      <c r="AC20" s="52" t="s">
        <v>218</v>
      </c>
      <c r="AD20" s="52">
        <f>AD19</f>
        <v>3.063986751139121</v>
      </c>
      <c r="AE20" s="52">
        <f>AE17</f>
        <v>0.61372245947377413</v>
      </c>
    </row>
    <row r="21" spans="2:31">
      <c r="U21" s="52">
        <f t="shared" si="1"/>
        <v>0.59537910124845095</v>
      </c>
      <c r="V21" s="52">
        <f t="shared" si="0"/>
        <v>0.54992637471810812</v>
      </c>
    </row>
    <row r="22" spans="2:31">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2022-03-14T19:07:30Z</dcterms:modified>
  <cp:category>Sample Size Estimation</cp:category>
</cp:coreProperties>
</file>