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7.xml" ContentType="application/vnd.openxmlformats-officedocument.spreadsheetml.comments+xml"/>
  <Override PartName="/xl/charts/chart7.xml" ContentType="application/vnd.openxmlformats-officedocument.drawingml.chart+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8.xml" ContentType="application/vnd.openxmlformats-officedocument.spreadsheetml.comments+xml"/>
  <Override PartName="/xl/charts/chart8.xml" ContentType="application/vnd.openxmlformats-officedocument.drawingml.chart+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9.xml" ContentType="application/vnd.openxmlformats-officedocument.spreadsheetml.comments+xml"/>
  <Override PartName="/xl/charts/chart9.xml" ContentType="application/vnd.openxmlformats-officedocument.drawingml.chart+xml"/>
  <Override PartName="/xl/drawings/drawing11.xml" ContentType="application/vnd.openxmlformats-officedocument.drawing+xml"/>
  <Override PartName="/xl/embeddings/oleObject1.bin" ContentType="application/vnd.openxmlformats-officedocument.oleObject"/>
  <Override PartName="/xl/drawings/drawing12.xml" ContentType="application/vnd.openxmlformats-officedocument.drawing+xml"/>
  <Override PartName="/xl/ctrlProps/ctrlProp53.xml" ContentType="application/vnd.ms-excel.controlproperties+xml"/>
  <Override PartName="/xl/drawings/drawing13.xml" ContentType="application/vnd.openxmlformats-officedocument.drawing+xml"/>
  <Override PartName="/xl/ctrlProps/ctrlProp54.xml" ContentType="application/vnd.ms-excel.controlproperties+xml"/>
  <Override PartName="/xl/drawings/drawing14.xml" ContentType="application/vnd.openxmlformats-officedocument.drawing+xml"/>
  <Override PartName="/xl/ctrlProps/ctrlProp55.xml" ContentType="application/vnd.ms-excel.controlproperties+xml"/>
  <Override PartName="/xl/drawings/drawing15.xml" ContentType="application/vnd.openxmlformats-officedocument.drawing+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131" codeName="{4D1C537B-E38A-612A-F078-A93A15B4B7F4}"/>
  <workbookPr codeName="ThisWorkbook" autoCompressPictures="0" defaultThemeVersion="124226"/>
  <mc:AlternateContent xmlns:mc="http://schemas.openxmlformats.org/markup-compatibility/2006">
    <mc:Choice Requires="x15">
      <x15ac:absPath xmlns:x15ac="http://schemas.microsoft.com/office/spreadsheetml/2010/11/ac" url="C:\Users\ddubi\Downloads\"/>
    </mc:Choice>
  </mc:AlternateContent>
  <xr:revisionPtr revIDLastSave="0" documentId="13_ncr:1_{F47312A6-6393-40CA-97AE-880384B238B3}" xr6:coauthVersionLast="47" xr6:coauthVersionMax="47" xr10:uidLastSave="{00000000-0000-0000-0000-000000000000}"/>
  <bookViews>
    <workbookView xWindow="30795" yWindow="2355" windowWidth="21600" windowHeight="11385" xr2:uid="{00000000-000D-0000-FFFF-FFFF00000000}"/>
  </bookViews>
  <sheets>
    <sheet name="Intro" sheetId="20" r:id="rId1"/>
    <sheet name="Superiority, Parallel" sheetId="7" r:id="rId2"/>
    <sheet name="Superiority, Crossover" sheetId="8" r:id="rId3"/>
    <sheet name="Equivalence, Parallel" sheetId="11" r:id="rId4"/>
    <sheet name="Equivalence, Crossover" sheetId="12" r:id="rId5"/>
    <sheet name="Non-inferiority, Parallel" sheetId="13" r:id="rId6"/>
    <sheet name="Non-inferiority, Crossover" sheetId="14" r:id="rId7"/>
    <sheet name="Bioequivalence, Parallel" sheetId="28" r:id="rId8"/>
    <sheet name="Bioequivalence, Crossover" sheetId="1" r:id="rId9"/>
    <sheet name="Bioequivalence, Replicate" sheetId="27" r:id="rId10"/>
    <sheet name="Scaled BE - HVD" sheetId="26" r:id="rId11"/>
    <sheet name="Given Precision, Parallel" sheetId="17" r:id="rId12"/>
    <sheet name="Given Precision, Crossover" sheetId="18" r:id="rId13"/>
    <sheet name="Difference Between Proportions" sheetId="23" r:id="rId14"/>
    <sheet name="Variance Correction" sheetId="19" r:id="rId15"/>
    <sheet name="ISV" sheetId="24" state="hidden" r:id="rId16"/>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O20" i="28" l="1"/>
  <c r="C20" i="8" l="1"/>
  <c r="C8" i="1"/>
  <c r="C20" i="28" l="1"/>
  <c r="C12" i="28"/>
  <c r="C13" i="28" s="1"/>
  <c r="Z32" i="28"/>
  <c r="Z33" i="28" s="1"/>
  <c r="V11" i="28"/>
  <c r="C10" i="28"/>
  <c r="C15" i="28" s="1"/>
  <c r="C8" i="28"/>
  <c r="D6" i="28"/>
  <c r="C17" i="28"/>
  <c r="C14" i="28" l="1"/>
  <c r="D20" i="28"/>
  <c r="E20" i="28" s="1"/>
  <c r="Z35" i="28"/>
  <c r="Z36" i="28" s="1"/>
  <c r="W11" i="28"/>
  <c r="V15" i="28"/>
  <c r="C20" i="27"/>
  <c r="Y6" i="27"/>
  <c r="Z2" i="27"/>
  <c r="Z32" i="27"/>
  <c r="Z33" i="27" s="1"/>
  <c r="C12" i="27"/>
  <c r="C13" i="27" s="1"/>
  <c r="V11" i="27"/>
  <c r="V15" i="27" s="1"/>
  <c r="C10" i="27"/>
  <c r="C15" i="27" s="1"/>
  <c r="C8" i="27"/>
  <c r="Z35" i="27" s="1"/>
  <c r="Z36" i="27" s="1"/>
  <c r="C16" i="28"/>
  <c r="C17" i="27"/>
  <c r="C18" i="28" l="1"/>
  <c r="X11" i="28"/>
  <c r="Y11" i="28" s="1"/>
  <c r="Z16" i="28"/>
  <c r="Z17" i="28" s="1"/>
  <c r="Z19" i="28"/>
  <c r="Z20" i="28" s="1"/>
  <c r="AA11" i="28"/>
  <c r="AB11" i="28" s="1"/>
  <c r="U16" i="28" s="1"/>
  <c r="C14" i="27"/>
  <c r="D6" i="27"/>
  <c r="W11" i="27"/>
  <c r="X11" i="27" s="1"/>
  <c r="Y11" i="27" s="1"/>
  <c r="K7" i="14"/>
  <c r="K7" i="13"/>
  <c r="C16" i="27"/>
  <c r="U17" i="28" l="1"/>
  <c r="V16" i="28"/>
  <c r="AD16" i="28"/>
  <c r="AD17" i="28" s="1"/>
  <c r="AD19" i="28"/>
  <c r="AD20" i="28" s="1"/>
  <c r="C18" i="27"/>
  <c r="Z16" i="27"/>
  <c r="Z17" i="27" s="1"/>
  <c r="AA11" i="27"/>
  <c r="AB11" i="27" s="1"/>
  <c r="U16" i="27" s="1"/>
  <c r="Z19" i="27"/>
  <c r="Z20" i="27" s="1"/>
  <c r="C25" i="7"/>
  <c r="V17" i="28" l="1"/>
  <c r="U18" i="28"/>
  <c r="U17" i="27"/>
  <c r="V16" i="27"/>
  <c r="AD16" i="27"/>
  <c r="AD17" i="27" s="1"/>
  <c r="AD19" i="27"/>
  <c r="AD20" i="27" s="1"/>
  <c r="V11" i="1"/>
  <c r="V15" i="1" s="1"/>
  <c r="Z35" i="1"/>
  <c r="Z36" i="1" s="1"/>
  <c r="Z32" i="1"/>
  <c r="Z33" i="1" s="1"/>
  <c r="AE25" i="14"/>
  <c r="AE28" i="14" s="1"/>
  <c r="AA25" i="14"/>
  <c r="AA28" i="14" s="1"/>
  <c r="AE17" i="14"/>
  <c r="AE20" i="14" s="1"/>
  <c r="AA17" i="14"/>
  <c r="AA20" i="14" s="1"/>
  <c r="W12" i="14"/>
  <c r="W11" i="14"/>
  <c r="V11" i="14"/>
  <c r="V12" i="14" s="1"/>
  <c r="W12" i="13"/>
  <c r="W11" i="13"/>
  <c r="Z19" i="13" s="1"/>
  <c r="Z20" i="13" s="1"/>
  <c r="V11" i="13"/>
  <c r="W12" i="12"/>
  <c r="C20" i="12"/>
  <c r="W11" i="12"/>
  <c r="V11" i="12"/>
  <c r="V11" i="11"/>
  <c r="V12" i="11" s="1"/>
  <c r="W12" i="11"/>
  <c r="C20" i="11"/>
  <c r="D20" i="11" s="1"/>
  <c r="W11" i="11"/>
  <c r="W12" i="8"/>
  <c r="W11" i="8"/>
  <c r="V11" i="8"/>
  <c r="Z32" i="8" s="1"/>
  <c r="C20" i="7"/>
  <c r="W12" i="7"/>
  <c r="W11" i="7"/>
  <c r="V11" i="7"/>
  <c r="V15" i="7" s="1"/>
  <c r="V15" i="14"/>
  <c r="Z19" i="14"/>
  <c r="Z20" i="14" s="1"/>
  <c r="V12" i="13"/>
  <c r="Z32" i="13" s="1"/>
  <c r="V15" i="13"/>
  <c r="Z16" i="13"/>
  <c r="Z17" i="13" s="1"/>
  <c r="V12" i="12"/>
  <c r="V15" i="12"/>
  <c r="Z19" i="12"/>
  <c r="Z20" i="12" s="1"/>
  <c r="Z16" i="12"/>
  <c r="Z17" i="12" s="1"/>
  <c r="C156" i="26"/>
  <c r="C155" i="26"/>
  <c r="C117" i="26"/>
  <c r="C116" i="26"/>
  <c r="C115" i="26"/>
  <c r="C114" i="26"/>
  <c r="D153" i="26"/>
  <c r="C84" i="26"/>
  <c r="C86" i="26" s="1"/>
  <c r="C55" i="26"/>
  <c r="C53" i="26"/>
  <c r="C54" i="26" s="1"/>
  <c r="C15" i="26"/>
  <c r="C16" i="26"/>
  <c r="C18" i="26" s="1"/>
  <c r="C13" i="26"/>
  <c r="C14" i="26"/>
  <c r="B18" i="26"/>
  <c r="C36" i="26"/>
  <c r="C37" i="26"/>
  <c r="C154" i="26"/>
  <c r="C158" i="26" s="1"/>
  <c r="C10" i="1"/>
  <c r="C15" i="1" s="1"/>
  <c r="C12" i="1"/>
  <c r="C13" i="1" s="1"/>
  <c r="D6" i="1"/>
  <c r="C12" i="8"/>
  <c r="C13" i="8" s="1"/>
  <c r="C10" i="7"/>
  <c r="C14" i="7" s="1"/>
  <c r="C12" i="7"/>
  <c r="C13" i="7" s="1"/>
  <c r="C21" i="23"/>
  <c r="C9" i="24"/>
  <c r="C10" i="24" s="1"/>
  <c r="C8" i="23"/>
  <c r="C20" i="23"/>
  <c r="C20" i="17"/>
  <c r="D20" i="17" s="1"/>
  <c r="E20" i="17" s="1"/>
  <c r="C20" i="13"/>
  <c r="C12" i="18"/>
  <c r="C13" i="18" s="1"/>
  <c r="C10" i="18"/>
  <c r="I7" i="12"/>
  <c r="C8" i="7"/>
  <c r="C57" i="19"/>
  <c r="C59" i="19" s="1"/>
  <c r="C39" i="19"/>
  <c r="C41" i="19" s="1"/>
  <c r="C20" i="19"/>
  <c r="C22" i="19"/>
  <c r="C8" i="18"/>
  <c r="C20" i="18"/>
  <c r="C8" i="11"/>
  <c r="C10" i="12"/>
  <c r="C15" i="12" s="1"/>
  <c r="C12" i="17"/>
  <c r="C13" i="17"/>
  <c r="C10" i="17"/>
  <c r="C10" i="14"/>
  <c r="C14" i="14" s="1"/>
  <c r="C8" i="14"/>
  <c r="C12" i="14"/>
  <c r="C13" i="14" s="1"/>
  <c r="C20" i="14"/>
  <c r="X12" i="14" s="1"/>
  <c r="C8" i="13"/>
  <c r="C12" i="13"/>
  <c r="C13" i="13" s="1"/>
  <c r="C10" i="13"/>
  <c r="C14" i="13" s="1"/>
  <c r="C12" i="12"/>
  <c r="C13" i="12" s="1"/>
  <c r="C10" i="11"/>
  <c r="C14" i="11" s="1"/>
  <c r="C12" i="11"/>
  <c r="C13" i="11" s="1"/>
  <c r="C10" i="8"/>
  <c r="C14" i="8" s="1"/>
  <c r="C20" i="1"/>
  <c r="C8" i="17"/>
  <c r="C8" i="8"/>
  <c r="AA11" i="13"/>
  <c r="AB11" i="13" s="1"/>
  <c r="U16" i="13" s="1"/>
  <c r="Z24" i="12"/>
  <c r="Z25" i="12" s="1"/>
  <c r="W15" i="12"/>
  <c r="Z27" i="12"/>
  <c r="Z28" i="12" s="1"/>
  <c r="C38" i="26"/>
  <c r="C40" i="26" s="1"/>
  <c r="AA17" i="1"/>
  <c r="AA20" i="1" s="1"/>
  <c r="AE17" i="13"/>
  <c r="AE20" i="13" s="1"/>
  <c r="AA17" i="13"/>
  <c r="AA20" i="13" s="1"/>
  <c r="AA25" i="13"/>
  <c r="AA28" i="13" s="1"/>
  <c r="AE25" i="13"/>
  <c r="AE28" i="13" s="1"/>
  <c r="AE17" i="12"/>
  <c r="AE20" i="12" s="1"/>
  <c r="AA17" i="12"/>
  <c r="AA20" i="12" s="1"/>
  <c r="AE25" i="12"/>
  <c r="AE28" i="12" s="1"/>
  <c r="AA25" i="12"/>
  <c r="AA28" i="12" s="1"/>
  <c r="AA17" i="8"/>
  <c r="AA20" i="8" s="1"/>
  <c r="AA25" i="8"/>
  <c r="AA28" i="8" s="1"/>
  <c r="C17" i="12"/>
  <c r="C17" i="7"/>
  <c r="C17" i="13"/>
  <c r="C16" i="11"/>
  <c r="C17" i="1"/>
  <c r="C17" i="14"/>
  <c r="C17" i="8"/>
  <c r="U19" i="28" l="1"/>
  <c r="V18" i="28"/>
  <c r="W11" i="1"/>
  <c r="Z19" i="1" s="1"/>
  <c r="Z20" i="1" s="1"/>
  <c r="C14" i="1"/>
  <c r="Z16" i="8"/>
  <c r="Z17" i="8" s="1"/>
  <c r="U18" i="27"/>
  <c r="V17" i="27"/>
  <c r="Z35" i="14"/>
  <c r="Z36" i="14" s="1"/>
  <c r="Z27" i="14"/>
  <c r="Z28" i="14" s="1"/>
  <c r="AA11" i="14"/>
  <c r="AB11" i="14" s="1"/>
  <c r="U16" i="14" s="1"/>
  <c r="W15" i="14"/>
  <c r="Z32" i="14"/>
  <c r="Z33" i="14" s="1"/>
  <c r="Z24" i="14"/>
  <c r="Z25" i="14" s="1"/>
  <c r="C8" i="12"/>
  <c r="V12" i="8"/>
  <c r="Z35" i="8" s="1"/>
  <c r="Z36" i="8" s="1"/>
  <c r="Z19" i="8"/>
  <c r="Z20" i="8" s="1"/>
  <c r="X11" i="12"/>
  <c r="C14" i="12"/>
  <c r="C14" i="17"/>
  <c r="C14" i="18"/>
  <c r="C118" i="26"/>
  <c r="C119" i="26" s="1"/>
  <c r="AA11" i="12"/>
  <c r="AB11" i="12" s="1"/>
  <c r="U16" i="12" s="1"/>
  <c r="Z16" i="14"/>
  <c r="Z17" i="14" s="1"/>
  <c r="X11" i="8"/>
  <c r="Y11" i="8" s="1"/>
  <c r="AD19" i="8" s="1"/>
  <c r="AD20" i="8" s="1"/>
  <c r="V15" i="8"/>
  <c r="X11" i="7"/>
  <c r="Y11" i="7" s="1"/>
  <c r="AD19" i="7" s="1"/>
  <c r="AD20" i="7" s="1"/>
  <c r="X12" i="8"/>
  <c r="Y12" i="8" s="1"/>
  <c r="W16" i="14"/>
  <c r="U17" i="14"/>
  <c r="V17" i="14" s="1"/>
  <c r="V16" i="14"/>
  <c r="X11" i="14"/>
  <c r="Y11" i="14" s="1"/>
  <c r="AD16" i="14" s="1"/>
  <c r="AD17" i="14" s="1"/>
  <c r="Z35" i="13"/>
  <c r="Z36" i="13" s="1"/>
  <c r="Z24" i="13"/>
  <c r="Z25" i="13" s="1"/>
  <c r="W16" i="13"/>
  <c r="V16" i="13"/>
  <c r="U17" i="13"/>
  <c r="Z27" i="13"/>
  <c r="Z28" i="13" s="1"/>
  <c r="Z33" i="13"/>
  <c r="W15" i="13"/>
  <c r="Z35" i="12"/>
  <c r="Z36" i="12" s="1"/>
  <c r="Z32" i="12"/>
  <c r="Z33" i="12" s="1"/>
  <c r="Z27" i="11"/>
  <c r="Z28" i="11" s="1"/>
  <c r="W15" i="11"/>
  <c r="AA11" i="11"/>
  <c r="AB11" i="11" s="1"/>
  <c r="U16" i="11" s="1"/>
  <c r="V16" i="11" s="1"/>
  <c r="Z24" i="11"/>
  <c r="Z25" i="11" s="1"/>
  <c r="C15" i="11"/>
  <c r="Z19" i="11"/>
  <c r="Z20" i="11" s="1"/>
  <c r="V15" i="11"/>
  <c r="Z16" i="11"/>
  <c r="Z17" i="11" s="1"/>
  <c r="Z35" i="11"/>
  <c r="Z36" i="11" s="1"/>
  <c r="Z32" i="11"/>
  <c r="Z33" i="11" s="1"/>
  <c r="E20" i="11"/>
  <c r="X11" i="11"/>
  <c r="Y11" i="11" s="1"/>
  <c r="Z16" i="7"/>
  <c r="Z17" i="7" s="1"/>
  <c r="C12" i="24"/>
  <c r="C14" i="24" s="1"/>
  <c r="C16" i="24" s="1"/>
  <c r="C11" i="24"/>
  <c r="C13" i="24" s="1"/>
  <c r="C15" i="24" s="1"/>
  <c r="C57" i="26"/>
  <c r="D20" i="13"/>
  <c r="E20" i="13" s="1"/>
  <c r="X11" i="13"/>
  <c r="Y11" i="13" s="1"/>
  <c r="X12" i="11"/>
  <c r="Y12" i="11" s="1"/>
  <c r="Y11" i="12"/>
  <c r="X12" i="12"/>
  <c r="Y12" i="12" s="1"/>
  <c r="Z33" i="8"/>
  <c r="Y12" i="14"/>
  <c r="Z19" i="7"/>
  <c r="Z20" i="7" s="1"/>
  <c r="X12" i="13"/>
  <c r="Y12" i="13" s="1"/>
  <c r="V12" i="7"/>
  <c r="Z35" i="7" s="1"/>
  <c r="D20" i="7"/>
  <c r="C18" i="13"/>
  <c r="C18" i="7"/>
  <c r="C18" i="8"/>
  <c r="C18" i="14"/>
  <c r="V16" i="12"/>
  <c r="U17" i="12"/>
  <c r="W16" i="12"/>
  <c r="C16" i="1"/>
  <c r="C17" i="11"/>
  <c r="C16" i="12"/>
  <c r="W16" i="11" l="1"/>
  <c r="Z27" i="8"/>
  <c r="Z28" i="8" s="1"/>
  <c r="U20" i="28"/>
  <c r="V19" i="28"/>
  <c r="C18" i="1"/>
  <c r="X11" i="1"/>
  <c r="Y11" i="1" s="1"/>
  <c r="AD16" i="1" s="1"/>
  <c r="AD17" i="1" s="1"/>
  <c r="Z16" i="1"/>
  <c r="Z17" i="1" s="1"/>
  <c r="AA11" i="1"/>
  <c r="AB11" i="1" s="1"/>
  <c r="U16" i="1" s="1"/>
  <c r="V16" i="1" s="1"/>
  <c r="U17" i="11"/>
  <c r="V17" i="11" s="1"/>
  <c r="AD16" i="7"/>
  <c r="AD17" i="7" s="1"/>
  <c r="AD16" i="8"/>
  <c r="AD17" i="8" s="1"/>
  <c r="U19" i="27"/>
  <c r="V18" i="27"/>
  <c r="C18" i="12"/>
  <c r="AD24" i="8"/>
  <c r="AD25" i="8" s="1"/>
  <c r="AD27" i="8"/>
  <c r="AD28" i="8" s="1"/>
  <c r="C18" i="24"/>
  <c r="W17" i="14"/>
  <c r="W15" i="8"/>
  <c r="Z24" i="8"/>
  <c r="Z25" i="8" s="1"/>
  <c r="AA11" i="8"/>
  <c r="AB11" i="8" s="1"/>
  <c r="U16" i="8" s="1"/>
  <c r="U18" i="14"/>
  <c r="AD19" i="14"/>
  <c r="AD20" i="14" s="1"/>
  <c r="U18" i="13"/>
  <c r="V17" i="13"/>
  <c r="W17" i="13"/>
  <c r="C18" i="11"/>
  <c r="AD19" i="11"/>
  <c r="AD20" i="11" s="1"/>
  <c r="AD16" i="11"/>
  <c r="AD17" i="11" s="1"/>
  <c r="AD24" i="11"/>
  <c r="AD25" i="11" s="1"/>
  <c r="AD27" i="11"/>
  <c r="AD28" i="11" s="1"/>
  <c r="AD24" i="12"/>
  <c r="AD25" i="12" s="1"/>
  <c r="AD27" i="12"/>
  <c r="AD28" i="12" s="1"/>
  <c r="AD19" i="13"/>
  <c r="AD20" i="13" s="1"/>
  <c r="AD16" i="13"/>
  <c r="AD17" i="13" s="1"/>
  <c r="AD19" i="12"/>
  <c r="AD20" i="12" s="1"/>
  <c r="AD16" i="12"/>
  <c r="AD17" i="12" s="1"/>
  <c r="AD24" i="13"/>
  <c r="AD25" i="13" s="1"/>
  <c r="AD27" i="13"/>
  <c r="AD28" i="13" s="1"/>
  <c r="AD24" i="14"/>
  <c r="AD25" i="14" s="1"/>
  <c r="AD27" i="14"/>
  <c r="AD28" i="14" s="1"/>
  <c r="Z36" i="7"/>
  <c r="AA11" i="7"/>
  <c r="AB11" i="7" s="1"/>
  <c r="U16" i="7" s="1"/>
  <c r="Z32" i="7"/>
  <c r="Z33" i="7" s="1"/>
  <c r="Z24" i="7"/>
  <c r="Z25" i="7" s="1"/>
  <c r="W15" i="7"/>
  <c r="Z27" i="7"/>
  <c r="Z28" i="7" s="1"/>
  <c r="X12" i="7"/>
  <c r="Y12" i="7" s="1"/>
  <c r="AD27" i="7" s="1"/>
  <c r="AD28" i="7" s="1"/>
  <c r="E20" i="7"/>
  <c r="W17" i="12"/>
  <c r="V17" i="12"/>
  <c r="U18" i="12"/>
  <c r="U21" i="28" l="1"/>
  <c r="V20" i="28"/>
  <c r="AD19" i="1"/>
  <c r="AD20" i="1" s="1"/>
  <c r="U17" i="1"/>
  <c r="W17" i="11"/>
  <c r="U18" i="11"/>
  <c r="V18" i="11" s="1"/>
  <c r="U20" i="27"/>
  <c r="V19" i="27"/>
  <c r="W16" i="8"/>
  <c r="U17" i="8"/>
  <c r="V16" i="8"/>
  <c r="U19" i="14"/>
  <c r="W18" i="14"/>
  <c r="V18" i="14"/>
  <c r="U19" i="13"/>
  <c r="V18" i="13"/>
  <c r="W18" i="13"/>
  <c r="U17" i="7"/>
  <c r="W16" i="7"/>
  <c r="V16" i="7"/>
  <c r="AD24" i="7"/>
  <c r="AD25" i="7" s="1"/>
  <c r="W18" i="12"/>
  <c r="V18" i="12"/>
  <c r="U19" i="12"/>
  <c r="U22" i="28" l="1"/>
  <c r="V21" i="28"/>
  <c r="U18" i="1"/>
  <c r="V17" i="1"/>
  <c r="U19" i="11"/>
  <c r="W19" i="11" s="1"/>
  <c r="W18" i="11"/>
  <c r="U21" i="27"/>
  <c r="V20" i="27"/>
  <c r="U18" i="8"/>
  <c r="W17" i="8"/>
  <c r="V17" i="8"/>
  <c r="W19" i="14"/>
  <c r="U20" i="14"/>
  <c r="V19" i="14"/>
  <c r="V19" i="13"/>
  <c r="W19" i="13"/>
  <c r="U20" i="13"/>
  <c r="W17" i="7"/>
  <c r="V17" i="7"/>
  <c r="U18" i="7"/>
  <c r="U20" i="12"/>
  <c r="V19" i="12"/>
  <c r="W19" i="12"/>
  <c r="U23" i="28" l="1"/>
  <c r="V22" i="28"/>
  <c r="V18" i="1"/>
  <c r="U19" i="1"/>
  <c r="V19" i="11"/>
  <c r="U20" i="11"/>
  <c r="W20" i="11" s="1"/>
  <c r="V21" i="27"/>
  <c r="U22" i="27"/>
  <c r="W18" i="8"/>
  <c r="V18" i="8"/>
  <c r="U19" i="8"/>
  <c r="W20" i="14"/>
  <c r="U21" i="14"/>
  <c r="V20" i="14"/>
  <c r="V20" i="13"/>
  <c r="U21" i="13"/>
  <c r="W20" i="13"/>
  <c r="V18" i="7"/>
  <c r="W18" i="7"/>
  <c r="U19" i="7"/>
  <c r="V20" i="12"/>
  <c r="W20" i="12"/>
  <c r="U21" i="12"/>
  <c r="V23" i="28" l="1"/>
  <c r="U24" i="28"/>
  <c r="U20" i="1"/>
  <c r="V19" i="1"/>
  <c r="V20" i="11"/>
  <c r="U21" i="11"/>
  <c r="U22" i="11" s="1"/>
  <c r="V22" i="11" s="1"/>
  <c r="U23" i="27"/>
  <c r="V22" i="27"/>
  <c r="V19" i="8"/>
  <c r="W19" i="8"/>
  <c r="U20" i="8"/>
  <c r="V21" i="14"/>
  <c r="U22" i="14"/>
  <c r="W21" i="14"/>
  <c r="W21" i="13"/>
  <c r="V21" i="13"/>
  <c r="U22" i="13"/>
  <c r="W19" i="7"/>
  <c r="U20" i="7"/>
  <c r="V19" i="7"/>
  <c r="V21" i="12"/>
  <c r="W21" i="12"/>
  <c r="U22" i="12"/>
  <c r="V24" i="28" l="1"/>
  <c r="U25" i="28"/>
  <c r="V20" i="1"/>
  <c r="U21" i="1"/>
  <c r="V21" i="11"/>
  <c r="U23" i="11"/>
  <c r="U24" i="11" s="1"/>
  <c r="W22" i="11"/>
  <c r="W21" i="11"/>
  <c r="V23" i="27"/>
  <c r="U24" i="27"/>
  <c r="U21" i="8"/>
  <c r="W20" i="8"/>
  <c r="V20" i="8"/>
  <c r="V22" i="14"/>
  <c r="W22" i="14"/>
  <c r="U23" i="14"/>
  <c r="W22" i="13"/>
  <c r="V22" i="13"/>
  <c r="U23" i="13"/>
  <c r="W20" i="7"/>
  <c r="U21" i="7"/>
  <c r="V20" i="7"/>
  <c r="V22" i="12"/>
  <c r="U23" i="12"/>
  <c r="W22" i="12"/>
  <c r="W23" i="11" l="1"/>
  <c r="U26" i="28"/>
  <c r="V25" i="28"/>
  <c r="V21" i="1"/>
  <c r="U22" i="1"/>
  <c r="V23" i="11"/>
  <c r="U25" i="27"/>
  <c r="V24" i="27"/>
  <c r="W21" i="8"/>
  <c r="V21" i="8"/>
  <c r="U22" i="8"/>
  <c r="U24" i="14"/>
  <c r="W23" i="14"/>
  <c r="V23" i="14"/>
  <c r="V23" i="13"/>
  <c r="W23" i="13"/>
  <c r="U24" i="13"/>
  <c r="W21" i="7"/>
  <c r="V21" i="7"/>
  <c r="U22" i="7"/>
  <c r="U24" i="12"/>
  <c r="W23" i="12"/>
  <c r="V23" i="12"/>
  <c r="U25" i="11"/>
  <c r="W24" i="11"/>
  <c r="V24" i="11"/>
  <c r="U27" i="28" l="1"/>
  <c r="V26" i="28"/>
  <c r="V22" i="1"/>
  <c r="U23" i="1"/>
  <c r="V25" i="27"/>
  <c r="U26" i="27"/>
  <c r="V22" i="8"/>
  <c r="W22" i="8"/>
  <c r="U23" i="8"/>
  <c r="W24" i="14"/>
  <c r="U25" i="14"/>
  <c r="V24" i="14"/>
  <c r="V24" i="13"/>
  <c r="W24" i="13"/>
  <c r="U25" i="13"/>
  <c r="W22" i="7"/>
  <c r="U23" i="7"/>
  <c r="V22" i="7"/>
  <c r="U25" i="12"/>
  <c r="W24" i="12"/>
  <c r="V24" i="12"/>
  <c r="U26" i="11"/>
  <c r="V25" i="11"/>
  <c r="W25" i="11"/>
  <c r="U28" i="28" l="1"/>
  <c r="V27" i="28"/>
  <c r="V23" i="1"/>
  <c r="U24" i="1"/>
  <c r="U27" i="27"/>
  <c r="V26" i="27"/>
  <c r="U24" i="8"/>
  <c r="V23" i="8"/>
  <c r="W23" i="8"/>
  <c r="W25" i="14"/>
  <c r="V25" i="14"/>
  <c r="U26" i="14"/>
  <c r="W25" i="13"/>
  <c r="U26" i="13"/>
  <c r="V25" i="13"/>
  <c r="W23" i="7"/>
  <c r="U24" i="7"/>
  <c r="V23" i="7"/>
  <c r="U27" i="11"/>
  <c r="V26" i="11"/>
  <c r="W26" i="11"/>
  <c r="W25" i="12"/>
  <c r="U26" i="12"/>
  <c r="V25" i="12"/>
  <c r="V28" i="28" l="1"/>
  <c r="U29" i="28"/>
  <c r="V24" i="1"/>
  <c r="U25" i="1"/>
  <c r="V27" i="27"/>
  <c r="U28" i="27"/>
  <c r="V24" i="8"/>
  <c r="U25" i="8"/>
  <c r="W24" i="8"/>
  <c r="W26" i="14"/>
  <c r="U27" i="14"/>
  <c r="V26" i="14"/>
  <c r="V26" i="13"/>
  <c r="W26" i="13"/>
  <c r="U27" i="13"/>
  <c r="V24" i="7"/>
  <c r="W24" i="7"/>
  <c r="U25" i="7"/>
  <c r="U28" i="11"/>
  <c r="W27" i="11"/>
  <c r="V27" i="11"/>
  <c r="W26" i="12"/>
  <c r="U27" i="12"/>
  <c r="V26" i="12"/>
  <c r="U30" i="28" l="1"/>
  <c r="V29" i="28"/>
  <c r="U26" i="1"/>
  <c r="V25" i="1"/>
  <c r="U29" i="27"/>
  <c r="V28" i="27"/>
  <c r="U26" i="8"/>
  <c r="W25" i="8"/>
  <c r="V25" i="8"/>
  <c r="W27" i="14"/>
  <c r="U28" i="14"/>
  <c r="V27" i="14"/>
  <c r="W27" i="13"/>
  <c r="U28" i="13"/>
  <c r="V27" i="13"/>
  <c r="V25" i="7"/>
  <c r="U26" i="7"/>
  <c r="W25" i="7"/>
  <c r="W27" i="12"/>
  <c r="V27" i="12"/>
  <c r="U28" i="12"/>
  <c r="V28" i="11"/>
  <c r="W28" i="11"/>
  <c r="U29" i="11"/>
  <c r="U31" i="28" l="1"/>
  <c r="V30" i="28"/>
  <c r="U27" i="1"/>
  <c r="V26" i="1"/>
  <c r="V29" i="27"/>
  <c r="U30" i="27"/>
  <c r="U27" i="8"/>
  <c r="W26" i="8"/>
  <c r="V26" i="8"/>
  <c r="V28" i="14"/>
  <c r="U29" i="14"/>
  <c r="W28" i="14"/>
  <c r="U29" i="13"/>
  <c r="V28" i="13"/>
  <c r="W28" i="13"/>
  <c r="V26" i="7"/>
  <c r="U27" i="7"/>
  <c r="W26" i="7"/>
  <c r="U29" i="12"/>
  <c r="V28" i="12"/>
  <c r="W28" i="12"/>
  <c r="U30" i="11"/>
  <c r="W29" i="11"/>
  <c r="V29" i="11"/>
  <c r="U32" i="28" l="1"/>
  <c r="V31" i="28"/>
  <c r="U28" i="1"/>
  <c r="V27" i="1"/>
  <c r="U31" i="27"/>
  <c r="V30" i="27"/>
  <c r="W27" i="8"/>
  <c r="V27" i="8"/>
  <c r="U28" i="8"/>
  <c r="V29" i="14"/>
  <c r="U30" i="14"/>
  <c r="W29" i="14"/>
  <c r="W29" i="13"/>
  <c r="U30" i="13"/>
  <c r="V29" i="13"/>
  <c r="W27" i="7"/>
  <c r="V27" i="7"/>
  <c r="U28" i="7"/>
  <c r="V30" i="11"/>
  <c r="U31" i="11"/>
  <c r="W30" i="11"/>
  <c r="U30" i="12"/>
  <c r="V29" i="12"/>
  <c r="W29" i="12"/>
  <c r="V32" i="28" l="1"/>
  <c r="U33" i="28"/>
  <c r="V28" i="1"/>
  <c r="U29" i="1"/>
  <c r="U32" i="27"/>
  <c r="V31" i="27"/>
  <c r="U29" i="8"/>
  <c r="W28" i="8"/>
  <c r="V28" i="8"/>
  <c r="V30" i="14"/>
  <c r="W30" i="14"/>
  <c r="U31" i="14"/>
  <c r="V30" i="13"/>
  <c r="W30" i="13"/>
  <c r="U31" i="13"/>
  <c r="W28" i="7"/>
  <c r="V28" i="7"/>
  <c r="U29" i="7"/>
  <c r="U31" i="12"/>
  <c r="W30" i="12"/>
  <c r="V30" i="12"/>
  <c r="V31" i="11"/>
  <c r="W31" i="11"/>
  <c r="U32" i="11"/>
  <c r="V33" i="28" l="1"/>
  <c r="U34" i="28"/>
  <c r="U30" i="1"/>
  <c r="V29" i="1"/>
  <c r="U33" i="27"/>
  <c r="V32" i="27"/>
  <c r="V29" i="8"/>
  <c r="U30" i="8"/>
  <c r="W29" i="8"/>
  <c r="W31" i="14"/>
  <c r="U32" i="14"/>
  <c r="V31" i="14"/>
  <c r="V31" i="13"/>
  <c r="U32" i="13"/>
  <c r="W31" i="13"/>
  <c r="U30" i="7"/>
  <c r="V29" i="7"/>
  <c r="W29" i="7"/>
  <c r="V32" i="11"/>
  <c r="U33" i="11"/>
  <c r="W32" i="11"/>
  <c r="U32" i="12"/>
  <c r="W31" i="12"/>
  <c r="V31" i="12"/>
  <c r="U35" i="28" l="1"/>
  <c r="V34" i="28"/>
  <c r="V30" i="1"/>
  <c r="U31" i="1"/>
  <c r="U34" i="27"/>
  <c r="V33" i="27"/>
  <c r="U31" i="8"/>
  <c r="V30" i="8"/>
  <c r="W30" i="8"/>
  <c r="U33" i="14"/>
  <c r="V32" i="14"/>
  <c r="W32" i="14"/>
  <c r="U33" i="13"/>
  <c r="W32" i="13"/>
  <c r="V32" i="13"/>
  <c r="V30" i="7"/>
  <c r="U31" i="7"/>
  <c r="W30" i="7"/>
  <c r="V33" i="11"/>
  <c r="U34" i="11"/>
  <c r="W33" i="11"/>
  <c r="U33" i="12"/>
  <c r="V32" i="12"/>
  <c r="W32" i="12"/>
  <c r="U36" i="28" l="1"/>
  <c r="V35" i="28"/>
  <c r="V31" i="1"/>
  <c r="U32" i="1"/>
  <c r="U35" i="27"/>
  <c r="V34" i="27"/>
  <c r="U32" i="8"/>
  <c r="W31" i="8"/>
  <c r="V31" i="8"/>
  <c r="W33" i="14"/>
  <c r="U34" i="14"/>
  <c r="V33" i="14"/>
  <c r="V33" i="13"/>
  <c r="U34" i="13"/>
  <c r="W33" i="13"/>
  <c r="W31" i="7"/>
  <c r="U32" i="7"/>
  <c r="V31" i="7"/>
  <c r="W33" i="12"/>
  <c r="U34" i="12"/>
  <c r="V33" i="12"/>
  <c r="V34" i="11"/>
  <c r="U35" i="11"/>
  <c r="W34" i="11"/>
  <c r="U37" i="28" l="1"/>
  <c r="V36" i="28"/>
  <c r="U33" i="1"/>
  <c r="V32" i="1"/>
  <c r="V35" i="27"/>
  <c r="U36" i="27"/>
  <c r="V32" i="8"/>
  <c r="W32" i="8"/>
  <c r="U33" i="8"/>
  <c r="W34" i="14"/>
  <c r="V34" i="14"/>
  <c r="U35" i="14"/>
  <c r="U35" i="13"/>
  <c r="W34" i="13"/>
  <c r="V34" i="13"/>
  <c r="W32" i="7"/>
  <c r="U33" i="7"/>
  <c r="V32" i="7"/>
  <c r="V34" i="12"/>
  <c r="U35" i="12"/>
  <c r="W34" i="12"/>
  <c r="V35" i="11"/>
  <c r="U36" i="11"/>
  <c r="W35" i="11"/>
  <c r="V37" i="28" l="1"/>
  <c r="U38" i="28"/>
  <c r="V33" i="1"/>
  <c r="U34" i="1"/>
  <c r="V36" i="27"/>
  <c r="U37" i="27"/>
  <c r="V33" i="8"/>
  <c r="U34" i="8"/>
  <c r="W33" i="8"/>
  <c r="U36" i="14"/>
  <c r="W35" i="14"/>
  <c r="V35" i="14"/>
  <c r="W35" i="13"/>
  <c r="V35" i="13"/>
  <c r="U36" i="13"/>
  <c r="V33" i="7"/>
  <c r="U34" i="7"/>
  <c r="W33" i="7"/>
  <c r="W36" i="11"/>
  <c r="V36" i="11"/>
  <c r="U37" i="11"/>
  <c r="V35" i="12"/>
  <c r="U36" i="12"/>
  <c r="W35" i="12"/>
  <c r="U39" i="28" l="1"/>
  <c r="V38" i="28"/>
  <c r="U35" i="1"/>
  <c r="V34" i="1"/>
  <c r="U38" i="27"/>
  <c r="V37" i="27"/>
  <c r="U35" i="8"/>
  <c r="W34" i="8"/>
  <c r="V34" i="8"/>
  <c r="U37" i="14"/>
  <c r="V36" i="14"/>
  <c r="W36" i="14"/>
  <c r="V36" i="13"/>
  <c r="W36" i="13"/>
  <c r="U37" i="13"/>
  <c r="W34" i="7"/>
  <c r="U35" i="7"/>
  <c r="V34" i="7"/>
  <c r="U37" i="12"/>
  <c r="V36" i="12"/>
  <c r="W36" i="12"/>
  <c r="V37" i="11"/>
  <c r="U38" i="11"/>
  <c r="W37" i="11"/>
  <c r="U40" i="28" l="1"/>
  <c r="V39" i="28"/>
  <c r="V35" i="1"/>
  <c r="U36" i="1"/>
  <c r="V38" i="27"/>
  <c r="U39" i="27"/>
  <c r="U36" i="8"/>
  <c r="W35" i="8"/>
  <c r="V35" i="8"/>
  <c r="W37" i="14"/>
  <c r="V37" i="14"/>
  <c r="U38" i="14"/>
  <c r="W37" i="13"/>
  <c r="U38" i="13"/>
  <c r="V37" i="13"/>
  <c r="W35" i="7"/>
  <c r="U36" i="7"/>
  <c r="V35" i="7"/>
  <c r="V38" i="11"/>
  <c r="U39" i="11"/>
  <c r="W38" i="11"/>
  <c r="W37" i="12"/>
  <c r="V37" i="12"/>
  <c r="U38" i="12"/>
  <c r="U41" i="28" l="1"/>
  <c r="V40" i="28"/>
  <c r="U37" i="1"/>
  <c r="V36" i="1"/>
  <c r="U40" i="27"/>
  <c r="V39" i="27"/>
  <c r="V36" i="8"/>
  <c r="U37" i="8"/>
  <c r="W36" i="8"/>
  <c r="V38" i="14"/>
  <c r="U39" i="14"/>
  <c r="W38" i="14"/>
  <c r="U39" i="13"/>
  <c r="V38" i="13"/>
  <c r="W38" i="13"/>
  <c r="U37" i="7"/>
  <c r="W36" i="7"/>
  <c r="V36" i="7"/>
  <c r="W38" i="12"/>
  <c r="V38" i="12"/>
  <c r="U39" i="12"/>
  <c r="W39" i="11"/>
  <c r="V39" i="11"/>
  <c r="U40" i="11"/>
  <c r="V41" i="28" l="1"/>
  <c r="U42" i="28"/>
  <c r="V37" i="1"/>
  <c r="U38" i="1"/>
  <c r="V40" i="27"/>
  <c r="U41" i="27"/>
  <c r="V37" i="8"/>
  <c r="U38" i="8"/>
  <c r="W37" i="8"/>
  <c r="U40" i="14"/>
  <c r="W39" i="14"/>
  <c r="V39" i="14"/>
  <c r="U40" i="13"/>
  <c r="V39" i="13"/>
  <c r="W39" i="13"/>
  <c r="W37" i="7"/>
  <c r="V37" i="7"/>
  <c r="U38" i="7"/>
  <c r="W40" i="11"/>
  <c r="V40" i="11"/>
  <c r="U41" i="11"/>
  <c r="W39" i="12"/>
  <c r="V39" i="12"/>
  <c r="U40" i="12"/>
  <c r="U43" i="28" l="1"/>
  <c r="V42" i="28"/>
  <c r="V38" i="1"/>
  <c r="U39" i="1"/>
  <c r="U42" i="27"/>
  <c r="V41" i="27"/>
  <c r="V38" i="8"/>
  <c r="U39" i="8"/>
  <c r="W38" i="8"/>
  <c r="V40" i="14"/>
  <c r="U41" i="14"/>
  <c r="W40" i="14"/>
  <c r="W40" i="13"/>
  <c r="V40" i="13"/>
  <c r="U41" i="13"/>
  <c r="V38" i="7"/>
  <c r="U39" i="7"/>
  <c r="W38" i="7"/>
  <c r="U41" i="12"/>
  <c r="W40" i="12"/>
  <c r="V40" i="12"/>
  <c r="V41" i="11"/>
  <c r="U42" i="11"/>
  <c r="W41" i="11"/>
  <c r="U44" i="28" l="1"/>
  <c r="V43" i="28"/>
  <c r="U40" i="1"/>
  <c r="V39" i="1"/>
  <c r="V42" i="27"/>
  <c r="U43" i="27"/>
  <c r="V39" i="8"/>
  <c r="U40" i="8"/>
  <c r="W39" i="8"/>
  <c r="V41" i="14"/>
  <c r="U42" i="14"/>
  <c r="W41" i="14"/>
  <c r="V41" i="13"/>
  <c r="U42" i="13"/>
  <c r="W41" i="13"/>
  <c r="V39" i="7"/>
  <c r="W39" i="7"/>
  <c r="U40" i="7"/>
  <c r="V42" i="11"/>
  <c r="U43" i="11"/>
  <c r="W42" i="11"/>
  <c r="W41" i="12"/>
  <c r="V41" i="12"/>
  <c r="U42" i="12"/>
  <c r="U45" i="28" l="1"/>
  <c r="V44" i="28"/>
  <c r="U41" i="1"/>
  <c r="V40" i="1"/>
  <c r="U44" i="27"/>
  <c r="V43" i="27"/>
  <c r="V40" i="8"/>
  <c r="U41" i="8"/>
  <c r="W40" i="8"/>
  <c r="U43" i="14"/>
  <c r="V42" i="14"/>
  <c r="W42" i="14"/>
  <c r="W42" i="13"/>
  <c r="U43" i="13"/>
  <c r="V42" i="13"/>
  <c r="V40" i="7"/>
  <c r="U41" i="7"/>
  <c r="W40" i="7"/>
  <c r="W42" i="12"/>
  <c r="V42" i="12"/>
  <c r="U43" i="12"/>
  <c r="W43" i="11"/>
  <c r="V43" i="11"/>
  <c r="U44" i="11"/>
  <c r="V45" i="28" l="1"/>
  <c r="U46" i="28"/>
  <c r="U42" i="1"/>
  <c r="V41" i="1"/>
  <c r="V44" i="27"/>
  <c r="U45" i="27"/>
  <c r="U42" i="8"/>
  <c r="W41" i="8"/>
  <c r="V41" i="8"/>
  <c r="V43" i="14"/>
  <c r="U44" i="14"/>
  <c r="W43" i="14"/>
  <c r="V43" i="13"/>
  <c r="W43" i="13"/>
  <c r="U44" i="13"/>
  <c r="W41" i="7"/>
  <c r="U42" i="7"/>
  <c r="V41" i="7"/>
  <c r="W44" i="11"/>
  <c r="V44" i="11"/>
  <c r="U45" i="11"/>
  <c r="W43" i="12"/>
  <c r="V43" i="12"/>
  <c r="U44" i="12"/>
  <c r="U47" i="28" l="1"/>
  <c r="V47" i="28" s="1"/>
  <c r="AA17" i="28" s="1"/>
  <c r="AA20" i="28" s="1"/>
  <c r="V46" i="28"/>
  <c r="V42" i="1"/>
  <c r="U43" i="1"/>
  <c r="U46" i="27"/>
  <c r="V45" i="27"/>
  <c r="U43" i="8"/>
  <c r="V42" i="8"/>
  <c r="W42" i="8"/>
  <c r="W44" i="14"/>
  <c r="V44" i="14"/>
  <c r="U45" i="14"/>
  <c r="W44" i="13"/>
  <c r="V44" i="13"/>
  <c r="U45" i="13"/>
  <c r="V42" i="7"/>
  <c r="U43" i="7"/>
  <c r="W42" i="7"/>
  <c r="V45" i="11"/>
  <c r="U46" i="11"/>
  <c r="W45" i="11"/>
  <c r="U45" i="12"/>
  <c r="W44" i="12"/>
  <c r="V44" i="12"/>
  <c r="AE17" i="28" l="1"/>
  <c r="AE20" i="28" s="1"/>
  <c r="AA33" i="28"/>
  <c r="AA36" i="28" s="1"/>
  <c r="U44" i="1"/>
  <c r="V43" i="1"/>
  <c r="V46" i="27"/>
  <c r="U47" i="27"/>
  <c r="V47" i="27" s="1"/>
  <c r="AA17" i="27" s="1"/>
  <c r="AA20" i="27" s="1"/>
  <c r="V43" i="8"/>
  <c r="U44" i="8"/>
  <c r="W43" i="8"/>
  <c r="V45" i="14"/>
  <c r="U46" i="14"/>
  <c r="W45" i="14"/>
  <c r="V45" i="13"/>
  <c r="U46" i="13"/>
  <c r="W45" i="13"/>
  <c r="W43" i="7"/>
  <c r="U44" i="7"/>
  <c r="V43" i="7"/>
  <c r="W45" i="12"/>
  <c r="V45" i="12"/>
  <c r="U46" i="12"/>
  <c r="V46" i="11"/>
  <c r="U47" i="11"/>
  <c r="W46" i="11"/>
  <c r="V44" i="1" l="1"/>
  <c r="U45" i="1"/>
  <c r="AA33" i="27"/>
  <c r="AA36" i="27" s="1"/>
  <c r="AE17" i="27"/>
  <c r="AE20" i="27" s="1"/>
  <c r="V44" i="8"/>
  <c r="U45" i="8"/>
  <c r="W44" i="8"/>
  <c r="V46" i="14"/>
  <c r="U47" i="14"/>
  <c r="W46" i="14"/>
  <c r="V46" i="13"/>
  <c r="W46" i="13"/>
  <c r="U47" i="13"/>
  <c r="W44" i="7"/>
  <c r="V44" i="7"/>
  <c r="U45" i="7"/>
  <c r="W47" i="11"/>
  <c r="V47" i="11"/>
  <c r="W46" i="12"/>
  <c r="V46" i="12"/>
  <c r="U47" i="12"/>
  <c r="U46" i="1" l="1"/>
  <c r="V45" i="1"/>
  <c r="AE17" i="11"/>
  <c r="AE20" i="11" s="1"/>
  <c r="AA17" i="11"/>
  <c r="AA20" i="11" s="1"/>
  <c r="AE25" i="11"/>
  <c r="AE28" i="11" s="1"/>
  <c r="AA25" i="11"/>
  <c r="AA28" i="11" s="1"/>
  <c r="U46" i="8"/>
  <c r="W45" i="8"/>
  <c r="V45" i="8"/>
  <c r="V47" i="14"/>
  <c r="W47" i="14"/>
  <c r="W47" i="13"/>
  <c r="V47" i="13"/>
  <c r="AA33" i="13" s="1"/>
  <c r="AA36" i="13" s="1"/>
  <c r="W45" i="7"/>
  <c r="U46" i="7"/>
  <c r="V45" i="7"/>
  <c r="AA33" i="11"/>
  <c r="AA36" i="11" s="1"/>
  <c r="W47" i="12"/>
  <c r="AA33" i="12" s="1"/>
  <c r="AA36" i="12" s="1"/>
  <c r="V47" i="12"/>
  <c r="V46" i="1" l="1"/>
  <c r="U47" i="1"/>
  <c r="V47" i="1" s="1"/>
  <c r="AA33" i="1" s="1"/>
  <c r="AA36" i="1" s="1"/>
  <c r="V46" i="8"/>
  <c r="W46" i="8"/>
  <c r="U47" i="8"/>
  <c r="AA33" i="14"/>
  <c r="AA36" i="14" s="1"/>
  <c r="V46" i="7"/>
  <c r="U47" i="7"/>
  <c r="W46" i="7"/>
  <c r="AE17" i="1" l="1"/>
  <c r="AE20" i="1" s="1"/>
  <c r="W47" i="8"/>
  <c r="AE25" i="8" s="1"/>
  <c r="AE28" i="8" s="1"/>
  <c r="V47" i="8"/>
  <c r="V47" i="7"/>
  <c r="W47" i="7"/>
  <c r="AE25" i="7" s="1"/>
  <c r="AE28" i="7" s="1"/>
  <c r="AA33" i="8" l="1"/>
  <c r="AA36" i="8" s="1"/>
  <c r="AE17" i="8"/>
  <c r="AE20" i="8" s="1"/>
  <c r="AA17" i="7"/>
  <c r="AA20" i="7" s="1"/>
  <c r="AE17" i="7"/>
  <c r="AE20" i="7" s="1"/>
  <c r="AA33" i="7"/>
  <c r="AA36" i="7" s="1"/>
  <c r="AA25" i="7"/>
  <c r="AA28" i="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100-000001000000}">
      <text>
        <r>
          <rPr>
            <b/>
            <sz val="9"/>
            <color indexed="81"/>
            <rFont val="Tahoma"/>
            <family val="2"/>
          </rPr>
          <t>NCt(t, df, delta=0, errBound=1e-8, maxIters=400)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200-000001000000}">
      <text>
        <r>
          <rPr>
            <b/>
            <sz val="9"/>
            <color indexed="81"/>
            <rFont val="Tahoma"/>
            <family val="2"/>
          </rPr>
          <t>NCt(t, df, delta=0, errBound=1e-8, maxIters=400)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3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300-000002000000}">
      <text>
        <r>
          <rPr>
            <b/>
            <sz val="9"/>
            <color indexed="81"/>
            <rFont val="Tahoma"/>
            <family val="2"/>
          </rPr>
          <t>NCt(t, df, delta=0, errBound=1e-8, maxIters=400)</t>
        </r>
      </text>
    </comment>
    <comment ref="C17" authorId="0" shapeId="0" xr:uid="{00000000-0006-0000-0300-000003000000}">
      <text>
        <r>
          <rPr>
            <b/>
            <sz val="9"/>
            <color indexed="81"/>
            <rFont val="Tahoma"/>
            <family val="2"/>
          </rPr>
          <t>NCt(t, df, delta=0, errBound=1e-8, maxIters=400)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4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400-000002000000}">
      <text>
        <r>
          <rPr>
            <b/>
            <sz val="9"/>
            <color indexed="81"/>
            <rFont val="Tahoma"/>
            <family val="2"/>
          </rPr>
          <t>NCt(t, df, delta=0, errBound=1e-8, maxIters=400)</t>
        </r>
      </text>
    </comment>
    <comment ref="C17" authorId="0" shapeId="0" xr:uid="{00000000-0006-0000-0400-000003000000}">
      <text>
        <r>
          <rPr>
            <b/>
            <sz val="9"/>
            <color indexed="81"/>
            <rFont val="Tahoma"/>
            <family val="2"/>
          </rPr>
          <t>NCt(t, df, delta=0, errBound=1e-8, maxIters=400)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500-000001000000}">
      <text>
        <r>
          <rPr>
            <b/>
            <sz val="9"/>
            <color indexed="81"/>
            <rFont val="Tahoma"/>
            <family val="2"/>
          </rPr>
          <t>NCt(t, df, delta=0, errBound=1e-8, maxIters=400)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600-000001000000}">
      <text>
        <r>
          <rPr>
            <b/>
            <sz val="9"/>
            <color indexed="81"/>
            <rFont val="Tahoma"/>
            <family val="2"/>
          </rPr>
          <t>NCt(t, df, delta=0, errBound=1e-8, maxIters=400)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5" authorId="0" shapeId="0" xr:uid="{4E5FB239-5B29-4A17-8D0E-18D08E0D0BBC}">
      <text>
        <r>
          <rPr>
            <sz val="9"/>
            <color indexed="81"/>
            <rFont val="Tahoma"/>
            <family val="2"/>
          </rPr>
          <t xml:space="preserve">There are various misconceptions regarding the variability used to power a parallel bioequivalence trial, and what this variance means. In a parallel bioequivalence trial, the variability observed between subjects is the </t>
        </r>
        <r>
          <rPr>
            <b/>
            <sz val="9"/>
            <color indexed="81"/>
            <rFont val="Tahoma"/>
            <family val="2"/>
          </rPr>
          <t>total CV</t>
        </r>
        <r>
          <rPr>
            <sz val="9"/>
            <color indexed="81"/>
            <rFont val="Tahoma"/>
            <family val="2"/>
          </rPr>
          <t xml:space="preserve">, which is composed of both the IntraCV and InterCV (even though there is just one treatment per subject). The mathamatical relationships between these variabilities are provided on the right. </t>
        </r>
        <r>
          <rPr>
            <i/>
            <sz val="9"/>
            <color indexed="81"/>
            <rFont val="Tahoma"/>
            <family val="2"/>
          </rPr>
          <t>The total CV, not the InterCV, should be used to estimate the sample size for a parallel bioequivalence study.</t>
        </r>
        <r>
          <rPr>
            <sz val="9"/>
            <color indexed="81"/>
            <rFont val="Tahoma"/>
            <family val="2"/>
          </rPr>
          <t xml:space="preserve">
</t>
        </r>
        <r>
          <rPr>
            <sz val="9"/>
            <color indexed="81"/>
            <rFont val="Tahoma"/>
            <charset val="1"/>
          </rPr>
          <t xml:space="preserve">
If you have literature or pilot estimates of the InterCV and IntraCV from a crossover or replicate study, you can use the </t>
        </r>
        <r>
          <rPr>
            <b/>
            <i/>
            <sz val="9"/>
            <color indexed="81"/>
            <rFont val="Tahoma"/>
            <family val="2"/>
          </rPr>
          <t>Total CV Calculator</t>
        </r>
        <r>
          <rPr>
            <sz val="9"/>
            <color indexed="81"/>
            <rFont val="Tahoma"/>
            <charset val="1"/>
          </rPr>
          <t xml:space="preserve"> on the right to estimate the total CV for the drug, and use this value to properly estimate the number of subjects for a parallel study.
If you are looking at data from a previous parallel study, the CV estimated in this study will be </t>
        </r>
        <r>
          <rPr>
            <sz val="9"/>
            <color indexed="81"/>
            <rFont val="Tahoma"/>
            <family val="2"/>
          </rPr>
          <t>total CV</t>
        </r>
        <r>
          <rPr>
            <sz val="9"/>
            <color indexed="81"/>
            <rFont val="Tahoma"/>
            <charset val="1"/>
          </rPr>
          <t>, and not InterCV.</t>
        </r>
      </text>
    </comment>
    <comment ref="C16" authorId="0" shapeId="0" xr:uid="{41E01026-CE5B-462B-BB59-BCA6A4AAE980}">
      <text>
        <r>
          <rPr>
            <b/>
            <sz val="9"/>
            <color indexed="81"/>
            <rFont val="Tahoma"/>
            <family val="2"/>
          </rPr>
          <t>NCt(t, df, delta=0, errBound=1e-8, maxIters=400)</t>
        </r>
      </text>
    </comment>
    <comment ref="C17" authorId="0" shapeId="0" xr:uid="{46C3C989-9B3A-4F50-92A0-B5628CB5255C}">
      <text>
        <r>
          <rPr>
            <b/>
            <sz val="9"/>
            <color indexed="81"/>
            <rFont val="Tahoma"/>
            <family val="2"/>
          </rPr>
          <t>NCt(t, df, delta=0, errBound=1e-8, maxIters=400)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700-000001000000}">
      <text>
        <r>
          <rPr>
            <b/>
            <sz val="9"/>
            <color indexed="81"/>
            <rFont val="Tahoma"/>
            <family val="2"/>
          </rPr>
          <t>NCt(t, df, delta=0, errBound=1e-8, maxIters=400)</t>
        </r>
      </text>
    </comment>
    <comment ref="C17" authorId="0" shapeId="0" xr:uid="{00000000-0006-0000-0700-000002000000}">
      <text>
        <r>
          <rPr>
            <b/>
            <sz val="9"/>
            <color indexed="81"/>
            <rFont val="Tahoma"/>
            <family val="2"/>
          </rPr>
          <t>NCt(t, df, delta=0, errBound=1e-8, maxIters=400)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E528EAED-C043-49B2-9598-4F264A953F2F}">
      <text>
        <r>
          <rPr>
            <b/>
            <sz val="9"/>
            <color indexed="81"/>
            <rFont val="Tahoma"/>
            <family val="2"/>
          </rPr>
          <t>NCt(t, df, delta=0, errBound=1e-8, maxIters=400)</t>
        </r>
      </text>
    </comment>
    <comment ref="C17" authorId="0" shapeId="0" xr:uid="{7BC797FE-DA1B-4673-94BB-2B6420F4D022}">
      <text>
        <r>
          <rPr>
            <b/>
            <sz val="9"/>
            <color indexed="81"/>
            <rFont val="Tahoma"/>
            <family val="2"/>
          </rPr>
          <t>NCt(t, df, delta=0, errBound=1e-8, maxIters=400)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00000000-0006-0000-0F00-000001000000}">
      <text>
        <r>
          <rPr>
            <b/>
            <sz val="8"/>
            <color indexed="81"/>
            <rFont val="Tahoma"/>
            <family val="2"/>
          </rPr>
          <t>Also the "point estimate": a ratio of test to reference of the geometric means</t>
        </r>
      </text>
    </comment>
    <comment ref="B10" authorId="0" shapeId="0" xr:uid="{00000000-0006-0000-0F00-000002000000}">
      <text>
        <r>
          <rPr>
            <b/>
            <sz val="8"/>
            <color indexed="81"/>
            <rFont val="Tahoma"/>
            <family val="2"/>
          </rPr>
          <t>Excel uses a 2-tailed test, so for 90% CI use 0.1 in this funciton.</t>
        </r>
      </text>
    </comment>
  </commentList>
</comments>
</file>

<file path=xl/sharedStrings.xml><?xml version="1.0" encoding="utf-8"?>
<sst xmlns="http://schemas.openxmlformats.org/spreadsheetml/2006/main" count="996" uniqueCount="250">
  <si>
    <t>n</t>
  </si>
  <si>
    <t>Desired Power</t>
  </si>
  <si>
    <t>n-2</t>
  </si>
  <si>
    <t>tau2</t>
  </si>
  <si>
    <t>tau1</t>
  </si>
  <si>
    <t>D</t>
  </si>
  <si>
    <t>Probt(1)</t>
  </si>
  <si>
    <t>Probt(2)</t>
  </si>
  <si>
    <t>t(1-alpha,n-2)</t>
  </si>
  <si>
    <t>Lower Equivalence Limit</t>
  </si>
  <si>
    <t>Upper Equivalence Limit</t>
  </si>
  <si>
    <t>Required Sample Size</t>
  </si>
  <si>
    <t>p</t>
  </si>
  <si>
    <t>t(1-alpha/2,n-2)</t>
  </si>
  <si>
    <t>t(1-alpha/2,nA(r+1)-2)</t>
  </si>
  <si>
    <t>nA(r+1)-2</t>
  </si>
  <si>
    <t>nA</t>
  </si>
  <si>
    <t>d</t>
  </si>
  <si>
    <t>s</t>
  </si>
  <si>
    <t>Common standard deviation</t>
  </si>
  <si>
    <t>Probability of a Type I error (false positive)</t>
  </si>
  <si>
    <t>Probability of not getting a Type II error (not getting a false negative)</t>
  </si>
  <si>
    <r>
      <t>r (note: n</t>
    </r>
    <r>
      <rPr>
        <vertAlign val="subscript"/>
        <sz val="10"/>
        <rFont val="Arial"/>
        <family val="2"/>
      </rPr>
      <t>A</t>
    </r>
    <r>
      <rPr>
        <sz val="10"/>
        <rFont val="Arial"/>
        <family val="2"/>
      </rPr>
      <t>*r=n</t>
    </r>
    <r>
      <rPr>
        <vertAlign val="subscript"/>
        <sz val="10"/>
        <rFont val="Arial"/>
        <family val="2"/>
      </rPr>
      <t>B</t>
    </r>
    <r>
      <rPr>
        <sz val="10"/>
        <rFont val="Arial"/>
        <family val="2"/>
      </rPr>
      <t>)</t>
    </r>
  </si>
  <si>
    <r>
      <t>This is the 'allocation ratio' of n</t>
    </r>
    <r>
      <rPr>
        <vertAlign val="subscript"/>
        <sz val="10"/>
        <rFont val="Arial"/>
        <family val="2"/>
      </rPr>
      <t>B</t>
    </r>
    <r>
      <rPr>
        <sz val="10"/>
        <rFont val="Arial"/>
        <family val="2"/>
      </rPr>
      <t xml:space="preserve"> over n</t>
    </r>
    <r>
      <rPr>
        <vertAlign val="subscript"/>
        <sz val="10"/>
        <rFont val="Arial"/>
        <family val="2"/>
      </rPr>
      <t>A</t>
    </r>
    <r>
      <rPr>
        <sz val="10"/>
        <rFont val="Arial"/>
        <family val="2"/>
      </rPr>
      <t xml:space="preserve"> (for equal sample sizes, r=1)</t>
    </r>
  </si>
  <si>
    <r>
      <t>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</si>
  <si>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t>(total sample size)</t>
  </si>
  <si>
    <r>
      <t>s</t>
    </r>
    <r>
      <rPr>
        <vertAlign val="subscript"/>
        <sz val="10"/>
        <rFont val="Arial"/>
        <family val="2"/>
      </rPr>
      <t>w</t>
    </r>
  </si>
  <si>
    <t>t(1-alpha,nA(r+1)-2)</t>
  </si>
  <si>
    <r>
      <t>Maximum allowable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</si>
  <si>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r>
      <t>Maximum allowable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--&gt; this is the expected clinically relevant difference.</t>
    </r>
  </si>
  <si>
    <t>Expected within-subject population standard deviation</t>
  </si>
  <si>
    <t>4 period replicate (ABBA/BAAB)</t>
  </si>
  <si>
    <t>2 period replicate (AA/AB/BA/BB)</t>
  </si>
  <si>
    <t>Multiply n by:</t>
  </si>
  <si>
    <r>
      <t xml:space="preserve">Expected </t>
    </r>
    <r>
      <rPr>
        <sz val="10"/>
        <rFont val="Symbol"/>
        <family val="1"/>
        <charset val="2"/>
      </rPr>
      <t>m</t>
    </r>
    <r>
      <rPr>
        <vertAlign val="subscript"/>
        <sz val="10"/>
        <rFont val="Arial"/>
        <family val="2"/>
      </rPr>
      <t>T</t>
    </r>
    <r>
      <rPr>
        <sz val="10"/>
        <rFont val="Arial"/>
        <family val="2"/>
      </rPr>
      <t>/</t>
    </r>
    <r>
      <rPr>
        <sz val="10"/>
        <rFont val="Symbol"/>
        <family val="1"/>
        <charset val="2"/>
      </rPr>
      <t>m</t>
    </r>
    <r>
      <rPr>
        <vertAlign val="subscript"/>
        <sz val="10"/>
        <rFont val="Arial"/>
        <family val="2"/>
      </rPr>
      <t>R</t>
    </r>
    <r>
      <rPr>
        <sz val="10"/>
        <rFont val="Arial"/>
        <family val="2"/>
      </rPr>
      <t xml:space="preserve"> Ratio</t>
    </r>
  </si>
  <si>
    <r>
      <t>n</t>
    </r>
    <r>
      <rPr>
        <vertAlign val="subscript"/>
        <sz val="10"/>
        <rFont val="Arial"/>
        <family val="2"/>
      </rPr>
      <t>T</t>
    </r>
  </si>
  <si>
    <r>
      <t>n</t>
    </r>
    <r>
      <rPr>
        <vertAlign val="subscript"/>
        <sz val="10"/>
        <rFont val="Arial"/>
        <family val="2"/>
      </rPr>
      <t>T</t>
    </r>
    <r>
      <rPr>
        <sz val="10"/>
        <rFont val="Arial"/>
        <family val="2"/>
      </rPr>
      <t>*(r+1)-2</t>
    </r>
  </si>
  <si>
    <r>
      <t>t(1-alpha,n</t>
    </r>
    <r>
      <rPr>
        <vertAlign val="subscript"/>
        <sz val="10"/>
        <rFont val="Arial"/>
        <family val="2"/>
      </rPr>
      <t>T</t>
    </r>
    <r>
      <rPr>
        <sz val="10"/>
        <rFont val="Arial"/>
        <family val="2"/>
      </rPr>
      <t>(r+1)-2)</t>
    </r>
  </si>
  <si>
    <t>w</t>
  </si>
  <si>
    <t>Half-width of the confidence interval desired.</t>
  </si>
  <si>
    <r>
      <t>(r+1)t^2*</t>
    </r>
    <r>
      <rPr>
        <sz val="10"/>
        <rFont val="Symbol"/>
        <family val="1"/>
        <charset val="2"/>
      </rPr>
      <t>s</t>
    </r>
    <r>
      <rPr>
        <sz val="10"/>
        <rFont val="Arial"/>
        <family val="2"/>
      </rPr>
      <t>^2/(rw^2)</t>
    </r>
  </si>
  <si>
    <r>
      <t>2t^2*</t>
    </r>
    <r>
      <rPr>
        <sz val="10"/>
        <rFont val="Symbol"/>
        <family val="1"/>
        <charset val="2"/>
      </rPr>
      <t>s</t>
    </r>
    <r>
      <rPr>
        <sz val="10"/>
        <rFont val="Arial"/>
        <family val="2"/>
      </rPr>
      <t>^2/(w^2)</t>
    </r>
  </si>
  <si>
    <t>Is the data you're looking at to plan your trials baseline corrected?</t>
  </si>
  <si>
    <t>If so the variance may be too high to plan your sample size around.</t>
  </si>
  <si>
    <t>The variance in baseline-corrected trials can be corrected for:</t>
  </si>
  <si>
    <t>The variance can simply be divided by the factor on the right.</t>
  </si>
  <si>
    <r>
      <t>s</t>
    </r>
    <r>
      <rPr>
        <vertAlign val="superscript"/>
        <sz val="10"/>
        <rFont val="Arial"/>
        <family val="2"/>
      </rPr>
      <t>2</t>
    </r>
    <r>
      <rPr>
        <sz val="10"/>
        <rFont val="Arial"/>
        <family val="2"/>
      </rPr>
      <t xml:space="preserve"> reported</t>
    </r>
  </si>
  <si>
    <t>r</t>
  </si>
  <si>
    <t>Pearson Correlation Coefficient between observations</t>
  </si>
  <si>
    <t>Number of baseline measures taken per individual</t>
  </si>
  <si>
    <t>Variance Correction Factor:</t>
  </si>
  <si>
    <r>
      <t>s</t>
    </r>
    <r>
      <rPr>
        <vertAlign val="superscript"/>
        <sz val="10"/>
        <rFont val="Arial"/>
        <family val="2"/>
      </rPr>
      <t>2</t>
    </r>
    <r>
      <rPr>
        <sz val="10"/>
        <rFont val="Arial"/>
        <family val="2"/>
      </rPr>
      <t xml:space="preserve"> adjusted:</t>
    </r>
  </si>
  <si>
    <t>2. Post-dose Measures Correction.</t>
  </si>
  <si>
    <t>number of post-dose measures</t>
  </si>
  <si>
    <t>correlation between post-dose measures</t>
  </si>
  <si>
    <t>3. Accounting for Baseline(s) and Post-dose Measures as Covariates</t>
  </si>
  <si>
    <t>Repfactor (for Boss Button)</t>
  </si>
  <si>
    <r>
      <t>Expected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xml:space="preserve"> expected).</t>
    </r>
  </si>
  <si>
    <r>
      <t>1-</t>
    </r>
    <r>
      <rPr>
        <sz val="10"/>
        <rFont val="Symbol"/>
        <family val="1"/>
        <charset val="2"/>
      </rPr>
      <t>b</t>
    </r>
  </si>
  <si>
    <t>a</t>
  </si>
  <si>
    <r>
      <t>n</t>
    </r>
    <r>
      <rPr>
        <vertAlign val="subscript"/>
        <sz val="10"/>
        <rFont val="Arial"/>
        <family val="2"/>
      </rPr>
      <t>A</t>
    </r>
  </si>
  <si>
    <r>
      <t>n</t>
    </r>
    <r>
      <rPr>
        <vertAlign val="subscript"/>
        <sz val="10"/>
        <rFont val="Arial"/>
        <family val="2"/>
      </rPr>
      <t>A</t>
    </r>
    <r>
      <rPr>
        <sz val="10"/>
        <rFont val="Arial"/>
        <family val="2"/>
      </rPr>
      <t>(r+1)-2</t>
    </r>
  </si>
  <si>
    <r>
      <t>t(1-alpha/2,n</t>
    </r>
    <r>
      <rPr>
        <vertAlign val="subscript"/>
        <sz val="10"/>
        <rFont val="Arial"/>
        <family val="2"/>
      </rPr>
      <t>A</t>
    </r>
    <r>
      <rPr>
        <sz val="10"/>
        <rFont val="Arial"/>
        <family val="2"/>
      </rPr>
      <t>(r+1)-2)</t>
    </r>
  </si>
  <si>
    <r>
      <t>n</t>
    </r>
    <r>
      <rPr>
        <b/>
        <vertAlign val="subscript"/>
        <sz val="10"/>
        <rFont val="Arial"/>
        <family val="2"/>
      </rPr>
      <t>A</t>
    </r>
  </si>
  <si>
    <r>
      <t>n</t>
    </r>
    <r>
      <rPr>
        <b/>
        <vertAlign val="subscript"/>
        <sz val="10"/>
        <rFont val="Arial"/>
        <family val="2"/>
      </rPr>
      <t>B</t>
    </r>
  </si>
  <si>
    <t>Probability of a Type I error (false positive).</t>
  </si>
  <si>
    <t>Total</t>
  </si>
  <si>
    <t>Probability of a Type I error (false positive) in the event that there is no significant difference between means</t>
  </si>
  <si>
    <t>Superiority, Parallel</t>
  </si>
  <si>
    <t>Superiority, Crossover</t>
  </si>
  <si>
    <t>Equivalence, Parallel</t>
  </si>
  <si>
    <t>Equivalence, Crossover</t>
  </si>
  <si>
    <t>Non-inferiority, Parallel</t>
  </si>
  <si>
    <t>Non-inferiority, Crossover</t>
  </si>
  <si>
    <t>Bioequivalence, Crossover</t>
  </si>
  <si>
    <t>Bioequivalence, Parallel</t>
  </si>
  <si>
    <t>Bioequivalence, Replicate</t>
  </si>
  <si>
    <t>Given Precision, Parallel</t>
  </si>
  <si>
    <t>Given Precision, Crossover</t>
  </si>
  <si>
    <t>Variance Correction (Baseline and Post-dose Measures)</t>
  </si>
  <si>
    <t>at your fingertips</t>
  </si>
  <si>
    <t>NOTE: This is a 2-tailed test. For a 1-tailed test, multiply alpha by 2 (and pretend it's the same alpha).</t>
  </si>
  <si>
    <r>
      <t>p</t>
    </r>
    <r>
      <rPr>
        <vertAlign val="subscript"/>
        <sz val="10"/>
        <rFont val="Arial"/>
        <family val="2"/>
      </rPr>
      <t>0</t>
    </r>
  </si>
  <si>
    <t>Predefined reference level (non-responder)</t>
  </si>
  <si>
    <t>(This is like d in the other spreadsheets)</t>
  </si>
  <si>
    <r>
      <t>p</t>
    </r>
    <r>
      <rPr>
        <vertAlign val="subscript"/>
        <sz val="10"/>
        <rFont val="Arial"/>
        <family val="2"/>
      </rPr>
      <t>1</t>
    </r>
  </si>
  <si>
    <t>This is the critical number of responders above which the null hypothesis is rejected.</t>
  </si>
  <si>
    <t>Minimum cure rate level we would like to detect</t>
  </si>
  <si>
    <t>H1: a difference exists between treatment and control.</t>
  </si>
  <si>
    <t>References:</t>
  </si>
  <si>
    <t>Intra-Subject Variability Calculator</t>
  </si>
  <si>
    <t>POINT ESTIMATE AND CONFIDENCE INTERVALS to ISV</t>
  </si>
  <si>
    <t>Ratio</t>
  </si>
  <si>
    <t>Ratio of Test to Reference</t>
  </si>
  <si>
    <t>Lower</t>
  </si>
  <si>
    <t>Lower Confidence Interval</t>
  </si>
  <si>
    <t xml:space="preserve">Upper </t>
  </si>
  <si>
    <t>Upper Confidence Interval</t>
  </si>
  <si>
    <t>N</t>
  </si>
  <si>
    <t># Subjects</t>
  </si>
  <si>
    <t>CI range</t>
  </si>
  <si>
    <t>DF</t>
  </si>
  <si>
    <t>T90</t>
  </si>
  <si>
    <t>SEEL</t>
  </si>
  <si>
    <t>SEEH</t>
  </si>
  <si>
    <t>MSEL</t>
  </si>
  <si>
    <t>MSEH</t>
  </si>
  <si>
    <t>ISVL</t>
  </si>
  <si>
    <t>ISVH</t>
  </si>
  <si>
    <t>ISV</t>
  </si>
  <si>
    <t>%</t>
  </si>
  <si>
    <r>
      <t>r</t>
    </r>
    <r>
      <rPr>
        <vertAlign val="subscript"/>
        <sz val="10"/>
        <rFont val="Arial"/>
        <family val="2"/>
      </rPr>
      <t>crit</t>
    </r>
  </si>
  <si>
    <t>Required Responders</t>
  </si>
  <si>
    <r>
      <t xml:space="preserve">H0: a difference of </t>
    </r>
    <r>
      <rPr>
        <sz val="10"/>
        <rFont val="Symbol"/>
        <family val="1"/>
        <charset val="2"/>
      </rPr>
      <t>d</t>
    </r>
    <r>
      <rPr>
        <sz val="10"/>
        <rFont val="Arial"/>
        <family val="2"/>
      </rPr>
      <t xml:space="preserve"> does not exist between treatment and control.</t>
    </r>
  </si>
  <si>
    <t>(# responders out of the total sample size needed to reject the null hypothesis)</t>
  </si>
  <si>
    <r>
      <t>If the results of the study see more than r</t>
    </r>
    <r>
      <rPr>
        <vertAlign val="subscript"/>
        <sz val="10"/>
        <rFont val="Arial"/>
        <family val="2"/>
      </rPr>
      <t>crit</t>
    </r>
    <r>
      <rPr>
        <sz val="10"/>
        <rFont val="Arial"/>
        <family val="2"/>
      </rPr>
      <t xml:space="preserve"> responders, you can reject H0 and conclude there is a more than </t>
    </r>
    <r>
      <rPr>
        <sz val="10"/>
        <rFont val="Symbol"/>
        <family val="1"/>
        <charset val="2"/>
      </rPr>
      <t>d</t>
    </r>
    <r>
      <rPr>
        <sz val="10"/>
        <rFont val="Arial"/>
        <family val="2"/>
      </rPr>
      <t xml:space="preserve"> % difference.</t>
    </r>
  </si>
  <si>
    <t>Difference Between Proportions (Binomial Test)</t>
  </si>
  <si>
    <t>Intrasubject standard deviation, taken from the residual line of an ANOVA model</t>
  </si>
  <si>
    <r>
      <t xml:space="preserve">d = </t>
    </r>
    <r>
      <rPr>
        <sz val="10"/>
        <rFont val="Arial"/>
        <family val="2"/>
      </rPr>
      <t>d</t>
    </r>
    <r>
      <rPr>
        <sz val="10"/>
        <rFont val="Symbol"/>
        <family val="1"/>
        <charset val="2"/>
      </rPr>
      <t>/s</t>
    </r>
  </si>
  <si>
    <r>
      <t xml:space="preserve">d = </t>
    </r>
    <r>
      <rPr>
        <sz val="10"/>
        <rFont val="Arial"/>
        <family val="2"/>
      </rPr>
      <t>d</t>
    </r>
    <r>
      <rPr>
        <sz val="10"/>
        <rFont val="Symbol"/>
        <family val="1"/>
        <charset val="2"/>
      </rPr>
      <t>/s</t>
    </r>
    <r>
      <rPr>
        <vertAlign val="subscript"/>
        <sz val="10"/>
        <rFont val="Arial"/>
        <family val="2"/>
      </rPr>
      <t>w</t>
    </r>
  </si>
  <si>
    <t>intra-subject CV (ISV)</t>
  </si>
  <si>
    <t>(good for smaller sample sizes, &lt;= 170)</t>
  </si>
  <si>
    <t>(Scroll down for an example)</t>
  </si>
  <si>
    <t>EXAMPLE:</t>
  </si>
  <si>
    <t>(Note: this was a typo, Table II gave a total sample size of 87 in the paper).</t>
  </si>
  <si>
    <t>Source: Julious, SA. Statist. Med. 2004; 23:1921–1986</t>
  </si>
  <si>
    <t>(Note: Table VII provided sample size estimates at 90% power.)</t>
  </si>
  <si>
    <r>
      <t>ISV = sqrt(Mean Square Error) / ((</t>
    </r>
    <r>
      <rPr>
        <sz val="10"/>
        <rFont val="Symbol"/>
        <family val="1"/>
        <charset val="2"/>
      </rPr>
      <t>m</t>
    </r>
    <r>
      <rPr>
        <vertAlign val="subscript"/>
        <sz val="10"/>
        <rFont val="Arial"/>
        <family val="2"/>
      </rPr>
      <t>A</t>
    </r>
    <r>
      <rPr>
        <sz val="10"/>
        <rFont val="Arial"/>
        <family val="2"/>
      </rPr>
      <t xml:space="preserve"> + </t>
    </r>
    <r>
      <rPr>
        <sz val="10"/>
        <rFont val="Symbol"/>
        <family val="1"/>
        <charset val="2"/>
      </rPr>
      <t>m</t>
    </r>
    <r>
      <rPr>
        <vertAlign val="subscript"/>
        <sz val="10"/>
        <rFont val="Arial"/>
        <family val="2"/>
      </rPr>
      <t>B</t>
    </r>
    <r>
      <rPr>
        <sz val="10"/>
        <rFont val="Arial"/>
        <family val="2"/>
      </rPr>
      <t>)/2). You can also get a quick and dirty estimate taking 0.5 * total CV (which is just published standard deviation / mean)</t>
    </r>
  </si>
  <si>
    <t>Source: Shein-Chung Chow, Jun Shao, Hansheng Wang. Sample Size Calculations in Clinical Research. Marcel Dekker, Inc. 
New York • Basel 2003.</t>
  </si>
  <si>
    <t>(including responders + non-responders)</t>
  </si>
  <si>
    <t xml:space="preserve">Shein-Chung Chow, Jun Shao, Hansheng Wang. Sample Size Calculations in Clinical Research. Marcel Dekker, Inc. New York • Basel 2003.
</t>
  </si>
  <si>
    <t>Toronto, Ontario, Canada</t>
  </si>
  <si>
    <t>Bioequivalence Limits:</t>
  </si>
  <si>
    <r>
      <rPr>
        <sz val="10"/>
        <rFont val="Symbol"/>
        <family val="1"/>
        <charset val="2"/>
      </rPr>
      <t>s</t>
    </r>
    <r>
      <rPr>
        <sz val="10"/>
        <rFont val="Arial"/>
        <family val="2"/>
      </rPr>
      <t>w0 is the SD at which the BE limits are permitted to be widened (set by an agency)</t>
    </r>
  </si>
  <si>
    <t>BE limits, ln-scale (±)</t>
  </si>
  <si>
    <t>Source:</t>
  </si>
  <si>
    <t>http://www.fda.gov/ohrms/dockets/ac/06/slides/2006-4241s2_4.ppt</t>
  </si>
  <si>
    <t>http://www.fda.gov/ohrms/dockets/ac/06/slides/2006-4241s2_3.ppt</t>
  </si>
  <si>
    <t>Sources:</t>
  </si>
  <si>
    <r>
      <rPr>
        <sz val="10"/>
        <rFont val="Symbol"/>
        <family val="1"/>
        <charset val="2"/>
      </rPr>
      <t>s</t>
    </r>
    <r>
      <rPr>
        <sz val="10"/>
        <rFont val="Arial"/>
        <family val="2"/>
      </rPr>
      <t>wr is either the residual SD (ABE) or the SD of the reference product (replicate design)</t>
    </r>
  </si>
  <si>
    <t xml:space="preserve"> (Note: Dr. Midha and Dr. Sam Haidar propose a value of 0.25 as a permitted SD)</t>
  </si>
  <si>
    <t>http://bebac.at/news/2006-10-06.htm</t>
  </si>
  <si>
    <t>σwr^2</t>
  </si>
  <si>
    <t>(reference product)</t>
  </si>
  <si>
    <t>http://www.springerlink.com/content/u503p62056413677/fulltext.pdf</t>
  </si>
  <si>
    <t>If CVWR &gt; 30%, FDA will use the reference-scaled average BE approach</t>
  </si>
  <si>
    <t>If CVWR &lt; 30%, FDA will use the unscaled average BE approach</t>
  </si>
  <si>
    <t>http://www.fda.gov/ohrms/dockets/ac/06/slides/2006-4241s2_5.ppt</t>
  </si>
  <si>
    <t xml:space="preserve"> (Note: Presentation by Barbara Davit suggests 30% cutoff for IntraCV)*</t>
  </si>
  <si>
    <t>* Calculation of BE limits assumes that the 30% cutoff suggested by Barbara Davit be used as the Permitted SD.</t>
  </si>
  <si>
    <t>Scaled average bioequivalence, based on within subject variability of reference (Dr. Haider notation)</t>
  </si>
  <si>
    <t>Scaled average bioequivalence, based on within subject variability of reference (Dr. Midah notation)</t>
  </si>
  <si>
    <t>Bioequivalence Limits for Point Estimate: 80.00 - 125.00%</t>
  </si>
  <si>
    <t>Widening of Bioequivalence Limits Based on Reference Variability</t>
  </si>
  <si>
    <t>Expansion of Bioequivalence Limits Based on Fixed Sample Size</t>
  </si>
  <si>
    <t>Method B (Haidar et al 2008)</t>
  </si>
  <si>
    <t>Number of Subjects (Completed):</t>
  </si>
  <si>
    <t>Reference/Reference Ratio:</t>
  </si>
  <si>
    <t>t(0.05,n-2)</t>
  </si>
  <si>
    <t>Method C1 (Haidar et al, 2008)</t>
  </si>
  <si>
    <t>*Note: for this method, the ISV would have to be &gt;47%, with n=24 and Ref/Ref = 1.</t>
  </si>
  <si>
    <t>If Ref/Ref &lt;&gt;1, BE limits are not symmetrical about unity.</t>
  </si>
  <si>
    <t>Standard Error of Difference</t>
  </si>
  <si>
    <t>Perhaps take the reciprocal of the largest confidence limit to rectify? Issue not discussed in the Haidar paper.</t>
  </si>
  <si>
    <t>k:</t>
  </si>
  <si>
    <t>σwr</t>
  </si>
  <si>
    <t>Method C2 (Haidar et al, 2008)</t>
  </si>
  <si>
    <t>Other Discussed Approaches</t>
  </si>
  <si>
    <t>Proposed FDA Approach for Scaled Bioequivalence Limits</t>
  </si>
  <si>
    <t>06 October 2006 meeting of the Advisory Committee for Pharmaceutical Sciences (ACPS)</t>
  </si>
  <si>
    <t>Expansion of Bioequivalence Limits Based on Sample Size and Scaling</t>
  </si>
  <si>
    <t>Method D (Haidar et al, 2008)</t>
  </si>
  <si>
    <t>Type II Error (beta)</t>
  </si>
  <si>
    <t>Type I Error (alpha)</t>
  </si>
  <si>
    <t># Subjects Desired in Study (2n):</t>
  </si>
  <si>
    <t>t(alpha,2n-2)</t>
  </si>
  <si>
    <t>t(beta/2,2n-2)</t>
  </si>
  <si>
    <t xml:space="preserve"> (consumer risk)</t>
  </si>
  <si>
    <t>http://www.fda.gov/cder/Guidance/3616fnl.pdf</t>
  </si>
  <si>
    <t>Method C3 (Haidar et al, 2008)</t>
  </si>
  <si>
    <t>σwt^2</t>
  </si>
  <si>
    <t>σd^2</t>
  </si>
  <si>
    <t>θi</t>
  </si>
  <si>
    <t>Permitted SD (σw0):</t>
  </si>
  <si>
    <t>θ:</t>
  </si>
  <si>
    <t>Corresponding Permitted IntraCV:</t>
  </si>
  <si>
    <t>σwr^2:</t>
  </si>
  <si>
    <t>Limits of μT - μR (±sqrt(θ*σwr^2)):</t>
  </si>
  <si>
    <t>Intra-subject Standard Deviation:</t>
  </si>
  <si>
    <t>(IntraCV of Reference)</t>
  </si>
  <si>
    <t>(IntraCV of Test)</t>
  </si>
  <si>
    <t>(Subject by formulation interaction)</t>
  </si>
  <si>
    <t>Limits for (uT - uR):</t>
  </si>
  <si>
    <t>If a Permitted SD of 0.25 is used in this method, it will yield the same results numerically as Dr. Midah.</t>
  </si>
  <si>
    <t>Scaled Bioequivalence Limits - Highly Variable Drugs</t>
  </si>
  <si>
    <t>d.dubins@utoronto.ca</t>
  </si>
  <si>
    <t>Julious, SA. Statist. Med. 2004; 23:1921–1986</t>
  </si>
  <si>
    <t>IntraCV of Reference Product</t>
  </si>
  <si>
    <t xml:space="preserve"> Note: This CV will be used to calculate BE limits for each method on this worksheet.</t>
  </si>
  <si>
    <t>http://www.fda.gov/ohrms/dockets/ac/04/briefing/4034B1_07_Bioequivalence%20Requirments-Draft.pdf</t>
  </si>
  <si>
    <t>Relationship between σw0 and k of Method C1 (below)</t>
  </si>
  <si>
    <t>David Dubins, Ph.D. B.A.Sc.</t>
  </si>
  <si>
    <t>Leslie Dan Faculty of Pharmacy, University of Toronto</t>
  </si>
  <si>
    <t>144 College Street</t>
  </si>
  <si>
    <t>M5S 3M2</t>
  </si>
  <si>
    <t>X</t>
  </si>
  <si>
    <t>A</t>
  </si>
  <si>
    <t>B</t>
  </si>
  <si>
    <t>Treatment A</t>
  </si>
  <si>
    <t>Treatment B</t>
  </si>
  <si>
    <t>STDEV</t>
  </si>
  <si>
    <t>90%CI</t>
  </si>
  <si>
    <t>Mean</t>
  </si>
  <si>
    <t>STDERR</t>
  </si>
  <si>
    <t>x</t>
  </si>
  <si>
    <t>y</t>
  </si>
  <si>
    <t>Point1</t>
  </si>
  <si>
    <t>LOWER:</t>
  </si>
  <si>
    <t>Point2</t>
  </si>
  <si>
    <t>UPPER:</t>
  </si>
  <si>
    <t>STDEV TRT A</t>
  </si>
  <si>
    <t>STDEV TRT B</t>
  </si>
  <si>
    <t>90%CI TRT A</t>
  </si>
  <si>
    <t>90%CI TRT B</t>
  </si>
  <si>
    <t>SCALE:</t>
  </si>
  <si>
    <t>STEP:</t>
  </si>
  <si>
    <t>d LIMITS</t>
  </si>
  <si>
    <t>T/R</t>
  </si>
  <si>
    <t>BE LIMITS</t>
  </si>
  <si>
    <r>
      <t>Lehr's Formula, n=16</t>
    </r>
    <r>
      <rPr>
        <sz val="10"/>
        <rFont val="Symbol"/>
        <family val="1"/>
        <charset val="2"/>
      </rPr>
      <t>s</t>
    </r>
    <r>
      <rPr>
        <vertAlign val="superscript"/>
        <sz val="10"/>
        <rFont val="Arial"/>
        <family val="2"/>
      </rPr>
      <t>2</t>
    </r>
    <r>
      <rPr>
        <sz val="10"/>
        <rFont val="Arial"/>
        <family val="2"/>
      </rPr>
      <t>/d</t>
    </r>
    <r>
      <rPr>
        <vertAlign val="superscript"/>
        <sz val="10"/>
        <rFont val="Arial"/>
        <family val="2"/>
      </rPr>
      <t>2</t>
    </r>
  </si>
  <si>
    <r>
      <t>per group (</t>
    </r>
    <r>
      <rPr>
        <sz val="10"/>
        <rFont val="Symbol"/>
        <family val="1"/>
        <charset val="2"/>
      </rPr>
      <t>a=5%, b=20%)</t>
    </r>
  </si>
  <si>
    <t>Δ</t>
  </si>
  <si>
    <r>
      <t>Expected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xml:space="preserve"> expected). If Treatment A is better, </t>
    </r>
    <r>
      <rPr>
        <sz val="10"/>
        <rFont val="Symbol"/>
        <family val="1"/>
        <charset val="2"/>
      </rPr>
      <t>D</t>
    </r>
    <r>
      <rPr>
        <sz val="10"/>
        <rFont val="Arial"/>
        <family val="2"/>
      </rPr>
      <t>&lt;0.</t>
    </r>
  </si>
  <si>
    <t>© David Dubins, 2007-2021 (d.dubins@utoronto.ca)</t>
  </si>
  <si>
    <t>r (note: nT*r=nR)</t>
  </si>
  <si>
    <t>This is the 'allocation ratio' of nR over nT (for equal sample sizes, r=1)</t>
  </si>
  <si>
    <t>3 period replicate (ABB/BAA)</t>
  </si>
  <si>
    <r>
      <t>Dave's note:</t>
    </r>
    <r>
      <rPr>
        <sz val="10"/>
        <rFont val="Arial"/>
        <family val="2"/>
      </rPr>
      <t xml:space="preserve"> in industry for BE studies, the tendency is to use a Test/Reference ratio of 0.95 and a power of 80%.</t>
    </r>
  </si>
  <si>
    <t>Total CV</t>
  </si>
  <si>
    <t>InterCV:</t>
  </si>
  <si>
    <t>IntraCV:</t>
  </si>
  <si>
    <t>Total CV:</t>
  </si>
  <si>
    <t>Version 2.8</t>
  </si>
  <si>
    <r>
      <rPr>
        <b/>
        <sz val="16"/>
        <rFont val="Arial"/>
        <family val="2"/>
      </rPr>
      <t>F</t>
    </r>
    <r>
      <rPr>
        <sz val="16"/>
        <rFont val="Arial"/>
        <family val="2"/>
      </rPr>
      <t xml:space="preserve">ree </t>
    </r>
    <r>
      <rPr>
        <b/>
        <sz val="16"/>
        <rFont val="Arial"/>
        <family val="2"/>
      </rPr>
      <t>A</t>
    </r>
    <r>
      <rPr>
        <sz val="16"/>
        <rFont val="Arial"/>
        <family val="2"/>
      </rPr>
      <t xml:space="preserve">nalysis </t>
    </r>
    <r>
      <rPr>
        <b/>
        <sz val="16"/>
        <rFont val="Arial"/>
        <family val="2"/>
      </rPr>
      <t>R</t>
    </r>
    <r>
      <rPr>
        <sz val="16"/>
        <rFont val="Arial"/>
        <family val="2"/>
      </rPr>
      <t xml:space="preserve">esearch </t>
    </r>
    <r>
      <rPr>
        <b/>
        <sz val="16"/>
        <rFont val="Arial"/>
        <family val="2"/>
      </rPr>
      <t>T</t>
    </r>
    <r>
      <rPr>
        <sz val="16"/>
        <rFont val="Arial"/>
        <family val="2"/>
      </rPr>
      <t>ool</t>
    </r>
  </si>
  <si>
    <r>
      <t xml:space="preserve">for </t>
    </r>
    <r>
      <rPr>
        <b/>
        <sz val="16"/>
        <rFont val="Arial"/>
        <family val="2"/>
      </rPr>
      <t>S</t>
    </r>
    <r>
      <rPr>
        <sz val="16"/>
        <rFont val="Arial"/>
        <family val="2"/>
      </rPr>
      <t xml:space="preserve">ample </t>
    </r>
    <r>
      <rPr>
        <b/>
        <sz val="16"/>
        <rFont val="Arial"/>
        <family val="2"/>
      </rPr>
      <t>S</t>
    </r>
    <r>
      <rPr>
        <sz val="16"/>
        <rFont val="Arial"/>
        <family val="2"/>
      </rPr>
      <t xml:space="preserve">ize </t>
    </r>
    <r>
      <rPr>
        <b/>
        <sz val="16"/>
        <rFont val="Arial"/>
        <family val="2"/>
      </rPr>
      <t>I</t>
    </r>
    <r>
      <rPr>
        <sz val="16"/>
        <rFont val="Arial"/>
        <family val="2"/>
      </rPr>
      <t xml:space="preserve">terative </t>
    </r>
    <r>
      <rPr>
        <b/>
        <sz val="16"/>
        <rFont val="Arial"/>
        <family val="2"/>
      </rPr>
      <t>E</t>
    </r>
    <r>
      <rPr>
        <sz val="16"/>
        <rFont val="Arial"/>
        <family val="2"/>
      </rPr>
      <t>stimation</t>
    </r>
  </si>
  <si>
    <t>https://bebac.at/articles/Sample-Size-Estimation-for-Equivalence-Studies-in-a-Parallel-Design.htm#fn9</t>
  </si>
  <si>
    <t>If you have InterCV &amp; IntraCV</t>
  </si>
  <si>
    <t>from a crossover or replicate trial:</t>
  </si>
  <si>
    <r>
      <t>CV = sqrt(Mean Square Error) / ((</t>
    </r>
    <r>
      <rPr>
        <sz val="10"/>
        <rFont val="Symbol"/>
        <family val="1"/>
        <charset val="2"/>
      </rPr>
      <t>m</t>
    </r>
    <r>
      <rPr>
        <vertAlign val="subscript"/>
        <sz val="10"/>
        <rFont val="Arial"/>
        <family val="2"/>
      </rPr>
      <t>A</t>
    </r>
    <r>
      <rPr>
        <sz val="10"/>
        <rFont val="Arial"/>
        <family val="2"/>
      </rPr>
      <t xml:space="preserve"> + </t>
    </r>
    <r>
      <rPr>
        <sz val="10"/>
        <rFont val="Symbol"/>
        <family val="1"/>
        <charset val="2"/>
      </rPr>
      <t>m</t>
    </r>
    <r>
      <rPr>
        <vertAlign val="subscript"/>
        <sz val="10"/>
        <rFont val="Arial"/>
        <family val="2"/>
      </rPr>
      <t>B</t>
    </r>
    <r>
      <rPr>
        <sz val="10"/>
        <rFont val="Arial"/>
        <family val="2"/>
      </rPr>
      <t>)/2) from a parallel trial.</t>
    </r>
    <r>
      <rPr>
        <sz val="10"/>
        <rFont val="Arial"/>
        <family val="2"/>
      </rPr>
      <t xml:space="preserve"> If you have data from a crossover or replicate, you can use these equations:</t>
    </r>
  </si>
  <si>
    <t>Total CV Calculator: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</si>
</sst>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0.00000"/>
    <numFmt numFmtId="167" formatCode="0.00000000000000%"/>
  </numFmts>
  <fonts count="47">
    <font>
      <sz val="10"/>
      <name val="Arial"/>
    </font>
    <font>
      <sz val="10"/>
      <name val="Arial"/>
      <family val="2"/>
    </font>
    <font>
      <sz val="8"/>
      <name val="Arial"/>
      <family val="2"/>
    </font>
    <font>
      <b/>
      <sz val="10"/>
      <name val="Arial"/>
      <family val="2"/>
    </font>
    <font>
      <sz val="10"/>
      <name val="Arial"/>
      <family val="2"/>
    </font>
    <font>
      <b/>
      <sz val="10"/>
      <color indexed="10"/>
      <name val="Arial"/>
      <family val="2"/>
    </font>
    <font>
      <sz val="10"/>
      <name val="Courier"/>
      <family val="3"/>
    </font>
    <font>
      <sz val="10"/>
      <color indexed="12"/>
      <name val="Arial"/>
      <family val="2"/>
    </font>
    <font>
      <sz val="10"/>
      <name val="Symbol"/>
      <family val="1"/>
      <charset val="2"/>
    </font>
    <font>
      <sz val="10"/>
      <name val="Symbol"/>
      <family val="1"/>
      <charset val="2"/>
    </font>
    <font>
      <vertAlign val="subscript"/>
      <sz val="10"/>
      <name val="Arial"/>
      <family val="2"/>
    </font>
    <font>
      <vertAlign val="superscript"/>
      <sz val="10"/>
      <name val="Arial"/>
      <family val="2"/>
    </font>
    <font>
      <b/>
      <sz val="9"/>
      <color indexed="81"/>
      <name val="Tahoma"/>
      <family val="2"/>
    </font>
    <font>
      <b/>
      <vertAlign val="subscript"/>
      <sz val="10"/>
      <name val="Arial"/>
      <family val="2"/>
    </font>
    <font>
      <sz val="16"/>
      <name val="Arial"/>
      <family val="2"/>
    </font>
    <font>
      <b/>
      <sz val="20"/>
      <name val="Arial"/>
      <family val="2"/>
    </font>
    <font>
      <sz val="7"/>
      <name val="Arial"/>
      <family val="2"/>
    </font>
    <font>
      <u/>
      <sz val="10"/>
      <color indexed="12"/>
      <name val="Arial"/>
      <family val="2"/>
    </font>
    <font>
      <sz val="16"/>
      <name val="Arial"/>
      <family val="2"/>
    </font>
    <font>
      <b/>
      <sz val="10"/>
      <color indexed="17"/>
      <name val="Arial"/>
      <family val="2"/>
    </font>
    <font>
      <sz val="10"/>
      <color indexed="12"/>
      <name val="Arial"/>
      <family val="2"/>
    </font>
    <font>
      <b/>
      <sz val="16"/>
      <color indexed="12"/>
      <name val="Arial"/>
      <family val="2"/>
    </font>
    <font>
      <b/>
      <sz val="8"/>
      <color indexed="81"/>
      <name val="Tahoma"/>
      <family val="2"/>
    </font>
    <font>
      <b/>
      <sz val="14"/>
      <name val="Arial"/>
      <family val="2"/>
    </font>
    <font>
      <sz val="9"/>
      <name val="Arial"/>
      <family val="2"/>
    </font>
    <font>
      <u/>
      <sz val="9"/>
      <color indexed="12"/>
      <name val="Arial"/>
      <family val="2"/>
    </font>
    <font>
      <u/>
      <sz val="8"/>
      <color indexed="12"/>
      <name val="Arial"/>
      <family val="2"/>
    </font>
    <font>
      <b/>
      <sz val="10"/>
      <color rgb="FFFF0000"/>
      <name val="Arial"/>
      <family val="2"/>
    </font>
    <font>
      <sz val="14"/>
      <color rgb="FF0000FF"/>
      <name val="Arial"/>
      <family val="2"/>
    </font>
    <font>
      <sz val="14"/>
      <color rgb="FF008000"/>
      <name val="Arial"/>
      <family val="2"/>
    </font>
    <font>
      <b/>
      <sz val="12"/>
      <color rgb="FFC00000"/>
      <name val="Arial"/>
      <family val="2"/>
    </font>
    <font>
      <b/>
      <i/>
      <sz val="10"/>
      <name val="Arial"/>
      <family val="2"/>
    </font>
    <font>
      <sz val="10"/>
      <color rgb="FF000000"/>
      <name val="Arial"/>
      <family val="2"/>
    </font>
    <font>
      <sz val="8"/>
      <color rgb="FF000000"/>
      <name val="Tahoma"/>
      <family val="2"/>
    </font>
    <font>
      <sz val="9"/>
      <color rgb="FF000000"/>
      <name val="Arial"/>
      <family val="2"/>
    </font>
    <font>
      <b/>
      <sz val="10"/>
      <name val="Arial"/>
      <family val="1"/>
      <charset val="2"/>
    </font>
    <font>
      <sz val="10"/>
      <name val="Calibri"/>
      <family val="2"/>
    </font>
    <font>
      <sz val="10"/>
      <name val="Arial"/>
      <family val="2"/>
    </font>
    <font>
      <sz val="10"/>
      <color theme="0"/>
      <name val="Arial"/>
      <family val="2"/>
    </font>
    <font>
      <b/>
      <sz val="10"/>
      <color theme="0"/>
      <name val="Arial"/>
      <family val="2"/>
    </font>
    <font>
      <i/>
      <sz val="10"/>
      <name val="Arial"/>
      <family val="2"/>
    </font>
    <font>
      <sz val="10"/>
      <color rgb="FF0070C0"/>
      <name val="Arial"/>
      <family val="2"/>
    </font>
    <font>
      <b/>
      <sz val="16"/>
      <name val="Arial"/>
      <family val="2"/>
    </font>
    <font>
      <sz val="9"/>
      <color indexed="81"/>
      <name val="Tahoma"/>
      <charset val="1"/>
    </font>
    <font>
      <sz val="9"/>
      <color indexed="81"/>
      <name val="Tahoma"/>
      <family val="2"/>
    </font>
    <font>
      <b/>
      <i/>
      <sz val="9"/>
      <color indexed="81"/>
      <name val="Tahoma"/>
      <family val="2"/>
    </font>
    <font>
      <i/>
      <sz val="9"/>
      <color indexed="81"/>
      <name val="Tahoma"/>
      <family val="2"/>
    </font>
  </fonts>
  <fills count="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8" tint="0.79998168889431442"/>
        <bgColor indexed="64"/>
      </patternFill>
    </fill>
    <fill>
      <patternFill patternType="solid">
        <fgColor theme="8" tint="0.39997558519241921"/>
        <bgColor indexed="64"/>
      </patternFill>
    </fill>
  </fills>
  <borders count="12">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17" fillId="0" borderId="0" applyNumberFormat="0" applyFill="0" applyBorder="0" applyAlignment="0" applyProtection="0">
      <alignment vertical="top"/>
      <protection locked="0"/>
    </xf>
    <xf numFmtId="9" fontId="1" fillId="0" borderId="0" applyFont="0" applyFill="0" applyBorder="0" applyAlignment="0" applyProtection="0"/>
    <xf numFmtId="43" fontId="37" fillId="0" borderId="0" applyFont="0" applyFill="0" applyBorder="0" applyAlignment="0" applyProtection="0"/>
  </cellStyleXfs>
  <cellXfs count="78">
    <xf numFmtId="0" fontId="0" fillId="0" borderId="0" xfId="0"/>
    <xf numFmtId="0" fontId="0" fillId="2" borderId="0" xfId="0" applyFill="1"/>
    <xf numFmtId="9" fontId="5" fillId="2" borderId="1" xfId="0" applyNumberFormat="1" applyFont="1" applyFill="1" applyBorder="1"/>
    <xf numFmtId="0" fontId="5" fillId="2" borderId="1" xfId="0" applyFont="1" applyFill="1" applyBorder="1"/>
    <xf numFmtId="9" fontId="7" fillId="2" borderId="0" xfId="0" applyNumberFormat="1" applyFont="1" applyFill="1"/>
    <xf numFmtId="9" fontId="0" fillId="2" borderId="0" xfId="0" applyNumberFormat="1" applyFill="1"/>
    <xf numFmtId="0" fontId="6" fillId="2" borderId="0" xfId="0" applyFont="1" applyFill="1"/>
    <xf numFmtId="0" fontId="7" fillId="2" borderId="0" xfId="0" applyFont="1" applyFill="1"/>
    <xf numFmtId="0" fontId="9" fillId="2" borderId="0" xfId="0" applyFont="1" applyFill="1"/>
    <xf numFmtId="0" fontId="3" fillId="2" borderId="0" xfId="0" applyFont="1" applyFill="1"/>
    <xf numFmtId="0" fontId="5" fillId="2" borderId="0" xfId="0" applyFont="1" applyFill="1"/>
    <xf numFmtId="0" fontId="0" fillId="2" borderId="1" xfId="0" applyFill="1" applyBorder="1"/>
    <xf numFmtId="0" fontId="8" fillId="2" borderId="0" xfId="0" applyFont="1" applyFill="1"/>
    <xf numFmtId="164" fontId="5" fillId="2" borderId="1" xfId="0" applyNumberFormat="1" applyFont="1" applyFill="1" applyBorder="1"/>
    <xf numFmtId="9" fontId="5" fillId="2" borderId="0" xfId="0" applyNumberFormat="1" applyFont="1" applyFill="1"/>
    <xf numFmtId="0" fontId="4" fillId="2" borderId="0" xfId="0" applyFont="1" applyFill="1"/>
    <xf numFmtId="0" fontId="3" fillId="2" borderId="0" xfId="0" applyFont="1" applyFill="1" applyAlignment="1">
      <alignment horizontal="right"/>
    </xf>
    <xf numFmtId="0" fontId="15" fillId="2" borderId="0" xfId="0" applyFont="1" applyFill="1"/>
    <xf numFmtId="9" fontId="5" fillId="2" borderId="1" xfId="2" applyFont="1" applyFill="1" applyBorder="1"/>
    <xf numFmtId="9" fontId="0" fillId="2" borderId="1" xfId="2" applyFont="1" applyFill="1" applyBorder="1"/>
    <xf numFmtId="0" fontId="18" fillId="2" borderId="0" xfId="0" applyFont="1" applyFill="1"/>
    <xf numFmtId="0" fontId="19" fillId="2" borderId="0" xfId="0" applyFont="1" applyFill="1"/>
    <xf numFmtId="0" fontId="5" fillId="2" borderId="2" xfId="2" applyNumberFormat="1" applyFont="1" applyFill="1" applyBorder="1"/>
    <xf numFmtId="0" fontId="5" fillId="2" borderId="3" xfId="2" applyNumberFormat="1" applyFont="1" applyFill="1" applyBorder="1"/>
    <xf numFmtId="0" fontId="5" fillId="2" borderId="3" xfId="0" applyFont="1" applyFill="1" applyBorder="1"/>
    <xf numFmtId="0" fontId="20" fillId="2" borderId="0" xfId="0" applyFont="1" applyFill="1"/>
    <xf numFmtId="165" fontId="21" fillId="2" borderId="0" xfId="0" applyNumberFormat="1" applyFont="1" applyFill="1"/>
    <xf numFmtId="2" fontId="21" fillId="2" borderId="0" xfId="0" applyNumberFormat="1" applyFont="1" applyFill="1"/>
    <xf numFmtId="0" fontId="23" fillId="2" borderId="0" xfId="0" applyFont="1" applyFill="1"/>
    <xf numFmtId="9" fontId="27" fillId="2" borderId="1" xfId="0" applyNumberFormat="1" applyFont="1" applyFill="1" applyBorder="1"/>
    <xf numFmtId="0" fontId="27" fillId="2" borderId="1" xfId="0" applyFont="1" applyFill="1" applyBorder="1"/>
    <xf numFmtId="0" fontId="28" fillId="2" borderId="0" xfId="0" applyFont="1" applyFill="1"/>
    <xf numFmtId="164" fontId="0" fillId="2" borderId="0" xfId="0" applyNumberFormat="1" applyFill="1"/>
    <xf numFmtId="0" fontId="17" fillId="2" borderId="0" xfId="1" applyFill="1" applyAlignment="1" applyProtection="1"/>
    <xf numFmtId="164" fontId="27" fillId="2" borderId="1" xfId="0" applyNumberFormat="1" applyFont="1" applyFill="1" applyBorder="1"/>
    <xf numFmtId="166" fontId="0" fillId="2" borderId="0" xfId="0" applyNumberFormat="1" applyFill="1"/>
    <xf numFmtId="0" fontId="29" fillId="2" borderId="0" xfId="0" applyFont="1" applyFill="1"/>
    <xf numFmtId="0" fontId="4" fillId="2" borderId="0" xfId="0" applyFont="1" applyFill="1" applyAlignment="1">
      <alignment horizontal="left"/>
    </xf>
    <xf numFmtId="0" fontId="4" fillId="2" borderId="4" xfId="0" applyFont="1" applyFill="1" applyBorder="1"/>
    <xf numFmtId="0" fontId="0" fillId="2" borderId="4" xfId="0" applyFill="1" applyBorder="1"/>
    <xf numFmtId="0" fontId="30" fillId="2" borderId="0" xfId="0" applyFont="1" applyFill="1"/>
    <xf numFmtId="0" fontId="30" fillId="2" borderId="4" xfId="0" applyFont="1" applyFill="1" applyBorder="1"/>
    <xf numFmtId="0" fontId="17" fillId="3" borderId="0" xfId="1" applyFill="1" applyAlignment="1" applyProtection="1"/>
    <xf numFmtId="10" fontId="5" fillId="2" borderId="1" xfId="0" applyNumberFormat="1" applyFont="1" applyFill="1" applyBorder="1"/>
    <xf numFmtId="0" fontId="1" fillId="2" borderId="0" xfId="0" applyFont="1" applyFill="1"/>
    <xf numFmtId="10" fontId="27" fillId="2" borderId="1" xfId="0" applyNumberFormat="1" applyFont="1" applyFill="1" applyBorder="1"/>
    <xf numFmtId="167" fontId="0" fillId="2" borderId="0" xfId="0" applyNumberFormat="1" applyFill="1"/>
    <xf numFmtId="0" fontId="35" fillId="2" borderId="0" xfId="0" applyFont="1" applyFill="1"/>
    <xf numFmtId="0" fontId="36" fillId="2" borderId="0" xfId="0" applyFont="1" applyFill="1"/>
    <xf numFmtId="0" fontId="5" fillId="2" borderId="1" xfId="3" applyNumberFormat="1" applyFont="1" applyFill="1" applyBorder="1"/>
    <xf numFmtId="10" fontId="0" fillId="2" borderId="0" xfId="0" applyNumberFormat="1" applyFill="1"/>
    <xf numFmtId="0" fontId="38" fillId="2" borderId="0" xfId="0" applyFont="1" applyFill="1"/>
    <xf numFmtId="0" fontId="38" fillId="2" borderId="0" xfId="0" applyFont="1" applyFill="1" applyBorder="1"/>
    <xf numFmtId="10" fontId="39" fillId="2" borderId="0" xfId="0" applyNumberFormat="1" applyFont="1" applyFill="1" applyBorder="1"/>
    <xf numFmtId="167" fontId="38" fillId="2" borderId="0" xfId="0" applyNumberFormat="1" applyFont="1" applyFill="1" applyBorder="1"/>
    <xf numFmtId="0" fontId="39" fillId="2" borderId="0" xfId="0" applyFont="1" applyFill="1" applyBorder="1"/>
    <xf numFmtId="164" fontId="38" fillId="2" borderId="0" xfId="0" applyNumberFormat="1" applyFont="1" applyFill="1" applyBorder="1"/>
    <xf numFmtId="0" fontId="31" fillId="4" borderId="5" xfId="0" applyFont="1" applyFill="1" applyBorder="1"/>
    <xf numFmtId="0" fontId="0" fillId="4" borderId="6" xfId="0" applyFill="1" applyBorder="1"/>
    <xf numFmtId="0" fontId="0" fillId="4" borderId="7" xfId="0" applyFill="1" applyBorder="1"/>
    <xf numFmtId="0" fontId="40" fillId="4" borderId="8" xfId="0" applyFont="1" applyFill="1" applyBorder="1"/>
    <xf numFmtId="0" fontId="1" fillId="4" borderId="9" xfId="0" applyFont="1" applyFill="1" applyBorder="1"/>
    <xf numFmtId="0" fontId="40" fillId="4" borderId="10" xfId="0" applyFont="1" applyFill="1" applyBorder="1"/>
    <xf numFmtId="164" fontId="41" fillId="4" borderId="4" xfId="2" applyNumberFormat="1" applyFont="1" applyFill="1" applyBorder="1"/>
    <xf numFmtId="0" fontId="0" fillId="4" borderId="11" xfId="0" applyFill="1" applyBorder="1"/>
    <xf numFmtId="164" fontId="27" fillId="3" borderId="1" xfId="0" applyNumberFormat="1" applyFont="1" applyFill="1" applyBorder="1"/>
    <xf numFmtId="0" fontId="0" fillId="5" borderId="0" xfId="0" applyFill="1"/>
    <xf numFmtId="0" fontId="14" fillId="5" borderId="0" xfId="0" applyFont="1" applyFill="1"/>
    <xf numFmtId="0" fontId="31" fillId="5" borderId="0" xfId="0" applyFont="1" applyFill="1" applyAlignment="1">
      <alignment horizontal="right" vertical="top"/>
    </xf>
    <xf numFmtId="0" fontId="16" fillId="5" borderId="0" xfId="0" applyFont="1" applyFill="1"/>
    <xf numFmtId="0" fontId="1" fillId="5" borderId="0" xfId="0" applyFont="1" applyFill="1"/>
    <xf numFmtId="0" fontId="5" fillId="5" borderId="0" xfId="0" applyFont="1" applyFill="1"/>
    <xf numFmtId="0" fontId="25" fillId="5" borderId="0" xfId="1" applyFont="1" applyFill="1" applyAlignment="1" applyProtection="1"/>
    <xf numFmtId="0" fontId="24" fillId="5" borderId="0" xfId="0" applyFont="1" applyFill="1"/>
    <xf numFmtId="0" fontId="3" fillId="5" borderId="0" xfId="0" applyFont="1" applyFill="1"/>
    <xf numFmtId="0" fontId="2" fillId="5" borderId="0" xfId="0" applyFont="1" applyFill="1"/>
    <xf numFmtId="0" fontId="26" fillId="5" borderId="0" xfId="1" applyFont="1" applyFill="1" applyAlignment="1" applyProtection="1"/>
    <xf numFmtId="0" fontId="2" fillId="5" borderId="0" xfId="0" applyFont="1" applyFill="1" applyAlignment="1">
      <alignment horizontal="left" vertical="top" wrapText="1"/>
    </xf>
  </cellXfs>
  <cellStyles count="4">
    <cellStyle name="Comma" xfId="3" builtinId="3"/>
    <cellStyle name="Hyperlink" xfId="1" builtinId="8"/>
    <cellStyle name="Normal" xfId="0" builtinId="0"/>
    <cellStyle name="Percent" xfId="2" builtinId="5"/>
  </cellStyles>
  <dxfs count="0"/>
  <tableStyles count="0" defaultTableStyle="TableStyleMedium9" defaultPivotStyle="PivotStyleLight16"/>
  <colors>
    <mruColors>
      <color rgb="FFD8E4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Parallel'!$V$14</c:f>
              <c:strCache>
                <c:ptCount val="1"/>
                <c:pt idx="0">
                  <c:v>Treatment A</c:v>
                </c:pt>
              </c:strCache>
            </c:strRef>
          </c:tx>
          <c:spPr>
            <a:ln w="28575">
              <a:solidFill>
                <a:srgbClr val="FFFF0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Parallel'!$V$15:$V$47</c:f>
              <c:numCache>
                <c:formatCode>General</c:formatCode>
                <c:ptCount val="33"/>
                <c:pt idx="0">
                  <c:v>3.3457556441221339E-6</c:v>
                </c:pt>
                <c:pt idx="1">
                  <c:v>8.7649394011783917E-6</c:v>
                </c:pt>
                <c:pt idx="2">
                  <c:v>2.1586797882267536E-5</c:v>
                </c:pt>
                <c:pt idx="3">
                  <c:v>4.9981828671086098E-5</c:v>
                </c:pt>
                <c:pt idx="4">
                  <c:v>1.0879793853904708E-4</c:v>
                </c:pt>
                <c:pt idx="5">
                  <c:v>2.2264543783540088E-4</c:v>
                </c:pt>
                <c:pt idx="6">
                  <c:v>4.2834287111349645E-4</c:v>
                </c:pt>
                <c:pt idx="7">
                  <c:v>7.7473628189698312E-4</c:v>
                </c:pt>
                <c:pt idx="8">
                  <c:v>1.3173490285471054E-3</c:v>
                </c:pt>
                <c:pt idx="9">
                  <c:v>2.1058742047565713E-3</c:v>
                </c:pt>
                <c:pt idx="10">
                  <c:v>3.164817002251043E-3</c:v>
                </c:pt>
                <c:pt idx="11">
                  <c:v>4.4714604123635123E-3</c:v>
                </c:pt>
                <c:pt idx="12">
                  <c:v>5.9392934840752573E-3</c:v>
                </c:pt>
                <c:pt idx="13">
                  <c:v>7.4165988722577278E-3</c:v>
                </c:pt>
                <c:pt idx="14">
                  <c:v>8.7068167558675656E-3</c:v>
                </c:pt>
                <c:pt idx="15">
                  <c:v>9.6094521114314744E-3</c:v>
                </c:pt>
                <c:pt idx="16">
                  <c:v>9.9706267351264838E-3</c:v>
                </c:pt>
                <c:pt idx="17">
                  <c:v>9.7259245972099086E-3</c:v>
                </c:pt>
                <c:pt idx="18">
                  <c:v>8.9191598458717939E-3</c:v>
                </c:pt>
                <c:pt idx="19">
                  <c:v>7.6895620381677134E-3</c:v>
                </c:pt>
                <c:pt idx="20">
                  <c:v>6.2325227407400525E-3</c:v>
                </c:pt>
                <c:pt idx="21">
                  <c:v>4.7490937985305588E-3</c:v>
                </c:pt>
                <c:pt idx="22">
                  <c:v>3.402062060306953E-3</c:v>
                </c:pt>
                <c:pt idx="23">
                  <c:v>2.2911753328812845E-3</c:v>
                </c:pt>
                <c:pt idx="24">
                  <c:v>1.4506379241390902E-3</c:v>
                </c:pt>
                <c:pt idx="25">
                  <c:v>8.6346420391826431E-4</c:v>
                </c:pt>
                <c:pt idx="26">
                  <c:v>4.8318590587977084E-4</c:v>
                </c:pt>
                <c:pt idx="27">
                  <c:v>2.5419604341562314E-4</c:v>
                </c:pt>
                <c:pt idx="28">
                  <c:v>1.2572102811928031E-4</c:v>
                </c:pt>
                <c:pt idx="29">
                  <c:v>5.8456346720510549E-5</c:v>
                </c:pt>
                <c:pt idx="30">
                  <c:v>2.5552890002204227E-5</c:v>
                </c:pt>
                <c:pt idx="31">
                  <c:v>1.0501056362603924E-5</c:v>
                </c:pt>
                <c:pt idx="32">
                  <c:v>4.0570518897450162E-6</c:v>
                </c:pt>
              </c:numCache>
            </c:numRef>
          </c:yVal>
          <c:smooth val="0"/>
          <c:extLst>
            <c:ext xmlns:c16="http://schemas.microsoft.com/office/drawing/2014/chart" uri="{C3380CC4-5D6E-409C-BE32-E72D297353CC}">
              <c16:uniqueId val="{00000000-2448-4DD7-BFD6-BC5B3E950BAD}"/>
            </c:ext>
          </c:extLst>
        </c:ser>
        <c:ser>
          <c:idx val="1"/>
          <c:order val="1"/>
          <c:tx>
            <c:strRef>
              <c:f>'Superiority, Parallel'!$W$14</c:f>
              <c:strCache>
                <c:ptCount val="1"/>
                <c:pt idx="0">
                  <c:v>Treatment B</c:v>
                </c:pt>
              </c:strCache>
            </c:strRef>
          </c:tx>
          <c:spPr>
            <a:ln w="28575">
              <a:solidFill>
                <a:srgbClr val="00B05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Parallel'!$W$15:$W$47</c:f>
              <c:numCache>
                <c:formatCode>General</c:formatCode>
                <c:ptCount val="33"/>
                <c:pt idx="0">
                  <c:v>1.4735766939134965E-6</c:v>
                </c:pt>
                <c:pt idx="1">
                  <c:v>4.0570518897450162E-6</c:v>
                </c:pt>
                <c:pt idx="2">
                  <c:v>1.0501056362603924E-5</c:v>
                </c:pt>
                <c:pt idx="3">
                  <c:v>2.5552890002204227E-5</c:v>
                </c:pt>
                <c:pt idx="4">
                  <c:v>5.8456346720510549E-5</c:v>
                </c:pt>
                <c:pt idx="5">
                  <c:v>1.2572102811928031E-4</c:v>
                </c:pt>
                <c:pt idx="6">
                  <c:v>2.5419604341562314E-4</c:v>
                </c:pt>
                <c:pt idx="7">
                  <c:v>4.8318590587977155E-4</c:v>
                </c:pt>
                <c:pt idx="8">
                  <c:v>8.6346420391826431E-4</c:v>
                </c:pt>
                <c:pt idx="9">
                  <c:v>1.4506379241390895E-3</c:v>
                </c:pt>
                <c:pt idx="10">
                  <c:v>2.2911753328812823E-3</c:v>
                </c:pt>
                <c:pt idx="11">
                  <c:v>3.4020620603069508E-3</c:v>
                </c:pt>
                <c:pt idx="12">
                  <c:v>4.749093798530557E-3</c:v>
                </c:pt>
                <c:pt idx="13">
                  <c:v>6.2325227407400525E-3</c:v>
                </c:pt>
                <c:pt idx="14">
                  <c:v>7.6895620381677134E-3</c:v>
                </c:pt>
                <c:pt idx="15">
                  <c:v>8.9191598458717939E-3</c:v>
                </c:pt>
                <c:pt idx="16">
                  <c:v>9.7259245972099086E-3</c:v>
                </c:pt>
                <c:pt idx="17">
                  <c:v>9.9706267351264838E-3</c:v>
                </c:pt>
                <c:pt idx="18">
                  <c:v>9.6094521114314744E-3</c:v>
                </c:pt>
                <c:pt idx="19">
                  <c:v>8.7068167558675656E-3</c:v>
                </c:pt>
                <c:pt idx="20">
                  <c:v>7.4165988722577278E-3</c:v>
                </c:pt>
                <c:pt idx="21">
                  <c:v>5.939293484075259E-3</c:v>
                </c:pt>
                <c:pt idx="22">
                  <c:v>4.4714604123635149E-3</c:v>
                </c:pt>
                <c:pt idx="23">
                  <c:v>3.164817002251043E-3</c:v>
                </c:pt>
                <c:pt idx="24">
                  <c:v>2.105874204756573E-3</c:v>
                </c:pt>
                <c:pt idx="25">
                  <c:v>1.3173490285471065E-3</c:v>
                </c:pt>
                <c:pt idx="26">
                  <c:v>7.7473628189698312E-4</c:v>
                </c:pt>
                <c:pt idx="27">
                  <c:v>4.2834287111349645E-4</c:v>
                </c:pt>
                <c:pt idx="28">
                  <c:v>2.2264543783540088E-4</c:v>
                </c:pt>
                <c:pt idx="29">
                  <c:v>1.0879793853904708E-4</c:v>
                </c:pt>
                <c:pt idx="30">
                  <c:v>4.9981828671086098E-5</c:v>
                </c:pt>
                <c:pt idx="31">
                  <c:v>2.1586797882267536E-5</c:v>
                </c:pt>
                <c:pt idx="32">
                  <c:v>8.7649394011783917E-6</c:v>
                </c:pt>
              </c:numCache>
            </c:numRef>
          </c:yVal>
          <c:smooth val="0"/>
          <c:extLst>
            <c:ext xmlns:c16="http://schemas.microsoft.com/office/drawing/2014/chart" uri="{C3380CC4-5D6E-409C-BE32-E72D297353CC}">
              <c16:uniqueId val="{00000001-2448-4DD7-BFD6-BC5B3E950BAD}"/>
            </c:ext>
          </c:extLst>
        </c:ser>
        <c:ser>
          <c:idx val="2"/>
          <c:order val="2"/>
          <c:spPr>
            <a:ln>
              <a:solidFill>
                <a:srgbClr val="FFFF00"/>
              </a:solidFill>
            </a:ln>
          </c:spPr>
          <c:marker>
            <c:symbol val="none"/>
          </c:marker>
          <c:xVal>
            <c:numRef>
              <c:f>'Superiority, Parallel'!$Z$16:$Z$17</c:f>
              <c:numCache>
                <c:formatCode>General</c:formatCode>
                <c:ptCount val="2"/>
                <c:pt idx="0">
                  <c:v>120</c:v>
                </c:pt>
                <c:pt idx="1">
                  <c:v>120</c:v>
                </c:pt>
              </c:numCache>
            </c:numRef>
          </c:xVal>
          <c:yVal>
            <c:numRef>
              <c:f>'Superiority, Parallel'!$AA$16:$AA$17</c:f>
              <c:numCache>
                <c:formatCode>General</c:formatCode>
                <c:ptCount val="2"/>
                <c:pt idx="0">
                  <c:v>0</c:v>
                </c:pt>
                <c:pt idx="1">
                  <c:v>9.9706267351264838E-3</c:v>
                </c:pt>
              </c:numCache>
            </c:numRef>
          </c:yVal>
          <c:smooth val="0"/>
          <c:extLst>
            <c:ext xmlns:c16="http://schemas.microsoft.com/office/drawing/2014/chart" uri="{C3380CC4-5D6E-409C-BE32-E72D297353CC}">
              <c16:uniqueId val="{00000002-2448-4DD7-BFD6-BC5B3E950BAD}"/>
            </c:ext>
          </c:extLst>
        </c:ser>
        <c:ser>
          <c:idx val="3"/>
          <c:order val="3"/>
          <c:spPr>
            <a:ln>
              <a:solidFill>
                <a:srgbClr val="FFFF00"/>
              </a:solidFill>
            </a:ln>
          </c:spPr>
          <c:marker>
            <c:symbol val="none"/>
          </c:marker>
          <c:xVal>
            <c:numRef>
              <c:f>'Superiority, Parallel'!$Z$19:$Z$20</c:f>
              <c:numCache>
                <c:formatCode>General</c:formatCode>
                <c:ptCount val="2"/>
                <c:pt idx="0">
                  <c:v>200</c:v>
                </c:pt>
                <c:pt idx="1">
                  <c:v>200</c:v>
                </c:pt>
              </c:numCache>
            </c:numRef>
          </c:xVal>
          <c:yVal>
            <c:numRef>
              <c:f>'Superiority, Parallel'!$AA$19:$AA$20</c:f>
              <c:numCache>
                <c:formatCode>General</c:formatCode>
                <c:ptCount val="2"/>
                <c:pt idx="0">
                  <c:v>0</c:v>
                </c:pt>
                <c:pt idx="1">
                  <c:v>9.9706267351264838E-3</c:v>
                </c:pt>
              </c:numCache>
            </c:numRef>
          </c:yVal>
          <c:smooth val="0"/>
          <c:extLst>
            <c:ext xmlns:c16="http://schemas.microsoft.com/office/drawing/2014/chart" uri="{C3380CC4-5D6E-409C-BE32-E72D297353CC}">
              <c16:uniqueId val="{00000003-2448-4DD7-BFD6-BC5B3E950BAD}"/>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2448-4DD7-BFD6-BC5B3E950BAD}"/>
              </c:ext>
            </c:extLst>
          </c:dPt>
          <c:xVal>
            <c:numRef>
              <c:f>'Superiority, Parallel'!$Z$24:$Z$25</c:f>
              <c:numCache>
                <c:formatCode>General</c:formatCode>
                <c:ptCount val="2"/>
                <c:pt idx="0">
                  <c:v>128</c:v>
                </c:pt>
                <c:pt idx="1">
                  <c:v>128</c:v>
                </c:pt>
              </c:numCache>
            </c:numRef>
          </c:xVal>
          <c:yVal>
            <c:numRef>
              <c:f>'Superiority, Parallel'!$AA$24:$AA$25</c:f>
              <c:numCache>
                <c:formatCode>General</c:formatCode>
                <c:ptCount val="2"/>
                <c:pt idx="0">
                  <c:v>0</c:v>
                </c:pt>
                <c:pt idx="1">
                  <c:v>9.9706267351264838E-3</c:v>
                </c:pt>
              </c:numCache>
            </c:numRef>
          </c:yVal>
          <c:smooth val="0"/>
          <c:extLst>
            <c:ext xmlns:c16="http://schemas.microsoft.com/office/drawing/2014/chart" uri="{C3380CC4-5D6E-409C-BE32-E72D297353CC}">
              <c16:uniqueId val="{00000006-2448-4DD7-BFD6-BC5B3E950BAD}"/>
            </c:ext>
          </c:extLst>
        </c:ser>
        <c:ser>
          <c:idx val="5"/>
          <c:order val="5"/>
          <c:spPr>
            <a:ln>
              <a:solidFill>
                <a:srgbClr val="00B050"/>
              </a:solidFill>
            </a:ln>
          </c:spPr>
          <c:marker>
            <c:symbol val="none"/>
          </c:marker>
          <c:xVal>
            <c:numRef>
              <c:f>'Superiority, Parallel'!$Z$27:$Z$28</c:f>
              <c:numCache>
                <c:formatCode>General</c:formatCode>
                <c:ptCount val="2"/>
                <c:pt idx="0">
                  <c:v>208</c:v>
                </c:pt>
                <c:pt idx="1">
                  <c:v>208</c:v>
                </c:pt>
              </c:numCache>
            </c:numRef>
          </c:xVal>
          <c:yVal>
            <c:numRef>
              <c:f>'Superiority, Parallel'!$AA$27:$AA$28</c:f>
              <c:numCache>
                <c:formatCode>General</c:formatCode>
                <c:ptCount val="2"/>
                <c:pt idx="0">
                  <c:v>0</c:v>
                </c:pt>
                <c:pt idx="1">
                  <c:v>9.9706267351264838E-3</c:v>
                </c:pt>
              </c:numCache>
            </c:numRef>
          </c:yVal>
          <c:smooth val="0"/>
          <c:extLst>
            <c:ext xmlns:c16="http://schemas.microsoft.com/office/drawing/2014/chart" uri="{C3380CC4-5D6E-409C-BE32-E72D297353CC}">
              <c16:uniqueId val="{00000007-2448-4DD7-BFD6-BC5B3E950BAD}"/>
            </c:ext>
          </c:extLst>
        </c:ser>
        <c:ser>
          <c:idx val="6"/>
          <c:order val="6"/>
          <c:spPr>
            <a:ln>
              <a:solidFill>
                <a:srgbClr val="FFFF00"/>
              </a:solidFill>
            </a:ln>
          </c:spPr>
          <c:marker>
            <c:symbol val="none"/>
          </c:marker>
          <c:xVal>
            <c:numRef>
              <c:f>'Superiority, Parallel'!$AD$16:$AD$17</c:f>
              <c:numCache>
                <c:formatCode>General</c:formatCode>
                <c:ptCount val="2"/>
                <c:pt idx="0">
                  <c:v>157.1289054320859</c:v>
                </c:pt>
                <c:pt idx="1">
                  <c:v>157.1289054320859</c:v>
                </c:pt>
              </c:numCache>
            </c:numRef>
          </c:xVal>
          <c:yVal>
            <c:numRef>
              <c:f>'Superiority,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2448-4DD7-BFD6-BC5B3E950BAD}"/>
            </c:ext>
          </c:extLst>
        </c:ser>
        <c:ser>
          <c:idx val="7"/>
          <c:order val="7"/>
          <c:tx>
            <c:strRef>
              <c:f>'Superiority, Parallel'!$AD$19:$AD$20</c:f>
              <c:strCache>
                <c:ptCount val="2"/>
                <c:pt idx="0">
                  <c:v>162.8710946</c:v>
                </c:pt>
                <c:pt idx="1">
                  <c:v>162.8710946</c:v>
                </c:pt>
              </c:strCache>
            </c:strRef>
          </c:tx>
          <c:spPr>
            <a:ln>
              <a:solidFill>
                <a:srgbClr val="FFFF00"/>
              </a:solidFill>
            </a:ln>
          </c:spPr>
          <c:marker>
            <c:symbol val="none"/>
          </c:marker>
          <c:xVal>
            <c:numRef>
              <c:f>'Superiority, Parallel'!$AD$19:$AD$20</c:f>
              <c:numCache>
                <c:formatCode>General</c:formatCode>
                <c:ptCount val="2"/>
                <c:pt idx="0">
                  <c:v>162.8710945679141</c:v>
                </c:pt>
                <c:pt idx="1">
                  <c:v>162.8710945679141</c:v>
                </c:pt>
              </c:numCache>
            </c:numRef>
          </c:xVal>
          <c:yVal>
            <c:numRef>
              <c:f>'Superiority,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2448-4DD7-BFD6-BC5B3E950BAD}"/>
            </c:ext>
          </c:extLst>
        </c:ser>
        <c:ser>
          <c:idx val="8"/>
          <c:order val="8"/>
          <c:spPr>
            <a:ln>
              <a:solidFill>
                <a:srgbClr val="00B050"/>
              </a:solidFill>
            </a:ln>
          </c:spPr>
          <c:marker>
            <c:symbol val="none"/>
          </c:marker>
          <c:xVal>
            <c:numRef>
              <c:f>'Superiority, Parallel'!$AD$24:$AD$25</c:f>
              <c:numCache>
                <c:formatCode>General</c:formatCode>
                <c:ptCount val="2"/>
                <c:pt idx="0">
                  <c:v>165.1289054320859</c:v>
                </c:pt>
                <c:pt idx="1">
                  <c:v>165.1289054320859</c:v>
                </c:pt>
              </c:numCache>
            </c:numRef>
          </c:xVal>
          <c:yVal>
            <c:numRef>
              <c:f>'Superiority,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2448-4DD7-BFD6-BC5B3E950BAD}"/>
            </c:ext>
          </c:extLst>
        </c:ser>
        <c:ser>
          <c:idx val="9"/>
          <c:order val="9"/>
          <c:spPr>
            <a:ln>
              <a:solidFill>
                <a:srgbClr val="00B050"/>
              </a:solidFill>
            </a:ln>
          </c:spPr>
          <c:marker>
            <c:symbol val="none"/>
          </c:marker>
          <c:xVal>
            <c:numRef>
              <c:f>'Superiority, Parallel'!$AD$27:$AD$28</c:f>
              <c:numCache>
                <c:formatCode>General</c:formatCode>
                <c:ptCount val="2"/>
                <c:pt idx="0">
                  <c:v>170.8710945679141</c:v>
                </c:pt>
                <c:pt idx="1">
                  <c:v>170.8710945679141</c:v>
                </c:pt>
              </c:numCache>
            </c:numRef>
          </c:xVal>
          <c:yVal>
            <c:numRef>
              <c:f>'Superiority,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2448-4DD7-BFD6-BC5B3E950BAD}"/>
            </c:ext>
          </c:extLst>
        </c:ser>
        <c:ser>
          <c:idx val="10"/>
          <c:order val="10"/>
          <c:spPr>
            <a:ln>
              <a:solidFill>
                <a:srgbClr val="FF0000"/>
              </a:solidFill>
            </a:ln>
          </c:spPr>
          <c:marker>
            <c:symbol val="none"/>
          </c:marker>
          <c:xVal>
            <c:numRef>
              <c:f>'Superiority, Parallel'!$Z$32:$Z$33</c:f>
              <c:numCache>
                <c:formatCode>General</c:formatCode>
                <c:ptCount val="2"/>
                <c:pt idx="0">
                  <c:v>160</c:v>
                </c:pt>
                <c:pt idx="1">
                  <c:v>160</c:v>
                </c:pt>
              </c:numCache>
            </c:numRef>
          </c:xVal>
          <c:yVal>
            <c:numRef>
              <c:f>'Superiority, Parallel'!$AA$32:$AA$33</c:f>
              <c:numCache>
                <c:formatCode>General</c:formatCode>
                <c:ptCount val="2"/>
                <c:pt idx="0">
                  <c:v>0</c:v>
                </c:pt>
                <c:pt idx="1">
                  <c:v>9.9706267351264838E-3</c:v>
                </c:pt>
              </c:numCache>
            </c:numRef>
          </c:yVal>
          <c:smooth val="0"/>
          <c:extLst>
            <c:ext xmlns:c16="http://schemas.microsoft.com/office/drawing/2014/chart" uri="{C3380CC4-5D6E-409C-BE32-E72D297353CC}">
              <c16:uniqueId val="{0000000C-2448-4DD7-BFD6-BC5B3E950BAD}"/>
            </c:ext>
          </c:extLst>
        </c:ser>
        <c:ser>
          <c:idx val="11"/>
          <c:order val="11"/>
          <c:spPr>
            <a:ln>
              <a:solidFill>
                <a:srgbClr val="FF0000"/>
              </a:solidFill>
            </a:ln>
          </c:spPr>
          <c:marker>
            <c:symbol val="none"/>
          </c:marker>
          <c:xVal>
            <c:numRef>
              <c:f>'Superiority, Parallel'!$Z$35:$Z$36</c:f>
              <c:numCache>
                <c:formatCode>General</c:formatCode>
                <c:ptCount val="2"/>
                <c:pt idx="0">
                  <c:v>168</c:v>
                </c:pt>
                <c:pt idx="1">
                  <c:v>168</c:v>
                </c:pt>
              </c:numCache>
            </c:numRef>
          </c:xVal>
          <c:yVal>
            <c:numRef>
              <c:f>'Superiority, Parallel'!$AA$35:$AA$36</c:f>
              <c:numCache>
                <c:formatCode>General</c:formatCode>
                <c:ptCount val="2"/>
                <c:pt idx="0">
                  <c:v>0</c:v>
                </c:pt>
                <c:pt idx="1">
                  <c:v>9.9706267351264838E-3</c:v>
                </c:pt>
              </c:numCache>
            </c:numRef>
          </c:yVal>
          <c:smooth val="0"/>
          <c:extLst>
            <c:ext xmlns:c16="http://schemas.microsoft.com/office/drawing/2014/chart" uri="{C3380CC4-5D6E-409C-BE32-E72D297353CC}">
              <c16:uniqueId val="{0000000D-2448-4DD7-BFD6-BC5B3E950BAD}"/>
            </c:ext>
          </c:extLst>
        </c:ser>
        <c:dLbls>
          <c:showLegendKey val="0"/>
          <c:showVal val="0"/>
          <c:showCatName val="0"/>
          <c:showSerName val="0"/>
          <c:showPercent val="0"/>
          <c:showBubbleSize val="0"/>
        </c:dLbls>
        <c:axId val="16859904"/>
        <c:axId val="16861440"/>
      </c:scatterChart>
      <c:valAx>
        <c:axId val="16859904"/>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6861440"/>
        <c:crosses val="autoZero"/>
        <c:crossBetween val="midCat"/>
      </c:valAx>
      <c:valAx>
        <c:axId val="1686144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6859904"/>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Crossover'!$V$14</c:f>
              <c:strCache>
                <c:ptCount val="1"/>
                <c:pt idx="0">
                  <c:v>Treatment A</c:v>
                </c:pt>
              </c:strCache>
            </c:strRef>
          </c:tx>
          <c:spPr>
            <a:ln w="28575">
              <a:solidFill>
                <a:srgbClr val="FFFF0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Crossover'!$V$15:$V$47</c:f>
              <c:numCache>
                <c:formatCode>General</c:formatCode>
                <c:ptCount val="33"/>
                <c:pt idx="0">
                  <c:v>6.6915112882442679E-6</c:v>
                </c:pt>
                <c:pt idx="1">
                  <c:v>1.8137291925126829E-5</c:v>
                </c:pt>
                <c:pt idx="2">
                  <c:v>4.6005238481148204E-5</c:v>
                </c:pt>
                <c:pt idx="3">
                  <c:v>1.0920153534047619E-4</c:v>
                </c:pt>
                <c:pt idx="4">
                  <c:v>2.4256984882431001E-4</c:v>
                </c:pt>
                <c:pt idx="5">
                  <c:v>5.0423327922236841E-4</c:v>
                </c:pt>
                <c:pt idx="6">
                  <c:v>9.8087306428737029E-4</c:v>
                </c:pt>
                <c:pt idx="7">
                  <c:v>1.7855858122449049E-3</c:v>
                </c:pt>
                <c:pt idx="8">
                  <c:v>3.0418322453447957E-3</c:v>
                </c:pt>
                <c:pt idx="9">
                  <c:v>4.8492704641696274E-3</c:v>
                </c:pt>
                <c:pt idx="10">
                  <c:v>7.2344275216876253E-3</c:v>
                </c:pt>
                <c:pt idx="11">
                  <c:v>1.0099934277702938E-2</c:v>
                </c:pt>
                <c:pt idx="12">
                  <c:v>1.3195308262186492E-2</c:v>
                </c:pt>
                <c:pt idx="13">
                  <c:v>1.6132703352552596E-2</c:v>
                </c:pt>
                <c:pt idx="14">
                  <c:v>1.8457860980984869E-2</c:v>
                </c:pt>
                <c:pt idx="15">
                  <c:v>1.9762514802646215E-2</c:v>
                </c:pt>
                <c:pt idx="16">
                  <c:v>1.980111566953164E-2</c:v>
                </c:pt>
                <c:pt idx="17">
                  <c:v>1.8566230084060359E-2</c:v>
                </c:pt>
                <c:pt idx="18">
                  <c:v>1.62908749718845E-2</c:v>
                </c:pt>
                <c:pt idx="19">
                  <c:v>1.3376783801223832E-2</c:v>
                </c:pt>
                <c:pt idx="20">
                  <c:v>1.0278875841821104E-2</c:v>
                </c:pt>
                <c:pt idx="21">
                  <c:v>7.3913905018228197E-3</c:v>
                </c:pt>
                <c:pt idx="22">
                  <c:v>4.9738569396374247E-3</c:v>
                </c:pt>
                <c:pt idx="23">
                  <c:v>3.1321824144568407E-3</c:v>
                </c:pt>
                <c:pt idx="24">
                  <c:v>1.8458118041464236E-3</c:v>
                </c:pt>
                <c:pt idx="25">
                  <c:v>1.0179217781743309E-3</c:v>
                </c:pt>
                <c:pt idx="26">
                  <c:v>5.253249261075088E-4</c:v>
                </c:pt>
                <c:pt idx="27">
                  <c:v>2.5370453191218579E-4</c:v>
                </c:pt>
                <c:pt idx="28">
                  <c:v>1.1466082361099477E-4</c:v>
                </c:pt>
                <c:pt idx="29">
                  <c:v>4.8494055355597236E-5</c:v>
                </c:pt>
                <c:pt idx="30">
                  <c:v>1.919325201047218E-5</c:v>
                </c:pt>
                <c:pt idx="31">
                  <c:v>7.1087827569615689E-6</c:v>
                </c:pt>
                <c:pt idx="32">
                  <c:v>2.4639309576665207E-6</c:v>
                </c:pt>
              </c:numCache>
            </c:numRef>
          </c:yVal>
          <c:smooth val="0"/>
          <c:extLst>
            <c:ext xmlns:c16="http://schemas.microsoft.com/office/drawing/2014/chart" uri="{C3380CC4-5D6E-409C-BE32-E72D297353CC}">
              <c16:uniqueId val="{00000000-B3CD-42A3-9500-9B1F917F71A4}"/>
            </c:ext>
          </c:extLst>
        </c:ser>
        <c:ser>
          <c:idx val="1"/>
          <c:order val="1"/>
          <c:tx>
            <c:strRef>
              <c:f>'Superiority, Crossover'!$W$14</c:f>
              <c:strCache>
                <c:ptCount val="1"/>
                <c:pt idx="0">
                  <c:v>Treatment B</c:v>
                </c:pt>
              </c:strCache>
            </c:strRef>
          </c:tx>
          <c:spPr>
            <a:ln w="28575">
              <a:solidFill>
                <a:srgbClr val="00B05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Crossover'!$W$15:$W$47</c:f>
              <c:numCache>
                <c:formatCode>General</c:formatCode>
                <c:ptCount val="33"/>
                <c:pt idx="0">
                  <c:v>7.9918705534527388E-7</c:v>
                </c:pt>
                <c:pt idx="1">
                  <c:v>2.4639309576665516E-6</c:v>
                </c:pt>
                <c:pt idx="2">
                  <c:v>7.1087827569616206E-6</c:v>
                </c:pt>
                <c:pt idx="3">
                  <c:v>1.9193252010472316E-5</c:v>
                </c:pt>
                <c:pt idx="4">
                  <c:v>4.8494055355597541E-5</c:v>
                </c:pt>
                <c:pt idx="5">
                  <c:v>1.146608236109952E-4</c:v>
                </c:pt>
                <c:pt idx="6">
                  <c:v>2.5370453191218693E-4</c:v>
                </c:pt>
                <c:pt idx="7">
                  <c:v>5.2532492610751064E-4</c:v>
                </c:pt>
                <c:pt idx="8">
                  <c:v>1.0179217781743333E-3</c:v>
                </c:pt>
                <c:pt idx="9">
                  <c:v>1.8458118041464293E-3</c:v>
                </c:pt>
                <c:pt idx="10">
                  <c:v>3.1321824144568463E-3</c:v>
                </c:pt>
                <c:pt idx="11">
                  <c:v>4.97385693963743E-3</c:v>
                </c:pt>
                <c:pt idx="12">
                  <c:v>7.391390501822824E-3</c:v>
                </c:pt>
                <c:pt idx="13">
                  <c:v>1.0278875841821104E-2</c:v>
                </c:pt>
                <c:pt idx="14">
                  <c:v>1.3376783801223832E-2</c:v>
                </c:pt>
                <c:pt idx="15">
                  <c:v>1.62908749718845E-2</c:v>
                </c:pt>
                <c:pt idx="16">
                  <c:v>1.8566230084060359E-2</c:v>
                </c:pt>
                <c:pt idx="17">
                  <c:v>1.980111566953164E-2</c:v>
                </c:pt>
                <c:pt idx="18">
                  <c:v>1.9762514802646215E-2</c:v>
                </c:pt>
                <c:pt idx="19">
                  <c:v>1.8457860980984869E-2</c:v>
                </c:pt>
                <c:pt idx="20">
                  <c:v>1.6132703352552596E-2</c:v>
                </c:pt>
                <c:pt idx="21">
                  <c:v>1.3195308262186491E-2</c:v>
                </c:pt>
                <c:pt idx="22">
                  <c:v>1.0099934277702931E-2</c:v>
                </c:pt>
                <c:pt idx="23">
                  <c:v>7.234427521687614E-3</c:v>
                </c:pt>
                <c:pt idx="24">
                  <c:v>4.8492704641696152E-3</c:v>
                </c:pt>
                <c:pt idx="25">
                  <c:v>3.04183224534479E-3</c:v>
                </c:pt>
                <c:pt idx="26">
                  <c:v>1.7855858122448995E-3</c:v>
                </c:pt>
                <c:pt idx="27">
                  <c:v>9.8087306428736726E-4</c:v>
                </c:pt>
                <c:pt idx="28">
                  <c:v>5.0423327922236591E-4</c:v>
                </c:pt>
                <c:pt idx="29">
                  <c:v>2.4256984882430871E-4</c:v>
                </c:pt>
                <c:pt idx="30">
                  <c:v>1.092015353404756E-4</c:v>
                </c:pt>
                <c:pt idx="31">
                  <c:v>4.600523848114792E-5</c:v>
                </c:pt>
                <c:pt idx="32">
                  <c:v>1.8137291925126636E-5</c:v>
                </c:pt>
              </c:numCache>
            </c:numRef>
          </c:yVal>
          <c:smooth val="0"/>
          <c:extLst>
            <c:ext xmlns:c16="http://schemas.microsoft.com/office/drawing/2014/chart" uri="{C3380CC4-5D6E-409C-BE32-E72D297353CC}">
              <c16:uniqueId val="{00000001-B3CD-42A3-9500-9B1F917F71A4}"/>
            </c:ext>
          </c:extLst>
        </c:ser>
        <c:ser>
          <c:idx val="2"/>
          <c:order val="2"/>
          <c:spPr>
            <a:ln>
              <a:solidFill>
                <a:srgbClr val="FFFF00"/>
              </a:solidFill>
            </a:ln>
          </c:spPr>
          <c:marker>
            <c:symbol val="none"/>
          </c:marker>
          <c:xVal>
            <c:numRef>
              <c:f>'Superiority, Crossover'!$Z$16:$Z$17</c:f>
              <c:numCache>
                <c:formatCode>General</c:formatCode>
                <c:ptCount val="2"/>
                <c:pt idx="0">
                  <c:v>60</c:v>
                </c:pt>
                <c:pt idx="1">
                  <c:v>60</c:v>
                </c:pt>
              </c:numCache>
            </c:numRef>
          </c:xVal>
          <c:yVal>
            <c:numRef>
              <c:f>'Superiority, Crossover'!$AA$16:$AA$17</c:f>
              <c:numCache>
                <c:formatCode>General</c:formatCode>
                <c:ptCount val="2"/>
                <c:pt idx="0">
                  <c:v>0</c:v>
                </c:pt>
                <c:pt idx="1">
                  <c:v>1.980111566953164E-2</c:v>
                </c:pt>
              </c:numCache>
            </c:numRef>
          </c:yVal>
          <c:smooth val="0"/>
          <c:extLst>
            <c:ext xmlns:c16="http://schemas.microsoft.com/office/drawing/2014/chart" uri="{C3380CC4-5D6E-409C-BE32-E72D297353CC}">
              <c16:uniqueId val="{00000002-B3CD-42A3-9500-9B1F917F71A4}"/>
            </c:ext>
          </c:extLst>
        </c:ser>
        <c:ser>
          <c:idx val="3"/>
          <c:order val="3"/>
          <c:spPr>
            <a:ln>
              <a:solidFill>
                <a:srgbClr val="FFFF00"/>
              </a:solidFill>
            </a:ln>
          </c:spPr>
          <c:marker>
            <c:symbol val="none"/>
          </c:marker>
          <c:xVal>
            <c:numRef>
              <c:f>'Superiority, Crossover'!$Z$19:$Z$20</c:f>
              <c:numCache>
                <c:formatCode>General</c:formatCode>
                <c:ptCount val="2"/>
                <c:pt idx="0">
                  <c:v>100</c:v>
                </c:pt>
                <c:pt idx="1">
                  <c:v>100</c:v>
                </c:pt>
              </c:numCache>
            </c:numRef>
          </c:xVal>
          <c:yVal>
            <c:numRef>
              <c:f>'Superiority, Crossover'!$AA$19:$AA$20</c:f>
              <c:numCache>
                <c:formatCode>General</c:formatCode>
                <c:ptCount val="2"/>
                <c:pt idx="0">
                  <c:v>0</c:v>
                </c:pt>
                <c:pt idx="1">
                  <c:v>1.980111566953164E-2</c:v>
                </c:pt>
              </c:numCache>
            </c:numRef>
          </c:yVal>
          <c:smooth val="0"/>
          <c:extLst>
            <c:ext xmlns:c16="http://schemas.microsoft.com/office/drawing/2014/chart" uri="{C3380CC4-5D6E-409C-BE32-E72D297353CC}">
              <c16:uniqueId val="{00000003-B3CD-42A3-9500-9B1F917F71A4}"/>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B3CD-42A3-9500-9B1F917F71A4}"/>
              </c:ext>
            </c:extLst>
          </c:dPt>
          <c:xVal>
            <c:numRef>
              <c:f>'Superiority, Crossover'!$Z$24:$Z$25</c:f>
              <c:numCache>
                <c:formatCode>General</c:formatCode>
                <c:ptCount val="2"/>
                <c:pt idx="0">
                  <c:v>70</c:v>
                </c:pt>
                <c:pt idx="1">
                  <c:v>70</c:v>
                </c:pt>
              </c:numCache>
            </c:numRef>
          </c:xVal>
          <c:yVal>
            <c:numRef>
              <c:f>'Superiority, Crossover'!$AA$24:$AA$25</c:f>
              <c:numCache>
                <c:formatCode>General</c:formatCode>
                <c:ptCount val="2"/>
                <c:pt idx="0">
                  <c:v>0</c:v>
                </c:pt>
                <c:pt idx="1">
                  <c:v>1.980111566953164E-2</c:v>
                </c:pt>
              </c:numCache>
            </c:numRef>
          </c:yVal>
          <c:smooth val="0"/>
          <c:extLst>
            <c:ext xmlns:c16="http://schemas.microsoft.com/office/drawing/2014/chart" uri="{C3380CC4-5D6E-409C-BE32-E72D297353CC}">
              <c16:uniqueId val="{00000006-B3CD-42A3-9500-9B1F917F71A4}"/>
            </c:ext>
          </c:extLst>
        </c:ser>
        <c:ser>
          <c:idx val="5"/>
          <c:order val="5"/>
          <c:spPr>
            <a:ln>
              <a:solidFill>
                <a:srgbClr val="00B050"/>
              </a:solidFill>
            </a:ln>
          </c:spPr>
          <c:marker>
            <c:symbol val="none"/>
          </c:marker>
          <c:xVal>
            <c:numRef>
              <c:f>'Superiority, Crossover'!$Z$27:$Z$28</c:f>
              <c:numCache>
                <c:formatCode>General</c:formatCode>
                <c:ptCount val="2"/>
                <c:pt idx="0">
                  <c:v>110</c:v>
                </c:pt>
                <c:pt idx="1">
                  <c:v>110</c:v>
                </c:pt>
              </c:numCache>
            </c:numRef>
          </c:xVal>
          <c:yVal>
            <c:numRef>
              <c:f>'Superiority, Crossover'!$AA$27:$AA$28</c:f>
              <c:numCache>
                <c:formatCode>General</c:formatCode>
                <c:ptCount val="2"/>
                <c:pt idx="0">
                  <c:v>0</c:v>
                </c:pt>
                <c:pt idx="1">
                  <c:v>1.980111566953164E-2</c:v>
                </c:pt>
              </c:numCache>
            </c:numRef>
          </c:yVal>
          <c:smooth val="0"/>
          <c:extLst>
            <c:ext xmlns:c16="http://schemas.microsoft.com/office/drawing/2014/chart" uri="{C3380CC4-5D6E-409C-BE32-E72D297353CC}">
              <c16:uniqueId val="{00000007-B3CD-42A3-9500-9B1F917F71A4}"/>
            </c:ext>
          </c:extLst>
        </c:ser>
        <c:ser>
          <c:idx val="6"/>
          <c:order val="6"/>
          <c:spPr>
            <a:ln>
              <a:solidFill>
                <a:srgbClr val="FFFF00"/>
              </a:solidFill>
            </a:ln>
          </c:spPr>
          <c:marker>
            <c:symbol val="none"/>
          </c:marker>
          <c:xVal>
            <c:numRef>
              <c:f>'Superiority, Crossover'!$AD$16:$AD$17</c:f>
              <c:numCache>
                <c:formatCode>General</c:formatCode>
                <c:ptCount val="2"/>
                <c:pt idx="0">
                  <c:v>76.43419981060768</c:v>
                </c:pt>
                <c:pt idx="1">
                  <c:v>76.43419981060768</c:v>
                </c:pt>
              </c:numCache>
            </c:numRef>
          </c:xVal>
          <c:yVal>
            <c:numRef>
              <c:f>'Superiority,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B3CD-42A3-9500-9B1F917F71A4}"/>
            </c:ext>
          </c:extLst>
        </c:ser>
        <c:ser>
          <c:idx val="7"/>
          <c:order val="7"/>
          <c:tx>
            <c:strRef>
              <c:f>'Superiority, Crossover'!$AD$19:$AD$20</c:f>
              <c:strCache>
                <c:ptCount val="2"/>
                <c:pt idx="0">
                  <c:v>83.56580019</c:v>
                </c:pt>
                <c:pt idx="1">
                  <c:v>83.56580019</c:v>
                </c:pt>
              </c:strCache>
            </c:strRef>
          </c:tx>
          <c:spPr>
            <a:ln>
              <a:solidFill>
                <a:srgbClr val="FFFF00"/>
              </a:solidFill>
            </a:ln>
          </c:spPr>
          <c:marker>
            <c:symbol val="none"/>
          </c:marker>
          <c:xVal>
            <c:numRef>
              <c:f>'Superiority, Crossover'!$AD$19:$AD$20</c:f>
              <c:numCache>
                <c:formatCode>General</c:formatCode>
                <c:ptCount val="2"/>
                <c:pt idx="0">
                  <c:v>83.56580018939232</c:v>
                </c:pt>
                <c:pt idx="1">
                  <c:v>83.56580018939232</c:v>
                </c:pt>
              </c:numCache>
            </c:numRef>
          </c:xVal>
          <c:yVal>
            <c:numRef>
              <c:f>'Superiority,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B3CD-42A3-9500-9B1F917F71A4}"/>
            </c:ext>
          </c:extLst>
        </c:ser>
        <c:ser>
          <c:idx val="8"/>
          <c:order val="8"/>
          <c:spPr>
            <a:ln>
              <a:solidFill>
                <a:srgbClr val="00B050"/>
              </a:solidFill>
            </a:ln>
          </c:spPr>
          <c:marker>
            <c:symbol val="none"/>
          </c:marker>
          <c:xVal>
            <c:numRef>
              <c:f>'Superiority, Crossover'!$AD$24:$AD$25</c:f>
              <c:numCache>
                <c:formatCode>General</c:formatCode>
                <c:ptCount val="2"/>
                <c:pt idx="0">
                  <c:v>86.43419981060768</c:v>
                </c:pt>
                <c:pt idx="1">
                  <c:v>86.43419981060768</c:v>
                </c:pt>
              </c:numCache>
            </c:numRef>
          </c:xVal>
          <c:yVal>
            <c:numRef>
              <c:f>'Superiority,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B3CD-42A3-9500-9B1F917F71A4}"/>
            </c:ext>
          </c:extLst>
        </c:ser>
        <c:ser>
          <c:idx val="9"/>
          <c:order val="9"/>
          <c:spPr>
            <a:ln>
              <a:solidFill>
                <a:srgbClr val="00B050"/>
              </a:solidFill>
            </a:ln>
          </c:spPr>
          <c:marker>
            <c:symbol val="none"/>
          </c:marker>
          <c:xVal>
            <c:numRef>
              <c:f>'Superiority, Crossover'!$AD$27:$AD$28</c:f>
              <c:numCache>
                <c:formatCode>General</c:formatCode>
                <c:ptCount val="2"/>
                <c:pt idx="0">
                  <c:v>93.56580018939232</c:v>
                </c:pt>
                <c:pt idx="1">
                  <c:v>93.56580018939232</c:v>
                </c:pt>
              </c:numCache>
            </c:numRef>
          </c:xVal>
          <c:yVal>
            <c:numRef>
              <c:f>'Superiority,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B3CD-42A3-9500-9B1F917F71A4}"/>
            </c:ext>
          </c:extLst>
        </c:ser>
        <c:ser>
          <c:idx val="10"/>
          <c:order val="10"/>
          <c:spPr>
            <a:ln>
              <a:solidFill>
                <a:srgbClr val="FF0000"/>
              </a:solidFill>
            </a:ln>
          </c:spPr>
          <c:marker>
            <c:symbol val="none"/>
          </c:marker>
          <c:xVal>
            <c:numRef>
              <c:f>'Superiority, Crossover'!$Z$32:$Z$33</c:f>
              <c:numCache>
                <c:formatCode>General</c:formatCode>
                <c:ptCount val="2"/>
                <c:pt idx="0">
                  <c:v>80</c:v>
                </c:pt>
                <c:pt idx="1">
                  <c:v>80</c:v>
                </c:pt>
              </c:numCache>
            </c:numRef>
          </c:xVal>
          <c:yVal>
            <c:numRef>
              <c:f>'Superiority, Crossover'!$AA$32:$AA$33</c:f>
              <c:numCache>
                <c:formatCode>General</c:formatCode>
                <c:ptCount val="2"/>
                <c:pt idx="0">
                  <c:v>0</c:v>
                </c:pt>
                <c:pt idx="1">
                  <c:v>1.980111566953164E-2</c:v>
                </c:pt>
              </c:numCache>
            </c:numRef>
          </c:yVal>
          <c:smooth val="0"/>
          <c:extLst>
            <c:ext xmlns:c16="http://schemas.microsoft.com/office/drawing/2014/chart" uri="{C3380CC4-5D6E-409C-BE32-E72D297353CC}">
              <c16:uniqueId val="{0000000C-B3CD-42A3-9500-9B1F917F71A4}"/>
            </c:ext>
          </c:extLst>
        </c:ser>
        <c:ser>
          <c:idx val="11"/>
          <c:order val="11"/>
          <c:spPr>
            <a:ln>
              <a:solidFill>
                <a:srgbClr val="FF0000"/>
              </a:solidFill>
            </a:ln>
          </c:spPr>
          <c:marker>
            <c:symbol val="none"/>
          </c:marker>
          <c:xVal>
            <c:numRef>
              <c:f>'Superiority, Crossover'!$Z$35:$Z$36</c:f>
              <c:numCache>
                <c:formatCode>General</c:formatCode>
                <c:ptCount val="2"/>
                <c:pt idx="0">
                  <c:v>90</c:v>
                </c:pt>
                <c:pt idx="1">
                  <c:v>90</c:v>
                </c:pt>
              </c:numCache>
            </c:numRef>
          </c:xVal>
          <c:yVal>
            <c:numRef>
              <c:f>'Superiority, Crossover'!$AA$35:$AA$36</c:f>
              <c:numCache>
                <c:formatCode>General</c:formatCode>
                <c:ptCount val="2"/>
                <c:pt idx="0">
                  <c:v>0</c:v>
                </c:pt>
                <c:pt idx="1">
                  <c:v>1.980111566953164E-2</c:v>
                </c:pt>
              </c:numCache>
            </c:numRef>
          </c:yVal>
          <c:smooth val="0"/>
          <c:extLst>
            <c:ext xmlns:c16="http://schemas.microsoft.com/office/drawing/2014/chart" uri="{C3380CC4-5D6E-409C-BE32-E72D297353CC}">
              <c16:uniqueId val="{0000000D-B3CD-42A3-9500-9B1F917F71A4}"/>
            </c:ext>
          </c:extLst>
        </c:ser>
        <c:dLbls>
          <c:showLegendKey val="0"/>
          <c:showVal val="0"/>
          <c:showCatName val="0"/>
          <c:showSerName val="0"/>
          <c:showPercent val="0"/>
          <c:showBubbleSize val="0"/>
        </c:dLbls>
        <c:axId val="17186816"/>
        <c:axId val="17188352"/>
      </c:scatterChart>
      <c:valAx>
        <c:axId val="1718681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7188352"/>
        <c:crosses val="autoZero"/>
        <c:crossBetween val="midCat"/>
      </c:valAx>
      <c:valAx>
        <c:axId val="1718835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718681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Parallel'!$V$14</c:f>
              <c:strCache>
                <c:ptCount val="1"/>
                <c:pt idx="0">
                  <c:v>Treatment A</c:v>
                </c:pt>
              </c:strCache>
            </c:strRef>
          </c:tx>
          <c:spPr>
            <a:ln w="28575">
              <a:solidFill>
                <a:srgbClr val="FFFF0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Parallel'!$V$15:$V$47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0-8414-4708-A9D9-D854D68991D3}"/>
            </c:ext>
          </c:extLst>
        </c:ser>
        <c:ser>
          <c:idx val="1"/>
          <c:order val="1"/>
          <c:tx>
            <c:strRef>
              <c:f>'Equivalence, Parallel'!$W$14</c:f>
              <c:strCache>
                <c:ptCount val="1"/>
                <c:pt idx="0">
                  <c:v>Treatment B</c:v>
                </c:pt>
              </c:strCache>
            </c:strRef>
          </c:tx>
          <c:spPr>
            <a:ln w="28575">
              <a:solidFill>
                <a:srgbClr val="00B05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Parallel'!$W$15:$W$47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1-8414-4708-A9D9-D854D68991D3}"/>
            </c:ext>
          </c:extLst>
        </c:ser>
        <c:ser>
          <c:idx val="2"/>
          <c:order val="2"/>
          <c:spPr>
            <a:ln>
              <a:solidFill>
                <a:srgbClr val="FFFF00"/>
              </a:solidFill>
            </a:ln>
          </c:spPr>
          <c:marker>
            <c:symbol val="none"/>
          </c:marker>
          <c:xVal>
            <c:numRef>
              <c:f>'Equivalence, Parallel'!$Z$16:$Z$17</c:f>
              <c:numCache>
                <c:formatCode>General</c:formatCode>
                <c:ptCount val="2"/>
                <c:pt idx="0">
                  <c:v>150</c:v>
                </c:pt>
                <c:pt idx="1">
                  <c:v>150</c:v>
                </c:pt>
              </c:numCache>
            </c:numRef>
          </c:xVal>
          <c:yVal>
            <c:numRef>
              <c:f>'Equivalence, Parallel'!$AA$16:$AA$17</c:f>
              <c:numCache>
                <c:formatCode>General</c:formatCode>
                <c:ptCount val="2"/>
                <c:pt idx="0">
                  <c:v>0</c:v>
                </c:pt>
                <c:pt idx="1">
                  <c:v>7.9204462678126551E-3</c:v>
                </c:pt>
              </c:numCache>
            </c:numRef>
          </c:yVal>
          <c:smooth val="0"/>
          <c:extLst>
            <c:ext xmlns:c16="http://schemas.microsoft.com/office/drawing/2014/chart" uri="{C3380CC4-5D6E-409C-BE32-E72D297353CC}">
              <c16:uniqueId val="{00000002-8414-4708-A9D9-D854D68991D3}"/>
            </c:ext>
          </c:extLst>
        </c:ser>
        <c:ser>
          <c:idx val="3"/>
          <c:order val="3"/>
          <c:spPr>
            <a:ln>
              <a:solidFill>
                <a:srgbClr val="FFFF00"/>
              </a:solidFill>
            </a:ln>
          </c:spPr>
          <c:marker>
            <c:symbol val="none"/>
          </c:marker>
          <c:xVal>
            <c:numRef>
              <c:f>'Equivalence, Parallel'!$Z$19:$Z$20</c:f>
              <c:numCache>
                <c:formatCode>General</c:formatCode>
                <c:ptCount val="2"/>
                <c:pt idx="0">
                  <c:v>250</c:v>
                </c:pt>
                <c:pt idx="1">
                  <c:v>250</c:v>
                </c:pt>
              </c:numCache>
            </c:numRef>
          </c:xVal>
          <c:yVal>
            <c:numRef>
              <c:f>'Equivalence, Parallel'!$AA$19:$AA$20</c:f>
              <c:numCache>
                <c:formatCode>General</c:formatCode>
                <c:ptCount val="2"/>
                <c:pt idx="0">
                  <c:v>0</c:v>
                </c:pt>
                <c:pt idx="1">
                  <c:v>7.9204462678126551E-3</c:v>
                </c:pt>
              </c:numCache>
            </c:numRef>
          </c:yVal>
          <c:smooth val="0"/>
          <c:extLst>
            <c:ext xmlns:c16="http://schemas.microsoft.com/office/drawing/2014/chart" uri="{C3380CC4-5D6E-409C-BE32-E72D297353CC}">
              <c16:uniqueId val="{00000003-8414-4708-A9D9-D854D68991D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8414-4708-A9D9-D854D68991D3}"/>
              </c:ext>
            </c:extLst>
          </c:dPt>
          <c:xVal>
            <c:numRef>
              <c:f>'Equivalence, Parallel'!$Z$24:$Z$25</c:f>
              <c:numCache>
                <c:formatCode>General</c:formatCode>
                <c:ptCount val="2"/>
                <c:pt idx="0">
                  <c:v>150</c:v>
                </c:pt>
                <c:pt idx="1">
                  <c:v>150</c:v>
                </c:pt>
              </c:numCache>
            </c:numRef>
          </c:xVal>
          <c:yVal>
            <c:numRef>
              <c:f>'Equivalence, Parallel'!$AA$24:$AA$25</c:f>
              <c:numCache>
                <c:formatCode>General</c:formatCode>
                <c:ptCount val="2"/>
                <c:pt idx="0">
                  <c:v>0</c:v>
                </c:pt>
                <c:pt idx="1">
                  <c:v>7.9204462678126551E-3</c:v>
                </c:pt>
              </c:numCache>
            </c:numRef>
          </c:yVal>
          <c:smooth val="0"/>
          <c:extLst>
            <c:ext xmlns:c16="http://schemas.microsoft.com/office/drawing/2014/chart" uri="{C3380CC4-5D6E-409C-BE32-E72D297353CC}">
              <c16:uniqueId val="{00000006-8414-4708-A9D9-D854D68991D3}"/>
            </c:ext>
          </c:extLst>
        </c:ser>
        <c:ser>
          <c:idx val="5"/>
          <c:order val="5"/>
          <c:spPr>
            <a:ln>
              <a:solidFill>
                <a:srgbClr val="00B050"/>
              </a:solidFill>
            </a:ln>
          </c:spPr>
          <c:marker>
            <c:symbol val="none"/>
          </c:marker>
          <c:xVal>
            <c:numRef>
              <c:f>'Equivalence, Parallel'!$Z$27:$Z$28</c:f>
              <c:numCache>
                <c:formatCode>General</c:formatCode>
                <c:ptCount val="2"/>
                <c:pt idx="0">
                  <c:v>250</c:v>
                </c:pt>
                <c:pt idx="1">
                  <c:v>250</c:v>
                </c:pt>
              </c:numCache>
            </c:numRef>
          </c:xVal>
          <c:yVal>
            <c:numRef>
              <c:f>'Equivalence, Parallel'!$AA$27:$AA$28</c:f>
              <c:numCache>
                <c:formatCode>General</c:formatCode>
                <c:ptCount val="2"/>
                <c:pt idx="0">
                  <c:v>0</c:v>
                </c:pt>
                <c:pt idx="1">
                  <c:v>7.9204462678126551E-3</c:v>
                </c:pt>
              </c:numCache>
            </c:numRef>
          </c:yVal>
          <c:smooth val="0"/>
          <c:extLst>
            <c:ext xmlns:c16="http://schemas.microsoft.com/office/drawing/2014/chart" uri="{C3380CC4-5D6E-409C-BE32-E72D297353CC}">
              <c16:uniqueId val="{00000007-8414-4708-A9D9-D854D68991D3}"/>
            </c:ext>
          </c:extLst>
        </c:ser>
        <c:ser>
          <c:idx val="6"/>
          <c:order val="6"/>
          <c:spPr>
            <a:ln>
              <a:solidFill>
                <a:srgbClr val="FFFF00"/>
              </a:solidFill>
            </a:ln>
          </c:spPr>
          <c:marker>
            <c:symbol val="none"/>
          </c:marker>
          <c:xVal>
            <c:numRef>
              <c:f>'Equivalence, Parallel'!$AD$16:$AD$17</c:f>
              <c:numCache>
                <c:formatCode>General</c:formatCode>
                <c:ptCount val="2"/>
                <c:pt idx="0">
                  <c:v>196.15197153020961</c:v>
                </c:pt>
                <c:pt idx="1">
                  <c:v>196.15197153020961</c:v>
                </c:pt>
              </c:numCache>
            </c:numRef>
          </c:xVal>
          <c:yVal>
            <c:numRef>
              <c:f>'Equivalence, Parallel'!$AE$16:$AE$17</c:f>
              <c:numCache>
                <c:formatCode>General</c:formatCode>
                <c:ptCount val="2"/>
                <c:pt idx="0">
                  <c:v>0</c:v>
                </c:pt>
                <c:pt idx="1">
                  <c:v>0</c:v>
                </c:pt>
              </c:numCache>
            </c:numRef>
          </c:yVal>
          <c:smooth val="0"/>
          <c:extLst>
            <c:ext xmlns:c16="http://schemas.microsoft.com/office/drawing/2014/chart" uri="{C3380CC4-5D6E-409C-BE32-E72D297353CC}">
              <c16:uniqueId val="{00000008-8414-4708-A9D9-D854D68991D3}"/>
            </c:ext>
          </c:extLst>
        </c:ser>
        <c:ser>
          <c:idx val="7"/>
          <c:order val="7"/>
          <c:tx>
            <c:strRef>
              <c:f>'Equivalence, Parallel'!$AD$19:$AD$20</c:f>
              <c:strCache>
                <c:ptCount val="2"/>
                <c:pt idx="0">
                  <c:v>203.8480285</c:v>
                </c:pt>
                <c:pt idx="1">
                  <c:v>203.8480285</c:v>
                </c:pt>
              </c:strCache>
            </c:strRef>
          </c:tx>
          <c:spPr>
            <a:ln>
              <a:solidFill>
                <a:srgbClr val="FFFF00"/>
              </a:solidFill>
            </a:ln>
          </c:spPr>
          <c:marker>
            <c:symbol val="none"/>
          </c:marker>
          <c:xVal>
            <c:numRef>
              <c:f>'Equivalence, Parallel'!$AD$19:$AD$20</c:f>
              <c:numCache>
                <c:formatCode>General</c:formatCode>
                <c:ptCount val="2"/>
                <c:pt idx="0">
                  <c:v>203.84802846979039</c:v>
                </c:pt>
                <c:pt idx="1">
                  <c:v>203.84802846979039</c:v>
                </c:pt>
              </c:numCache>
            </c:numRef>
          </c:xVal>
          <c:yVal>
            <c:numRef>
              <c:f>'Equivalence, Parallel'!$AE$19:$AE$20</c:f>
              <c:numCache>
                <c:formatCode>General</c:formatCode>
                <c:ptCount val="2"/>
                <c:pt idx="0">
                  <c:v>0</c:v>
                </c:pt>
                <c:pt idx="1">
                  <c:v>0</c:v>
                </c:pt>
              </c:numCache>
            </c:numRef>
          </c:yVal>
          <c:smooth val="0"/>
          <c:extLst>
            <c:ext xmlns:c16="http://schemas.microsoft.com/office/drawing/2014/chart" uri="{C3380CC4-5D6E-409C-BE32-E72D297353CC}">
              <c16:uniqueId val="{00000009-8414-4708-A9D9-D854D68991D3}"/>
            </c:ext>
          </c:extLst>
        </c:ser>
        <c:ser>
          <c:idx val="8"/>
          <c:order val="8"/>
          <c:spPr>
            <a:ln>
              <a:solidFill>
                <a:srgbClr val="00B050"/>
              </a:solidFill>
            </a:ln>
          </c:spPr>
          <c:marker>
            <c:symbol val="none"/>
          </c:marker>
          <c:xVal>
            <c:numRef>
              <c:f>'Equivalence, Parallel'!$AD$24:$AD$25</c:f>
              <c:numCache>
                <c:formatCode>General</c:formatCode>
                <c:ptCount val="2"/>
                <c:pt idx="0">
                  <c:v>196.15197153020961</c:v>
                </c:pt>
                <c:pt idx="1">
                  <c:v>196.15197153020961</c:v>
                </c:pt>
              </c:numCache>
            </c:numRef>
          </c:xVal>
          <c:yVal>
            <c:numRef>
              <c:f>'Equivalence, Parallel'!$AE$24:$AE$25</c:f>
              <c:numCache>
                <c:formatCode>General</c:formatCode>
                <c:ptCount val="2"/>
                <c:pt idx="0">
                  <c:v>0</c:v>
                </c:pt>
                <c:pt idx="1">
                  <c:v>0</c:v>
                </c:pt>
              </c:numCache>
            </c:numRef>
          </c:yVal>
          <c:smooth val="0"/>
          <c:extLst>
            <c:ext xmlns:c16="http://schemas.microsoft.com/office/drawing/2014/chart" uri="{C3380CC4-5D6E-409C-BE32-E72D297353CC}">
              <c16:uniqueId val="{0000000A-8414-4708-A9D9-D854D68991D3}"/>
            </c:ext>
          </c:extLst>
        </c:ser>
        <c:ser>
          <c:idx val="9"/>
          <c:order val="9"/>
          <c:spPr>
            <a:ln>
              <a:solidFill>
                <a:srgbClr val="00B050"/>
              </a:solidFill>
            </a:ln>
          </c:spPr>
          <c:marker>
            <c:symbol val="none"/>
          </c:marker>
          <c:xVal>
            <c:numRef>
              <c:f>'Equivalence, Parallel'!$AD$27:$AD$28</c:f>
              <c:numCache>
                <c:formatCode>General</c:formatCode>
                <c:ptCount val="2"/>
                <c:pt idx="0">
                  <c:v>203.84802846979039</c:v>
                </c:pt>
                <c:pt idx="1">
                  <c:v>203.84802846979039</c:v>
                </c:pt>
              </c:numCache>
            </c:numRef>
          </c:xVal>
          <c:yVal>
            <c:numRef>
              <c:f>'Equivalence, Parallel'!$AE$27:$AE$28</c:f>
              <c:numCache>
                <c:formatCode>General</c:formatCode>
                <c:ptCount val="2"/>
                <c:pt idx="0">
                  <c:v>0</c:v>
                </c:pt>
                <c:pt idx="1">
                  <c:v>0</c:v>
                </c:pt>
              </c:numCache>
            </c:numRef>
          </c:yVal>
          <c:smooth val="0"/>
          <c:extLst>
            <c:ext xmlns:c16="http://schemas.microsoft.com/office/drawing/2014/chart" uri="{C3380CC4-5D6E-409C-BE32-E72D297353CC}">
              <c16:uniqueId val="{0000000B-8414-4708-A9D9-D854D68991D3}"/>
            </c:ext>
          </c:extLst>
        </c:ser>
        <c:ser>
          <c:idx val="10"/>
          <c:order val="10"/>
          <c:spPr>
            <a:ln>
              <a:solidFill>
                <a:srgbClr val="FF0000"/>
              </a:solidFill>
            </a:ln>
          </c:spPr>
          <c:marker>
            <c:symbol val="none"/>
          </c:marker>
          <c:xVal>
            <c:numRef>
              <c:f>'Equivalence, Parallel'!$Z$32:$Z$33</c:f>
              <c:numCache>
                <c:formatCode>General</c:formatCode>
                <c:ptCount val="2"/>
                <c:pt idx="0">
                  <c:v>195</c:v>
                </c:pt>
                <c:pt idx="1">
                  <c:v>195</c:v>
                </c:pt>
              </c:numCache>
            </c:numRef>
          </c:xVal>
          <c:yVal>
            <c:numRef>
              <c:f>'Equivalence, Parallel'!$AA$32:$AA$33</c:f>
              <c:numCache>
                <c:formatCode>General</c:formatCode>
                <c:ptCount val="2"/>
                <c:pt idx="0">
                  <c:v>0</c:v>
                </c:pt>
                <c:pt idx="1">
                  <c:v>7.9204462678126551E-3</c:v>
                </c:pt>
              </c:numCache>
            </c:numRef>
          </c:yVal>
          <c:smooth val="0"/>
          <c:extLst>
            <c:ext xmlns:c16="http://schemas.microsoft.com/office/drawing/2014/chart" uri="{C3380CC4-5D6E-409C-BE32-E72D297353CC}">
              <c16:uniqueId val="{0000000C-8414-4708-A9D9-D854D68991D3}"/>
            </c:ext>
          </c:extLst>
        </c:ser>
        <c:ser>
          <c:idx val="11"/>
          <c:order val="11"/>
          <c:tx>
            <c:strRef>
              <c:f>'Equivalence, Parallel'!$Z$35:$Z$36</c:f>
              <c:strCache>
                <c:ptCount val="2"/>
                <c:pt idx="0">
                  <c:v>205</c:v>
                </c:pt>
                <c:pt idx="1">
                  <c:v>205</c:v>
                </c:pt>
              </c:strCache>
            </c:strRef>
          </c:tx>
          <c:spPr>
            <a:ln>
              <a:solidFill>
                <a:srgbClr val="FF0000"/>
              </a:solidFill>
            </a:ln>
          </c:spPr>
          <c:marker>
            <c:symbol val="none"/>
          </c:marker>
          <c:xVal>
            <c:numRef>
              <c:f>'Equivalence, Parallel'!$Z$35:$Z$36</c:f>
              <c:numCache>
                <c:formatCode>General</c:formatCode>
                <c:ptCount val="2"/>
                <c:pt idx="0">
                  <c:v>205</c:v>
                </c:pt>
                <c:pt idx="1">
                  <c:v>205</c:v>
                </c:pt>
              </c:numCache>
            </c:numRef>
          </c:xVal>
          <c:yVal>
            <c:numRef>
              <c:f>'Equivalence, Parallel'!$AA$35:$AA$36</c:f>
              <c:numCache>
                <c:formatCode>General</c:formatCode>
                <c:ptCount val="2"/>
                <c:pt idx="0">
                  <c:v>0</c:v>
                </c:pt>
                <c:pt idx="1">
                  <c:v>7.9204462678126551E-3</c:v>
                </c:pt>
              </c:numCache>
            </c:numRef>
          </c:yVal>
          <c:smooth val="0"/>
          <c:extLst>
            <c:ext xmlns:c16="http://schemas.microsoft.com/office/drawing/2014/chart" uri="{C3380CC4-5D6E-409C-BE32-E72D297353CC}">
              <c16:uniqueId val="{0000000D-8414-4708-A9D9-D854D68991D3}"/>
            </c:ext>
          </c:extLst>
        </c:ser>
        <c:dLbls>
          <c:showLegendKey val="0"/>
          <c:showVal val="0"/>
          <c:showCatName val="0"/>
          <c:showSerName val="0"/>
          <c:showPercent val="0"/>
          <c:showBubbleSize val="0"/>
        </c:dLbls>
        <c:axId val="17415552"/>
        <c:axId val="17421440"/>
      </c:scatterChart>
      <c:valAx>
        <c:axId val="17415552"/>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7421440"/>
        <c:crosses val="autoZero"/>
        <c:crossBetween val="midCat"/>
      </c:valAx>
      <c:valAx>
        <c:axId val="1742144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741555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Crossover'!$V$14</c:f>
              <c:strCache>
                <c:ptCount val="1"/>
                <c:pt idx="0">
                  <c:v>Treatment A</c:v>
                </c:pt>
              </c:strCache>
            </c:strRef>
          </c:tx>
          <c:spPr>
            <a:ln w="28575">
              <a:solidFill>
                <a:srgbClr val="FFFF0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Crossover'!$V$15:$V$47</c:f>
              <c:numCache>
                <c:formatCode>General</c:formatCode>
                <c:ptCount val="33"/>
                <c:pt idx="0">
                  <c:v>6.6915112882442679E-6</c:v>
                </c:pt>
                <c:pt idx="1">
                  <c:v>1.7331644042574684E-5</c:v>
                </c:pt>
                <c:pt idx="2">
                  <c:v>4.226588447591253E-5</c:v>
                </c:pt>
                <c:pt idx="3">
                  <c:v>9.7045369327588643E-5</c:v>
                </c:pt>
                <c:pt idx="4">
                  <c:v>2.0979461060970466E-4</c:v>
                </c:pt>
                <c:pt idx="5">
                  <c:v>4.2702027167173346E-4</c:v>
                </c:pt>
                <c:pt idx="6">
                  <c:v>8.1834665642959705E-4</c:v>
                </c:pt>
                <c:pt idx="7">
                  <c:v>1.4765929376495469E-3</c:v>
                </c:pt>
                <c:pt idx="8">
                  <c:v>2.5085277881360035E-3</c:v>
                </c:pt>
                <c:pt idx="9">
                  <c:v>4.0124690951094319E-3</c:v>
                </c:pt>
                <c:pt idx="10">
                  <c:v>6.0428127835749435E-3</c:v>
                </c:pt>
                <c:pt idx="11">
                  <c:v>8.5684296023903657E-3</c:v>
                </c:pt>
                <c:pt idx="12">
                  <c:v>1.1439261324980412E-2</c:v>
                </c:pt>
                <c:pt idx="13">
                  <c:v>1.4379023204720835E-2</c:v>
                </c:pt>
                <c:pt idx="14">
                  <c:v>1.7017487588748541E-2</c:v>
                </c:pt>
                <c:pt idx="15">
                  <c:v>1.8962524515457917E-2</c:v>
                </c:pt>
                <c:pt idx="16">
                  <c:v>1.9894431016018829E-2</c:v>
                </c:pt>
                <c:pt idx="17">
                  <c:v>1.9651764227432034E-2</c:v>
                </c:pt>
                <c:pt idx="18">
                  <c:v>1.8277055140371014E-2</c:v>
                </c:pt>
                <c:pt idx="19">
                  <c:v>1.6004626883487763E-2</c:v>
                </c:pt>
                <c:pt idx="20">
                  <c:v>1.3195308262186515E-2</c:v>
                </c:pt>
                <c:pt idx="21">
                  <c:v>1.024302379926215E-2</c:v>
                </c:pt>
                <c:pt idx="22">
                  <c:v>7.4863732817872586E-3</c:v>
                </c:pt>
                <c:pt idx="23">
                  <c:v>5.1516865249838055E-3</c:v>
                </c:pt>
                <c:pt idx="24">
                  <c:v>3.3378132506082818E-3</c:v>
                </c:pt>
                <c:pt idx="25">
                  <c:v>2.0361477785416551E-3</c:v>
                </c:pt>
                <c:pt idx="26">
                  <c:v>1.1694757209192513E-3</c:v>
                </c:pt>
                <c:pt idx="27">
                  <c:v>6.3242318049965148E-4</c:v>
                </c:pt>
                <c:pt idx="28">
                  <c:v>3.2200232289244482E-4</c:v>
                </c:pt>
                <c:pt idx="29">
                  <c:v>1.5436359491899078E-4</c:v>
                </c:pt>
                <c:pt idx="30">
                  <c:v>6.9673145586174635E-5</c:v>
                </c:pt>
                <c:pt idx="31">
                  <c:v>2.9608786430913916E-5</c:v>
                </c:pt>
                <c:pt idx="32">
                  <c:v>1.1847056269290331E-5</c:v>
                </c:pt>
              </c:numCache>
            </c:numRef>
          </c:yVal>
          <c:smooth val="0"/>
          <c:extLst>
            <c:ext xmlns:c16="http://schemas.microsoft.com/office/drawing/2014/chart" uri="{C3380CC4-5D6E-409C-BE32-E72D297353CC}">
              <c16:uniqueId val="{00000000-34A1-4754-9638-10B62AB0402B}"/>
            </c:ext>
          </c:extLst>
        </c:ser>
        <c:ser>
          <c:idx val="1"/>
          <c:order val="1"/>
          <c:tx>
            <c:strRef>
              <c:f>'Equivalence, Crossover'!$W$14</c:f>
              <c:strCache>
                <c:ptCount val="1"/>
                <c:pt idx="0">
                  <c:v>Treatment B</c:v>
                </c:pt>
              </c:strCache>
            </c:strRef>
          </c:tx>
          <c:spPr>
            <a:ln w="28575">
              <a:solidFill>
                <a:srgbClr val="00B05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Crossover'!$W$15:$W$47</c:f>
              <c:numCache>
                <c:formatCode>General</c:formatCode>
                <c:ptCount val="33"/>
                <c:pt idx="0">
                  <c:v>4.4630828588566459E-6</c:v>
                </c:pt>
                <c:pt idx="1">
                  <c:v>1.1847056269290205E-5</c:v>
                </c:pt>
                <c:pt idx="2">
                  <c:v>2.9608786430913624E-5</c:v>
                </c:pt>
                <c:pt idx="3">
                  <c:v>6.9673145586173971E-5</c:v>
                </c:pt>
                <c:pt idx="4">
                  <c:v>1.5436359491898969E-4</c:v>
                </c:pt>
                <c:pt idx="5">
                  <c:v>3.2200232289244282E-4</c:v>
                </c:pt>
                <c:pt idx="6">
                  <c:v>6.3242318049964768E-4</c:v>
                </c:pt>
                <c:pt idx="7">
                  <c:v>1.1694757209192461E-3</c:v>
                </c:pt>
                <c:pt idx="8">
                  <c:v>2.0361477785416481E-3</c:v>
                </c:pt>
                <c:pt idx="9">
                  <c:v>3.3378132506082709E-3</c:v>
                </c:pt>
                <c:pt idx="10">
                  <c:v>5.1516865249837916E-3</c:v>
                </c:pt>
                <c:pt idx="11">
                  <c:v>7.4863732817872387E-3</c:v>
                </c:pt>
                <c:pt idx="12">
                  <c:v>1.0243023799262131E-2</c:v>
                </c:pt>
                <c:pt idx="13">
                  <c:v>1.3195308262186492E-2</c:v>
                </c:pt>
                <c:pt idx="14">
                  <c:v>1.6004626883487746E-2</c:v>
                </c:pt>
                <c:pt idx="15">
                  <c:v>1.8277055140371003E-2</c:v>
                </c:pt>
                <c:pt idx="16">
                  <c:v>1.9651764227432034E-2</c:v>
                </c:pt>
                <c:pt idx="17">
                  <c:v>1.9894431016018833E-2</c:v>
                </c:pt>
                <c:pt idx="18">
                  <c:v>1.8962524515457924E-2</c:v>
                </c:pt>
                <c:pt idx="19">
                  <c:v>1.7017487588748555E-2</c:v>
                </c:pt>
                <c:pt idx="20">
                  <c:v>1.4379023204720856E-2</c:v>
                </c:pt>
                <c:pt idx="21">
                  <c:v>1.1439261324980434E-2</c:v>
                </c:pt>
                <c:pt idx="22">
                  <c:v>8.5684296023903848E-3</c:v>
                </c:pt>
                <c:pt idx="23">
                  <c:v>6.0428127835749608E-3</c:v>
                </c:pt>
                <c:pt idx="24">
                  <c:v>4.0124690951094449E-3</c:v>
                </c:pt>
                <c:pt idx="25">
                  <c:v>2.5085277881360122E-3</c:v>
                </c:pt>
                <c:pt idx="26">
                  <c:v>1.4765929376495534E-3</c:v>
                </c:pt>
                <c:pt idx="27">
                  <c:v>8.1834665642960172E-4</c:v>
                </c:pt>
                <c:pt idx="28">
                  <c:v>4.2702027167173552E-4</c:v>
                </c:pt>
                <c:pt idx="29">
                  <c:v>2.0979461060970596E-4</c:v>
                </c:pt>
                <c:pt idx="30">
                  <c:v>9.7045369327589687E-5</c:v>
                </c:pt>
                <c:pt idx="31">
                  <c:v>4.2265884475912909E-5</c:v>
                </c:pt>
                <c:pt idx="32">
                  <c:v>1.733164404257488E-5</c:v>
                </c:pt>
              </c:numCache>
            </c:numRef>
          </c:yVal>
          <c:smooth val="0"/>
          <c:extLst>
            <c:ext xmlns:c16="http://schemas.microsoft.com/office/drawing/2014/chart" uri="{C3380CC4-5D6E-409C-BE32-E72D297353CC}">
              <c16:uniqueId val="{00000001-34A1-4754-9638-10B62AB0402B}"/>
            </c:ext>
          </c:extLst>
        </c:ser>
        <c:ser>
          <c:idx val="2"/>
          <c:order val="2"/>
          <c:spPr>
            <a:ln>
              <a:solidFill>
                <a:srgbClr val="FFFF00"/>
              </a:solidFill>
            </a:ln>
          </c:spPr>
          <c:marker>
            <c:symbol val="none"/>
          </c:marker>
          <c:xVal>
            <c:numRef>
              <c:f>'Equivalence, Crossover'!$Z$16:$Z$17</c:f>
              <c:numCache>
                <c:formatCode>General</c:formatCode>
                <c:ptCount val="2"/>
                <c:pt idx="0">
                  <c:v>60</c:v>
                </c:pt>
                <c:pt idx="1">
                  <c:v>60</c:v>
                </c:pt>
              </c:numCache>
            </c:numRef>
          </c:xVal>
          <c:yVal>
            <c:numRef>
              <c:f>'Equivalence, Crossover'!$AA$16:$AA$17</c:f>
              <c:numCache>
                <c:formatCode>General</c:formatCode>
                <c:ptCount val="2"/>
                <c:pt idx="0">
                  <c:v>0</c:v>
                </c:pt>
                <c:pt idx="1">
                  <c:v>1.9894431016018829E-2</c:v>
                </c:pt>
              </c:numCache>
            </c:numRef>
          </c:yVal>
          <c:smooth val="0"/>
          <c:extLst>
            <c:ext xmlns:c16="http://schemas.microsoft.com/office/drawing/2014/chart" uri="{C3380CC4-5D6E-409C-BE32-E72D297353CC}">
              <c16:uniqueId val="{00000002-34A1-4754-9638-10B62AB0402B}"/>
            </c:ext>
          </c:extLst>
        </c:ser>
        <c:ser>
          <c:idx val="3"/>
          <c:order val="3"/>
          <c:spPr>
            <a:ln>
              <a:solidFill>
                <a:srgbClr val="FFFF00"/>
              </a:solidFill>
            </a:ln>
          </c:spPr>
          <c:marker>
            <c:symbol val="none"/>
          </c:marker>
          <c:xVal>
            <c:numRef>
              <c:f>'Equivalence, Crossover'!$Z$19:$Z$20</c:f>
              <c:numCache>
                <c:formatCode>General</c:formatCode>
                <c:ptCount val="2"/>
                <c:pt idx="0">
                  <c:v>100</c:v>
                </c:pt>
                <c:pt idx="1">
                  <c:v>100</c:v>
                </c:pt>
              </c:numCache>
            </c:numRef>
          </c:xVal>
          <c:yVal>
            <c:numRef>
              <c:f>'Equivalence, Crossover'!$AA$19:$AA$20</c:f>
              <c:numCache>
                <c:formatCode>General</c:formatCode>
                <c:ptCount val="2"/>
                <c:pt idx="0">
                  <c:v>0</c:v>
                </c:pt>
                <c:pt idx="1">
                  <c:v>1.9894431016018829E-2</c:v>
                </c:pt>
              </c:numCache>
            </c:numRef>
          </c:yVal>
          <c:smooth val="0"/>
          <c:extLst>
            <c:ext xmlns:c16="http://schemas.microsoft.com/office/drawing/2014/chart" uri="{C3380CC4-5D6E-409C-BE32-E72D297353CC}">
              <c16:uniqueId val="{00000003-34A1-4754-9638-10B62AB0402B}"/>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34A1-4754-9638-10B62AB0402B}"/>
              </c:ext>
            </c:extLst>
          </c:dPt>
          <c:xVal>
            <c:numRef>
              <c:f>'Equivalence, Crossover'!$Z$24:$Z$25</c:f>
              <c:numCache>
                <c:formatCode>General</c:formatCode>
                <c:ptCount val="2"/>
                <c:pt idx="0">
                  <c:v>62</c:v>
                </c:pt>
                <c:pt idx="1">
                  <c:v>62</c:v>
                </c:pt>
              </c:numCache>
            </c:numRef>
          </c:xVal>
          <c:yVal>
            <c:numRef>
              <c:f>'Equivalence, Crossover'!$AA$24:$AA$25</c:f>
              <c:numCache>
                <c:formatCode>General</c:formatCode>
                <c:ptCount val="2"/>
                <c:pt idx="0">
                  <c:v>0</c:v>
                </c:pt>
                <c:pt idx="1">
                  <c:v>1.9894431016018833E-2</c:v>
                </c:pt>
              </c:numCache>
            </c:numRef>
          </c:yVal>
          <c:smooth val="0"/>
          <c:extLst>
            <c:ext xmlns:c16="http://schemas.microsoft.com/office/drawing/2014/chart" uri="{C3380CC4-5D6E-409C-BE32-E72D297353CC}">
              <c16:uniqueId val="{00000006-34A1-4754-9638-10B62AB0402B}"/>
            </c:ext>
          </c:extLst>
        </c:ser>
        <c:ser>
          <c:idx val="5"/>
          <c:order val="5"/>
          <c:spPr>
            <a:ln>
              <a:solidFill>
                <a:srgbClr val="00B050"/>
              </a:solidFill>
            </a:ln>
          </c:spPr>
          <c:marker>
            <c:symbol val="none"/>
          </c:marker>
          <c:xVal>
            <c:numRef>
              <c:f>'Equivalence, Crossover'!$Z$27:$Z$28</c:f>
              <c:numCache>
                <c:formatCode>General</c:formatCode>
                <c:ptCount val="2"/>
                <c:pt idx="0">
                  <c:v>102</c:v>
                </c:pt>
                <c:pt idx="1">
                  <c:v>102</c:v>
                </c:pt>
              </c:numCache>
            </c:numRef>
          </c:xVal>
          <c:yVal>
            <c:numRef>
              <c:f>'Equivalence, Crossover'!$AA$27:$AA$28</c:f>
              <c:numCache>
                <c:formatCode>General</c:formatCode>
                <c:ptCount val="2"/>
                <c:pt idx="0">
                  <c:v>0</c:v>
                </c:pt>
                <c:pt idx="1">
                  <c:v>1.9894431016018833E-2</c:v>
                </c:pt>
              </c:numCache>
            </c:numRef>
          </c:yVal>
          <c:smooth val="0"/>
          <c:extLst>
            <c:ext xmlns:c16="http://schemas.microsoft.com/office/drawing/2014/chart" uri="{C3380CC4-5D6E-409C-BE32-E72D297353CC}">
              <c16:uniqueId val="{00000007-34A1-4754-9638-10B62AB0402B}"/>
            </c:ext>
          </c:extLst>
        </c:ser>
        <c:ser>
          <c:idx val="6"/>
          <c:order val="6"/>
          <c:spPr>
            <a:ln>
              <a:solidFill>
                <a:srgbClr val="FFFF00"/>
              </a:solidFill>
            </a:ln>
          </c:spPr>
          <c:marker>
            <c:symbol val="none"/>
          </c:marker>
          <c:xVal>
            <c:numRef>
              <c:f>'Equivalence, Crossover'!$AD$16:$AD$17</c:f>
              <c:numCache>
                <c:formatCode>General</c:formatCode>
                <c:ptCount val="2"/>
                <c:pt idx="0">
                  <c:v>76.595283984193344</c:v>
                </c:pt>
                <c:pt idx="1">
                  <c:v>76.595283984193344</c:v>
                </c:pt>
              </c:numCache>
            </c:numRef>
          </c:xVal>
          <c:yVal>
            <c:numRef>
              <c:f>'Equivalence, Crossover'!$AE$16:$AE$17</c:f>
              <c:numCache>
                <c:formatCode>General</c:formatCode>
                <c:ptCount val="2"/>
                <c:pt idx="0">
                  <c:v>0</c:v>
                </c:pt>
                <c:pt idx="1">
                  <c:v>0</c:v>
                </c:pt>
              </c:numCache>
            </c:numRef>
          </c:yVal>
          <c:smooth val="0"/>
          <c:extLst>
            <c:ext xmlns:c16="http://schemas.microsoft.com/office/drawing/2014/chart" uri="{C3380CC4-5D6E-409C-BE32-E72D297353CC}">
              <c16:uniqueId val="{00000008-34A1-4754-9638-10B62AB0402B}"/>
            </c:ext>
          </c:extLst>
        </c:ser>
        <c:ser>
          <c:idx val="7"/>
          <c:order val="7"/>
          <c:spPr>
            <a:ln>
              <a:solidFill>
                <a:srgbClr val="FFFF00"/>
              </a:solidFill>
            </a:ln>
          </c:spPr>
          <c:marker>
            <c:symbol val="none"/>
          </c:marker>
          <c:xVal>
            <c:numRef>
              <c:f>'Equivalence, Crossover'!$AD$19:$AD$20</c:f>
              <c:numCache>
                <c:formatCode>General</c:formatCode>
                <c:ptCount val="2"/>
                <c:pt idx="0">
                  <c:v>83.404716015806656</c:v>
                </c:pt>
                <c:pt idx="1">
                  <c:v>83.404716015806656</c:v>
                </c:pt>
              </c:numCache>
            </c:numRef>
          </c:xVal>
          <c:yVal>
            <c:numRef>
              <c:f>'Equivalence, Crossover'!$AE$19:$AE$20</c:f>
              <c:numCache>
                <c:formatCode>General</c:formatCode>
                <c:ptCount val="2"/>
                <c:pt idx="0">
                  <c:v>0</c:v>
                </c:pt>
                <c:pt idx="1">
                  <c:v>0</c:v>
                </c:pt>
              </c:numCache>
            </c:numRef>
          </c:yVal>
          <c:smooth val="0"/>
          <c:extLst>
            <c:ext xmlns:c16="http://schemas.microsoft.com/office/drawing/2014/chart" uri="{C3380CC4-5D6E-409C-BE32-E72D297353CC}">
              <c16:uniqueId val="{00000009-34A1-4754-9638-10B62AB0402B}"/>
            </c:ext>
          </c:extLst>
        </c:ser>
        <c:ser>
          <c:idx val="8"/>
          <c:order val="8"/>
          <c:spPr>
            <a:ln>
              <a:solidFill>
                <a:srgbClr val="00B050"/>
              </a:solidFill>
            </a:ln>
          </c:spPr>
          <c:marker>
            <c:symbol val="none"/>
          </c:marker>
          <c:xVal>
            <c:numRef>
              <c:f>'Equivalence, Crossover'!$AD$24:$AD$25</c:f>
              <c:numCache>
                <c:formatCode>General</c:formatCode>
                <c:ptCount val="2"/>
                <c:pt idx="0">
                  <c:v>78.595283984193344</c:v>
                </c:pt>
                <c:pt idx="1">
                  <c:v>78.595283984193344</c:v>
                </c:pt>
              </c:numCache>
            </c:numRef>
          </c:xVal>
          <c:yVal>
            <c:numRef>
              <c:f>'Equivalence, Crossover'!$AE$24:$AE$25</c:f>
              <c:numCache>
                <c:formatCode>General</c:formatCode>
                <c:ptCount val="2"/>
                <c:pt idx="0">
                  <c:v>0</c:v>
                </c:pt>
                <c:pt idx="1">
                  <c:v>0</c:v>
                </c:pt>
              </c:numCache>
            </c:numRef>
          </c:yVal>
          <c:smooth val="0"/>
          <c:extLst>
            <c:ext xmlns:c16="http://schemas.microsoft.com/office/drawing/2014/chart" uri="{C3380CC4-5D6E-409C-BE32-E72D297353CC}">
              <c16:uniqueId val="{0000000A-34A1-4754-9638-10B62AB0402B}"/>
            </c:ext>
          </c:extLst>
        </c:ser>
        <c:ser>
          <c:idx val="9"/>
          <c:order val="9"/>
          <c:spPr>
            <a:ln>
              <a:solidFill>
                <a:srgbClr val="00B050"/>
              </a:solidFill>
            </a:ln>
          </c:spPr>
          <c:marker>
            <c:symbol val="none"/>
          </c:marker>
          <c:xVal>
            <c:numRef>
              <c:f>'Equivalence, Crossover'!$AD$27:$AD$28</c:f>
              <c:numCache>
                <c:formatCode>General</c:formatCode>
                <c:ptCount val="2"/>
                <c:pt idx="0">
                  <c:v>85.404716015806656</c:v>
                </c:pt>
                <c:pt idx="1">
                  <c:v>85.404716015806656</c:v>
                </c:pt>
              </c:numCache>
            </c:numRef>
          </c:xVal>
          <c:yVal>
            <c:numRef>
              <c:f>'Equivalence, Crossover'!$AE$27:$AE$28</c:f>
              <c:numCache>
                <c:formatCode>General</c:formatCode>
                <c:ptCount val="2"/>
                <c:pt idx="0">
                  <c:v>0</c:v>
                </c:pt>
                <c:pt idx="1">
                  <c:v>0</c:v>
                </c:pt>
              </c:numCache>
            </c:numRef>
          </c:yVal>
          <c:smooth val="0"/>
          <c:extLst>
            <c:ext xmlns:c16="http://schemas.microsoft.com/office/drawing/2014/chart" uri="{C3380CC4-5D6E-409C-BE32-E72D297353CC}">
              <c16:uniqueId val="{0000000B-34A1-4754-9638-10B62AB0402B}"/>
            </c:ext>
          </c:extLst>
        </c:ser>
        <c:ser>
          <c:idx val="10"/>
          <c:order val="10"/>
          <c:spPr>
            <a:ln>
              <a:solidFill>
                <a:srgbClr val="FF0000"/>
              </a:solidFill>
            </a:ln>
          </c:spPr>
          <c:marker>
            <c:symbol val="none"/>
          </c:marker>
          <c:xVal>
            <c:numRef>
              <c:f>'Equivalence, Crossover'!$Z$32:$Z$33</c:f>
              <c:numCache>
                <c:formatCode>General</c:formatCode>
                <c:ptCount val="2"/>
                <c:pt idx="0">
                  <c:v>76</c:v>
                </c:pt>
                <c:pt idx="1">
                  <c:v>76</c:v>
                </c:pt>
              </c:numCache>
            </c:numRef>
          </c:xVal>
          <c:yVal>
            <c:numRef>
              <c:f>'Equivalence, Crossover'!$AA$32:$AA$33</c:f>
              <c:numCache>
                <c:formatCode>General</c:formatCode>
                <c:ptCount val="2"/>
                <c:pt idx="0">
                  <c:v>0</c:v>
                </c:pt>
                <c:pt idx="1">
                  <c:v>1.9894431016018833E-2</c:v>
                </c:pt>
              </c:numCache>
            </c:numRef>
          </c:yVal>
          <c:smooth val="0"/>
          <c:extLst>
            <c:ext xmlns:c16="http://schemas.microsoft.com/office/drawing/2014/chart" uri="{C3380CC4-5D6E-409C-BE32-E72D297353CC}">
              <c16:uniqueId val="{0000000C-34A1-4754-9638-10B62AB0402B}"/>
            </c:ext>
          </c:extLst>
        </c:ser>
        <c:ser>
          <c:idx val="11"/>
          <c:order val="11"/>
          <c:spPr>
            <a:ln>
              <a:solidFill>
                <a:srgbClr val="FF0000"/>
              </a:solidFill>
            </a:ln>
          </c:spPr>
          <c:marker>
            <c:symbol val="none"/>
          </c:marker>
          <c:xVal>
            <c:numRef>
              <c:f>'Equivalence, Crossover'!$Z$35:$Z$36</c:f>
              <c:numCache>
                <c:formatCode>General</c:formatCode>
                <c:ptCount val="2"/>
                <c:pt idx="0">
                  <c:v>86</c:v>
                </c:pt>
                <c:pt idx="1">
                  <c:v>86</c:v>
                </c:pt>
              </c:numCache>
            </c:numRef>
          </c:xVal>
          <c:yVal>
            <c:numRef>
              <c:f>'Equivalence, Crossover'!$AA$35:$AA$36</c:f>
              <c:numCache>
                <c:formatCode>General</c:formatCode>
                <c:ptCount val="2"/>
                <c:pt idx="0">
                  <c:v>0</c:v>
                </c:pt>
                <c:pt idx="1">
                  <c:v>1.9894431016018833E-2</c:v>
                </c:pt>
              </c:numCache>
            </c:numRef>
          </c:yVal>
          <c:smooth val="0"/>
          <c:extLst>
            <c:ext xmlns:c16="http://schemas.microsoft.com/office/drawing/2014/chart" uri="{C3380CC4-5D6E-409C-BE32-E72D297353CC}">
              <c16:uniqueId val="{0000000D-34A1-4754-9638-10B62AB0402B}"/>
            </c:ext>
          </c:extLst>
        </c:ser>
        <c:dLbls>
          <c:showLegendKey val="0"/>
          <c:showVal val="0"/>
          <c:showCatName val="0"/>
          <c:showSerName val="0"/>
          <c:showPercent val="0"/>
          <c:showBubbleSize val="0"/>
        </c:dLbls>
        <c:axId val="130969600"/>
        <c:axId val="130971136"/>
      </c:scatterChart>
      <c:valAx>
        <c:axId val="130969600"/>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0971136"/>
        <c:crosses val="autoZero"/>
        <c:crossBetween val="midCat"/>
      </c:valAx>
      <c:valAx>
        <c:axId val="130971136"/>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0969600"/>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Parallel'!$V$14</c:f>
              <c:strCache>
                <c:ptCount val="1"/>
                <c:pt idx="0">
                  <c:v>Treatment A</c:v>
                </c:pt>
              </c:strCache>
            </c:strRef>
          </c:tx>
          <c:spPr>
            <a:ln w="28575">
              <a:solidFill>
                <a:srgbClr val="FFFF0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Parallel'!$V$15:$V$47</c:f>
              <c:numCache>
                <c:formatCode>General</c:formatCode>
                <c:ptCount val="33"/>
                <c:pt idx="0">
                  <c:v>3.3457556441221339E-6</c:v>
                </c:pt>
                <c:pt idx="1">
                  <c:v>8.5190969142286929E-6</c:v>
                </c:pt>
                <c:pt idx="2">
                  <c:v>2.0468577754506402E-5</c:v>
                </c:pt>
                <c:pt idx="3">
                  <c:v>4.6406257320390733E-5</c:v>
                </c:pt>
                <c:pt idx="4">
                  <c:v>9.9279638982201362E-5</c:v>
                </c:pt>
                <c:pt idx="5">
                  <c:v>2.0041886726227857E-4</c:v>
                </c:pt>
                <c:pt idx="6">
                  <c:v>3.8177878002529109E-4</c:v>
                </c:pt>
                <c:pt idx="7">
                  <c:v>6.8624585935270525E-4</c:v>
                </c:pt>
                <c:pt idx="8">
                  <c:v>1.1639717952255752E-3</c:v>
                </c:pt>
                <c:pt idx="9">
                  <c:v>1.8629446220754387E-3</c:v>
                </c:pt>
                <c:pt idx="10">
                  <c:v>2.8135342236326626E-3</c:v>
                </c:pt>
                <c:pt idx="11">
                  <c:v>4.0095831835479942E-3</c:v>
                </c:pt>
                <c:pt idx="12">
                  <c:v>5.3918899813496695E-3</c:v>
                </c:pt>
                <c:pt idx="13">
                  <c:v>6.8419135888044902E-3</c:v>
                </c:pt>
                <c:pt idx="14">
                  <c:v>8.1923578849734564E-3</c:v>
                </c:pt>
                <c:pt idx="15">
                  <c:v>9.2562487307598553E-3</c:v>
                </c:pt>
                <c:pt idx="16">
                  <c:v>9.8686076960690251E-3</c:v>
                </c:pt>
                <c:pt idx="17">
                  <c:v>9.928222971854481E-3</c:v>
                </c:pt>
                <c:pt idx="18">
                  <c:v>9.4250123504863344E-3</c:v>
                </c:pt>
                <c:pt idx="19">
                  <c:v>8.442811682249288E-3</c:v>
                </c:pt>
                <c:pt idx="20">
                  <c:v>7.1365291724601312E-3</c:v>
                </c:pt>
                <c:pt idx="21">
                  <c:v>5.692221050701155E-3</c:v>
                </c:pt>
                <c:pt idx="22">
                  <c:v>4.2842148011951924E-3</c:v>
                </c:pt>
                <c:pt idx="23">
                  <c:v>3.0426744393168489E-3</c:v>
                </c:pt>
                <c:pt idx="24">
                  <c:v>2.0390811202563391E-3</c:v>
                </c:pt>
                <c:pt idx="25">
                  <c:v>1.2894612322899865E-3</c:v>
                </c:pt>
                <c:pt idx="26">
                  <c:v>7.6944369311148962E-4</c:v>
                </c:pt>
                <c:pt idx="27">
                  <c:v>4.3325159224338357E-4</c:v>
                </c:pt>
                <c:pt idx="28">
                  <c:v>2.3019625784842962E-4</c:v>
                </c:pt>
                <c:pt idx="29">
                  <c:v>1.154120405725367E-4</c:v>
                </c:pt>
                <c:pt idx="30">
                  <c:v>5.4600767670238723E-5</c:v>
                </c:pt>
                <c:pt idx="31">
                  <c:v>2.437480480037758E-5</c:v>
                </c:pt>
                <c:pt idx="32">
                  <c:v>1.0267821561026163E-5</c:v>
                </c:pt>
              </c:numCache>
            </c:numRef>
          </c:yVal>
          <c:smooth val="0"/>
          <c:extLst>
            <c:ext xmlns:c16="http://schemas.microsoft.com/office/drawing/2014/chart" uri="{C3380CC4-5D6E-409C-BE32-E72D297353CC}">
              <c16:uniqueId val="{00000000-6272-4FF0-8F86-F6199285B9C3}"/>
            </c:ext>
          </c:extLst>
        </c:ser>
        <c:ser>
          <c:idx val="1"/>
          <c:order val="1"/>
          <c:tx>
            <c:strRef>
              <c:f>'Non-inferiority, Parallel'!$W$14</c:f>
              <c:strCache>
                <c:ptCount val="1"/>
                <c:pt idx="0">
                  <c:v>Treatment B</c:v>
                </c:pt>
              </c:strCache>
            </c:strRef>
          </c:tx>
          <c:spPr>
            <a:ln w="28575">
              <a:solidFill>
                <a:srgbClr val="00B05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Parallel'!$W$15:$W$47</c:f>
              <c:numCache>
                <c:formatCode>General</c:formatCode>
                <c:ptCount val="33"/>
                <c:pt idx="0">
                  <c:v>4.0814102191560501E-6</c:v>
                </c:pt>
                <c:pt idx="1">
                  <c:v>1.0267821561026E-5</c:v>
                </c:pt>
                <c:pt idx="2">
                  <c:v>2.4374804800377278E-5</c:v>
                </c:pt>
                <c:pt idx="3">
                  <c:v>5.4600767670238093E-5</c:v>
                </c:pt>
                <c:pt idx="4">
                  <c:v>1.1541204057253558E-4</c:v>
                </c:pt>
                <c:pt idx="5">
                  <c:v>2.3019625784842797E-4</c:v>
                </c:pt>
                <c:pt idx="6">
                  <c:v>4.3325159224338075E-4</c:v>
                </c:pt>
                <c:pt idx="7">
                  <c:v>7.6944369311148593E-4</c:v>
                </c:pt>
                <c:pt idx="8">
                  <c:v>1.2894612322899819E-3</c:v>
                </c:pt>
                <c:pt idx="9">
                  <c:v>2.0390811202563343E-3</c:v>
                </c:pt>
                <c:pt idx="10">
                  <c:v>3.0426744393168446E-3</c:v>
                </c:pt>
                <c:pt idx="11">
                  <c:v>4.2842148011951872E-3</c:v>
                </c:pt>
                <c:pt idx="12">
                  <c:v>5.6922210507011541E-3</c:v>
                </c:pt>
                <c:pt idx="13">
                  <c:v>7.1365291724601312E-3</c:v>
                </c:pt>
                <c:pt idx="14">
                  <c:v>8.442811682249288E-3</c:v>
                </c:pt>
                <c:pt idx="15">
                  <c:v>9.4250123504863344E-3</c:v>
                </c:pt>
                <c:pt idx="16">
                  <c:v>9.928222971854481E-3</c:v>
                </c:pt>
                <c:pt idx="17">
                  <c:v>9.8686076960690251E-3</c:v>
                </c:pt>
                <c:pt idx="18">
                  <c:v>9.2562487307598553E-3</c:v>
                </c:pt>
                <c:pt idx="19">
                  <c:v>8.1923578849734564E-3</c:v>
                </c:pt>
                <c:pt idx="20">
                  <c:v>6.8419135888044902E-3</c:v>
                </c:pt>
                <c:pt idx="21">
                  <c:v>5.3918899813496703E-3</c:v>
                </c:pt>
                <c:pt idx="22">
                  <c:v>4.0095831835479986E-3</c:v>
                </c:pt>
                <c:pt idx="23">
                  <c:v>2.8135342236326679E-3</c:v>
                </c:pt>
                <c:pt idx="24">
                  <c:v>1.8629446220754442E-3</c:v>
                </c:pt>
                <c:pt idx="25">
                  <c:v>1.16397179522558E-3</c:v>
                </c:pt>
                <c:pt idx="26">
                  <c:v>6.8624585935270883E-4</c:v>
                </c:pt>
                <c:pt idx="27">
                  <c:v>3.8177878002529332E-4</c:v>
                </c:pt>
                <c:pt idx="28">
                  <c:v>2.0041886726228031E-4</c:v>
                </c:pt>
                <c:pt idx="29">
                  <c:v>9.9279638982202243E-5</c:v>
                </c:pt>
                <c:pt idx="30">
                  <c:v>4.6406257320391309E-5</c:v>
                </c:pt>
                <c:pt idx="31">
                  <c:v>2.0468577754506673E-5</c:v>
                </c:pt>
                <c:pt idx="32">
                  <c:v>8.5190969142288216E-6</c:v>
                </c:pt>
              </c:numCache>
            </c:numRef>
          </c:yVal>
          <c:smooth val="0"/>
          <c:extLst>
            <c:ext xmlns:c16="http://schemas.microsoft.com/office/drawing/2014/chart" uri="{C3380CC4-5D6E-409C-BE32-E72D297353CC}">
              <c16:uniqueId val="{00000001-6272-4FF0-8F86-F6199285B9C3}"/>
            </c:ext>
          </c:extLst>
        </c:ser>
        <c:ser>
          <c:idx val="2"/>
          <c:order val="2"/>
          <c:spPr>
            <a:ln>
              <a:solidFill>
                <a:srgbClr val="FFFF00"/>
              </a:solidFill>
            </a:ln>
          </c:spPr>
          <c:marker>
            <c:symbol val="none"/>
          </c:marker>
          <c:xVal>
            <c:numRef>
              <c:f>'Non-inferiority, Parallel'!$Z$16:$Z$17</c:f>
              <c:numCache>
                <c:formatCode>General</c:formatCode>
                <c:ptCount val="2"/>
                <c:pt idx="0">
                  <c:v>120</c:v>
                </c:pt>
                <c:pt idx="1">
                  <c:v>120</c:v>
                </c:pt>
              </c:numCache>
            </c:numRef>
          </c:xVal>
          <c:yVal>
            <c:numRef>
              <c:f>'Non-inferiority, Parallel'!$AA$16:$AA$17</c:f>
              <c:numCache>
                <c:formatCode>General</c:formatCode>
                <c:ptCount val="2"/>
                <c:pt idx="0">
                  <c:v>0</c:v>
                </c:pt>
                <c:pt idx="1">
                  <c:v>9.928222971854481E-3</c:v>
                </c:pt>
              </c:numCache>
            </c:numRef>
          </c:yVal>
          <c:smooth val="0"/>
          <c:extLst>
            <c:ext xmlns:c16="http://schemas.microsoft.com/office/drawing/2014/chart" uri="{C3380CC4-5D6E-409C-BE32-E72D297353CC}">
              <c16:uniqueId val="{00000002-6272-4FF0-8F86-F6199285B9C3}"/>
            </c:ext>
          </c:extLst>
        </c:ser>
        <c:ser>
          <c:idx val="3"/>
          <c:order val="3"/>
          <c:spPr>
            <a:ln>
              <a:solidFill>
                <a:srgbClr val="FFFF00"/>
              </a:solidFill>
            </a:ln>
          </c:spPr>
          <c:marker>
            <c:symbol val="none"/>
          </c:marker>
          <c:xVal>
            <c:numRef>
              <c:f>'Non-inferiority, Parallel'!$Z$19:$Z$20</c:f>
              <c:numCache>
                <c:formatCode>General</c:formatCode>
                <c:ptCount val="2"/>
                <c:pt idx="0">
                  <c:v>200</c:v>
                </c:pt>
                <c:pt idx="1">
                  <c:v>200</c:v>
                </c:pt>
              </c:numCache>
            </c:numRef>
          </c:xVal>
          <c:yVal>
            <c:numRef>
              <c:f>'Non-inferiority, Parallel'!$AA$19:$AA$20</c:f>
              <c:numCache>
                <c:formatCode>General</c:formatCode>
                <c:ptCount val="2"/>
                <c:pt idx="0">
                  <c:v>0</c:v>
                </c:pt>
                <c:pt idx="1">
                  <c:v>9.928222971854481E-3</c:v>
                </c:pt>
              </c:numCache>
            </c:numRef>
          </c:yVal>
          <c:smooth val="0"/>
          <c:extLst>
            <c:ext xmlns:c16="http://schemas.microsoft.com/office/drawing/2014/chart" uri="{C3380CC4-5D6E-409C-BE32-E72D297353CC}">
              <c16:uniqueId val="{00000003-6272-4FF0-8F86-F6199285B9C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6272-4FF0-8F86-F6199285B9C3}"/>
              </c:ext>
            </c:extLst>
          </c:dPt>
          <c:xVal>
            <c:numRef>
              <c:f>'Non-inferiority, Parallel'!$Z$24:$Z$25</c:f>
              <c:numCache>
                <c:formatCode>General</c:formatCode>
                <c:ptCount val="2"/>
                <c:pt idx="0">
                  <c:v>118</c:v>
                </c:pt>
                <c:pt idx="1">
                  <c:v>118</c:v>
                </c:pt>
              </c:numCache>
            </c:numRef>
          </c:xVal>
          <c:yVal>
            <c:numRef>
              <c:f>'Non-inferiority, Parallel'!$AA$24:$AA$25</c:f>
              <c:numCache>
                <c:formatCode>General</c:formatCode>
                <c:ptCount val="2"/>
                <c:pt idx="0">
                  <c:v>0</c:v>
                </c:pt>
                <c:pt idx="1">
                  <c:v>9.928222971854481E-3</c:v>
                </c:pt>
              </c:numCache>
            </c:numRef>
          </c:yVal>
          <c:smooth val="0"/>
          <c:extLst>
            <c:ext xmlns:c16="http://schemas.microsoft.com/office/drawing/2014/chart" uri="{C3380CC4-5D6E-409C-BE32-E72D297353CC}">
              <c16:uniqueId val="{00000006-6272-4FF0-8F86-F6199285B9C3}"/>
            </c:ext>
          </c:extLst>
        </c:ser>
        <c:ser>
          <c:idx val="5"/>
          <c:order val="5"/>
          <c:spPr>
            <a:ln>
              <a:solidFill>
                <a:srgbClr val="00B050"/>
              </a:solidFill>
            </a:ln>
          </c:spPr>
          <c:marker>
            <c:symbol val="none"/>
          </c:marker>
          <c:xVal>
            <c:numRef>
              <c:f>'Non-inferiority, Parallel'!$Z$27:$Z$28</c:f>
              <c:numCache>
                <c:formatCode>General</c:formatCode>
                <c:ptCount val="2"/>
                <c:pt idx="0">
                  <c:v>198</c:v>
                </c:pt>
                <c:pt idx="1">
                  <c:v>198</c:v>
                </c:pt>
              </c:numCache>
            </c:numRef>
          </c:xVal>
          <c:yVal>
            <c:numRef>
              <c:f>'Non-inferiority, Parallel'!$AA$27:$AA$28</c:f>
              <c:numCache>
                <c:formatCode>General</c:formatCode>
                <c:ptCount val="2"/>
                <c:pt idx="0">
                  <c:v>0</c:v>
                </c:pt>
                <c:pt idx="1">
                  <c:v>9.928222971854481E-3</c:v>
                </c:pt>
              </c:numCache>
            </c:numRef>
          </c:yVal>
          <c:smooth val="0"/>
          <c:extLst>
            <c:ext xmlns:c16="http://schemas.microsoft.com/office/drawing/2014/chart" uri="{C3380CC4-5D6E-409C-BE32-E72D297353CC}">
              <c16:uniqueId val="{00000007-6272-4FF0-8F86-F6199285B9C3}"/>
            </c:ext>
          </c:extLst>
        </c:ser>
        <c:ser>
          <c:idx val="6"/>
          <c:order val="6"/>
          <c:spPr>
            <a:ln>
              <a:solidFill>
                <a:srgbClr val="FFFF00"/>
              </a:solidFill>
            </a:ln>
          </c:spPr>
          <c:marker>
            <c:symbol val="none"/>
          </c:marker>
          <c:xVal>
            <c:numRef>
              <c:f>'Non-inferiority, Parallel'!$AD$16:$AD$17</c:f>
              <c:numCache>
                <c:formatCode>General</c:formatCode>
                <c:ptCount val="2"/>
                <c:pt idx="0">
                  <c:v>154.85913918691094</c:v>
                </c:pt>
                <c:pt idx="1">
                  <c:v>154.85913918691094</c:v>
                </c:pt>
              </c:numCache>
            </c:numRef>
          </c:xVal>
          <c:yVal>
            <c:numRef>
              <c:f>'Non-inferiority,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6272-4FF0-8F86-F6199285B9C3}"/>
            </c:ext>
          </c:extLst>
        </c:ser>
        <c:ser>
          <c:idx val="7"/>
          <c:order val="7"/>
          <c:spPr>
            <a:ln>
              <a:solidFill>
                <a:srgbClr val="FFFF00"/>
              </a:solidFill>
            </a:ln>
          </c:spPr>
          <c:marker>
            <c:symbol val="none"/>
          </c:marker>
          <c:xVal>
            <c:numRef>
              <c:f>'Non-inferiority, Parallel'!$AD$19:$AD$20</c:f>
              <c:numCache>
                <c:formatCode>General</c:formatCode>
                <c:ptCount val="2"/>
                <c:pt idx="0">
                  <c:v>165.14086081308906</c:v>
                </c:pt>
                <c:pt idx="1">
                  <c:v>165.14086081308906</c:v>
                </c:pt>
              </c:numCache>
            </c:numRef>
          </c:xVal>
          <c:yVal>
            <c:numRef>
              <c:f>'Non-inferiority,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6272-4FF0-8F86-F6199285B9C3}"/>
            </c:ext>
          </c:extLst>
        </c:ser>
        <c:ser>
          <c:idx val="8"/>
          <c:order val="8"/>
          <c:spPr>
            <a:ln>
              <a:solidFill>
                <a:srgbClr val="00B050"/>
              </a:solidFill>
            </a:ln>
          </c:spPr>
          <c:marker>
            <c:symbol val="none"/>
          </c:marker>
          <c:xVal>
            <c:numRef>
              <c:f>'Non-inferiority, Parallel'!$AD$24:$AD$25</c:f>
              <c:numCache>
                <c:formatCode>General</c:formatCode>
                <c:ptCount val="2"/>
                <c:pt idx="0">
                  <c:v>152.85913918691094</c:v>
                </c:pt>
                <c:pt idx="1">
                  <c:v>152.85913918691094</c:v>
                </c:pt>
              </c:numCache>
            </c:numRef>
          </c:xVal>
          <c:yVal>
            <c:numRef>
              <c:f>'Non-inferiority,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6272-4FF0-8F86-F6199285B9C3}"/>
            </c:ext>
          </c:extLst>
        </c:ser>
        <c:ser>
          <c:idx val="9"/>
          <c:order val="9"/>
          <c:spPr>
            <a:ln>
              <a:solidFill>
                <a:srgbClr val="00B050"/>
              </a:solidFill>
            </a:ln>
          </c:spPr>
          <c:marker>
            <c:symbol val="none"/>
          </c:marker>
          <c:xVal>
            <c:numRef>
              <c:f>'Non-inferiority, Parallel'!$AD$27:$AD$28</c:f>
              <c:numCache>
                <c:formatCode>General</c:formatCode>
                <c:ptCount val="2"/>
                <c:pt idx="0">
                  <c:v>163.14086081308906</c:v>
                </c:pt>
                <c:pt idx="1">
                  <c:v>163.14086081308906</c:v>
                </c:pt>
              </c:numCache>
            </c:numRef>
          </c:xVal>
          <c:yVal>
            <c:numRef>
              <c:f>'Non-inferiority,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6272-4FF0-8F86-F6199285B9C3}"/>
            </c:ext>
          </c:extLst>
        </c:ser>
        <c:ser>
          <c:idx val="10"/>
          <c:order val="10"/>
          <c:spPr>
            <a:ln>
              <a:solidFill>
                <a:srgbClr val="FF0000"/>
              </a:solidFill>
            </a:ln>
          </c:spPr>
          <c:marker>
            <c:symbol val="none"/>
          </c:marker>
          <c:xVal>
            <c:numRef>
              <c:f>'Non-inferiority, Parallel'!$Z$32:$Z$33</c:f>
              <c:numCache>
                <c:formatCode>General</c:formatCode>
                <c:ptCount val="2"/>
                <c:pt idx="0">
                  <c:v>148</c:v>
                </c:pt>
                <c:pt idx="1">
                  <c:v>148</c:v>
                </c:pt>
              </c:numCache>
            </c:numRef>
          </c:xVal>
          <c:yVal>
            <c:numRef>
              <c:f>'Non-inferiority, Parallel'!$AA$32:$AA$33</c:f>
              <c:numCache>
                <c:formatCode>General</c:formatCode>
                <c:ptCount val="2"/>
                <c:pt idx="0">
                  <c:v>0</c:v>
                </c:pt>
                <c:pt idx="1">
                  <c:v>9.928222971854481E-3</c:v>
                </c:pt>
              </c:numCache>
            </c:numRef>
          </c:yVal>
          <c:smooth val="0"/>
          <c:extLst>
            <c:ext xmlns:c16="http://schemas.microsoft.com/office/drawing/2014/chart" uri="{C3380CC4-5D6E-409C-BE32-E72D297353CC}">
              <c16:uniqueId val="{0000000C-6272-4FF0-8F86-F6199285B9C3}"/>
            </c:ext>
          </c:extLst>
        </c:ser>
        <c:dLbls>
          <c:showLegendKey val="0"/>
          <c:showVal val="0"/>
          <c:showCatName val="0"/>
          <c:showSerName val="0"/>
          <c:showPercent val="0"/>
          <c:showBubbleSize val="0"/>
        </c:dLbls>
        <c:axId val="131111168"/>
        <c:axId val="131129344"/>
      </c:scatterChart>
      <c:valAx>
        <c:axId val="13111116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129344"/>
        <c:crosses val="autoZero"/>
        <c:crossBetween val="midCat"/>
      </c:valAx>
      <c:valAx>
        <c:axId val="131129344"/>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11116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Crossover'!$V$14</c:f>
              <c:strCache>
                <c:ptCount val="1"/>
                <c:pt idx="0">
                  <c:v>Treatment A</c:v>
                </c:pt>
              </c:strCache>
            </c:strRef>
          </c:tx>
          <c:spPr>
            <a:ln w="28575">
              <a:solidFill>
                <a:srgbClr val="FFFF0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Crossover'!$V$15:$V$47</c:f>
              <c:numCache>
                <c:formatCode>General</c:formatCode>
                <c:ptCount val="33"/>
                <c:pt idx="0">
                  <c:v>6.6915112882442679E-6</c:v>
                </c:pt>
                <c:pt idx="1">
                  <c:v>1.6941407610670937E-5</c:v>
                </c:pt>
                <c:pt idx="2">
                  <c:v>4.0502850320500758E-5</c:v>
                </c:pt>
                <c:pt idx="3">
                  <c:v>9.1439217502151682E-5</c:v>
                </c:pt>
                <c:pt idx="4">
                  <c:v>1.9493518442765021E-4</c:v>
                </c:pt>
                <c:pt idx="5">
                  <c:v>3.92426913151595E-4</c:v>
                </c:pt>
                <c:pt idx="6">
                  <c:v>7.4599884259869123E-4</c:v>
                </c:pt>
                <c:pt idx="7">
                  <c:v>1.3391472742514188E-3</c:v>
                </c:pt>
                <c:pt idx="8">
                  <c:v>2.2700182471111548E-3</c:v>
                </c:pt>
                <c:pt idx="9">
                  <c:v>3.6336339386543325E-3</c:v>
                </c:pt>
                <c:pt idx="10">
                  <c:v>5.4924209732535069E-3</c:v>
                </c:pt>
                <c:pt idx="11">
                  <c:v>7.8396609192754318E-3</c:v>
                </c:pt>
                <c:pt idx="12">
                  <c:v>1.0566753093708884E-2</c:v>
                </c:pt>
                <c:pt idx="13">
                  <c:v>1.344920640875991E-2</c:v>
                </c:pt>
                <c:pt idx="14">
                  <c:v>1.6164511205090763E-2</c:v>
                </c:pt>
                <c:pt idx="15">
                  <c:v>1.834591229138861E-2</c:v>
                </c:pt>
                <c:pt idx="16">
                  <c:v>1.9661962691716266E-2</c:v>
                </c:pt>
                <c:pt idx="17">
                  <c:v>1.9898724584214315E-2</c:v>
                </c:pt>
                <c:pt idx="18">
                  <c:v>1.9016668369460466E-2</c:v>
                </c:pt>
                <c:pt idx="19">
                  <c:v>1.7161468335135838E-2</c:v>
                </c:pt>
                <c:pt idx="20">
                  <c:v>1.4624642962929837E-2</c:v>
                </c:pt>
                <c:pt idx="21">
                  <c:v>1.176865738855151E-2</c:v>
                </c:pt>
                <c:pt idx="22">
                  <c:v>8.9429208247270523E-3</c:v>
                </c:pt>
                <c:pt idx="23">
                  <c:v>6.4171570829679369E-3</c:v>
                </c:pt>
                <c:pt idx="24">
                  <c:v>4.3482727057223731E-3</c:v>
                </c:pt>
                <c:pt idx="25">
                  <c:v>2.7822855168983412E-3</c:v>
                </c:pt>
                <c:pt idx="26">
                  <c:v>1.6811150463606796E-3</c:v>
                </c:pt>
                <c:pt idx="27">
                  <c:v>9.5918856772457572E-4</c:v>
                </c:pt>
                <c:pt idx="28">
                  <c:v>5.1679865073369822E-4</c:v>
                </c:pt>
                <c:pt idx="29">
                  <c:v>2.6293570641791332E-4</c:v>
                </c:pt>
                <c:pt idx="30">
                  <c:v>1.263247889051985E-4</c:v>
                </c:pt>
                <c:pt idx="31">
                  <c:v>5.7311056432338715E-5</c:v>
                </c:pt>
                <c:pt idx="32">
                  <c:v>2.4552689145403606E-5</c:v>
                </c:pt>
              </c:numCache>
            </c:numRef>
          </c:yVal>
          <c:smooth val="0"/>
          <c:extLst>
            <c:ext xmlns:c16="http://schemas.microsoft.com/office/drawing/2014/chart" uri="{C3380CC4-5D6E-409C-BE32-E72D297353CC}">
              <c16:uniqueId val="{00000000-9691-48AB-9DA8-8576BB330780}"/>
            </c:ext>
          </c:extLst>
        </c:ser>
        <c:ser>
          <c:idx val="1"/>
          <c:order val="1"/>
          <c:tx>
            <c:strRef>
              <c:f>'Non-inferiority, Crossover'!$W$14</c:f>
              <c:strCache>
                <c:ptCount val="1"/>
                <c:pt idx="0">
                  <c:v>Treatment B</c:v>
                </c:pt>
              </c:strCache>
            </c:strRef>
          </c:tx>
          <c:spPr>
            <a:ln w="28575">
              <a:solidFill>
                <a:srgbClr val="00B05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Crossover'!$W$15:$W$47</c:f>
              <c:numCache>
                <c:formatCode>General</c:formatCode>
                <c:ptCount val="33"/>
                <c:pt idx="0">
                  <c:v>9.9327735696386359E-6</c:v>
                </c:pt>
                <c:pt idx="1">
                  <c:v>2.4552689145403102E-5</c:v>
                </c:pt>
                <c:pt idx="2">
                  <c:v>5.7311056432337753E-5</c:v>
                </c:pt>
                <c:pt idx="3">
                  <c:v>1.2632478890519657E-4</c:v>
                </c:pt>
                <c:pt idx="4">
                  <c:v>2.6293570641790979E-4</c:v>
                </c:pt>
                <c:pt idx="5">
                  <c:v>5.1679865073369193E-4</c:v>
                </c:pt>
                <c:pt idx="6">
                  <c:v>9.5918856772456726E-4</c:v>
                </c:pt>
                <c:pt idx="7">
                  <c:v>1.6811150463606661E-3</c:v>
                </c:pt>
                <c:pt idx="8">
                  <c:v>2.7822855168983234E-3</c:v>
                </c:pt>
                <c:pt idx="9">
                  <c:v>4.3482727057223506E-3</c:v>
                </c:pt>
                <c:pt idx="10">
                  <c:v>6.4171570829679144E-3</c:v>
                </c:pt>
                <c:pt idx="11">
                  <c:v>8.9429208247270298E-3</c:v>
                </c:pt>
                <c:pt idx="12">
                  <c:v>1.1768657388551491E-2</c:v>
                </c:pt>
                <c:pt idx="13">
                  <c:v>1.4624642962929819E-2</c:v>
                </c:pt>
                <c:pt idx="14">
                  <c:v>1.7161468335135825E-2</c:v>
                </c:pt>
                <c:pt idx="15">
                  <c:v>1.9016668369460459E-2</c:v>
                </c:pt>
                <c:pt idx="16">
                  <c:v>1.9898724584214312E-2</c:v>
                </c:pt>
                <c:pt idx="17">
                  <c:v>1.9661962691716269E-2</c:v>
                </c:pt>
                <c:pt idx="18">
                  <c:v>1.8345912291388617E-2</c:v>
                </c:pt>
                <c:pt idx="19">
                  <c:v>1.6164511205090777E-2</c:v>
                </c:pt>
                <c:pt idx="20">
                  <c:v>1.3449206408759923E-2</c:v>
                </c:pt>
                <c:pt idx="21">
                  <c:v>1.0566753093708905E-2</c:v>
                </c:pt>
                <c:pt idx="22">
                  <c:v>7.8396609192754544E-3</c:v>
                </c:pt>
                <c:pt idx="23">
                  <c:v>5.4924209732535294E-3</c:v>
                </c:pt>
                <c:pt idx="24">
                  <c:v>3.6336339386543498E-3</c:v>
                </c:pt>
                <c:pt idx="25">
                  <c:v>2.2700182471111709E-3</c:v>
                </c:pt>
                <c:pt idx="26">
                  <c:v>1.3391472742514297E-3</c:v>
                </c:pt>
                <c:pt idx="27">
                  <c:v>7.4599884259869784E-4</c:v>
                </c:pt>
                <c:pt idx="28">
                  <c:v>3.9242691315159988E-4</c:v>
                </c:pt>
                <c:pt idx="29">
                  <c:v>1.9493518442765262E-4</c:v>
                </c:pt>
                <c:pt idx="30">
                  <c:v>9.1439217502153241E-5</c:v>
                </c:pt>
                <c:pt idx="31">
                  <c:v>4.0502850320501477E-5</c:v>
                </c:pt>
                <c:pt idx="32">
                  <c:v>1.6941407610671282E-5</c:v>
                </c:pt>
              </c:numCache>
            </c:numRef>
          </c:yVal>
          <c:smooth val="0"/>
          <c:extLst>
            <c:ext xmlns:c16="http://schemas.microsoft.com/office/drawing/2014/chart" uri="{C3380CC4-5D6E-409C-BE32-E72D297353CC}">
              <c16:uniqueId val="{00000001-9691-48AB-9DA8-8576BB330780}"/>
            </c:ext>
          </c:extLst>
        </c:ser>
        <c:ser>
          <c:idx val="2"/>
          <c:order val="2"/>
          <c:spPr>
            <a:ln>
              <a:solidFill>
                <a:srgbClr val="FFFF00"/>
              </a:solidFill>
            </a:ln>
          </c:spPr>
          <c:marker>
            <c:symbol val="none"/>
          </c:marker>
          <c:xVal>
            <c:numRef>
              <c:f>'Non-inferiority, Crossover'!$Z$16:$Z$17</c:f>
              <c:numCache>
                <c:formatCode>General</c:formatCode>
                <c:ptCount val="2"/>
                <c:pt idx="0">
                  <c:v>60</c:v>
                </c:pt>
                <c:pt idx="1">
                  <c:v>60</c:v>
                </c:pt>
              </c:numCache>
            </c:numRef>
          </c:xVal>
          <c:yVal>
            <c:numRef>
              <c:f>'Non-inferiority, Crossover'!$AA$16:$AA$17</c:f>
              <c:numCache>
                <c:formatCode>General</c:formatCode>
                <c:ptCount val="2"/>
                <c:pt idx="0">
                  <c:v>0</c:v>
                </c:pt>
                <c:pt idx="1">
                  <c:v>1.9898724584214315E-2</c:v>
                </c:pt>
              </c:numCache>
            </c:numRef>
          </c:yVal>
          <c:smooth val="0"/>
          <c:extLst>
            <c:ext xmlns:c16="http://schemas.microsoft.com/office/drawing/2014/chart" uri="{C3380CC4-5D6E-409C-BE32-E72D297353CC}">
              <c16:uniqueId val="{00000002-9691-48AB-9DA8-8576BB330780}"/>
            </c:ext>
          </c:extLst>
        </c:ser>
        <c:ser>
          <c:idx val="3"/>
          <c:order val="3"/>
          <c:spPr>
            <a:ln>
              <a:solidFill>
                <a:srgbClr val="FFFF00"/>
              </a:solidFill>
            </a:ln>
          </c:spPr>
          <c:marker>
            <c:symbol val="none"/>
          </c:marker>
          <c:xVal>
            <c:numRef>
              <c:f>'Non-inferiority, Crossover'!$Z$19:$Z$20</c:f>
              <c:numCache>
                <c:formatCode>General</c:formatCode>
                <c:ptCount val="2"/>
                <c:pt idx="0">
                  <c:v>100</c:v>
                </c:pt>
                <c:pt idx="1">
                  <c:v>100</c:v>
                </c:pt>
              </c:numCache>
            </c:numRef>
          </c:xVal>
          <c:yVal>
            <c:numRef>
              <c:f>'Non-inferiority, Crossover'!$AA$19:$AA$20</c:f>
              <c:numCache>
                <c:formatCode>General</c:formatCode>
                <c:ptCount val="2"/>
                <c:pt idx="0">
                  <c:v>0</c:v>
                </c:pt>
                <c:pt idx="1">
                  <c:v>1.9898724584214315E-2</c:v>
                </c:pt>
              </c:numCache>
            </c:numRef>
          </c:yVal>
          <c:smooth val="0"/>
          <c:extLst>
            <c:ext xmlns:c16="http://schemas.microsoft.com/office/drawing/2014/chart" uri="{C3380CC4-5D6E-409C-BE32-E72D297353CC}">
              <c16:uniqueId val="{00000003-9691-48AB-9DA8-8576BB330780}"/>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9691-48AB-9DA8-8576BB330780}"/>
              </c:ext>
            </c:extLst>
          </c:dPt>
          <c:xVal>
            <c:numRef>
              <c:f>'Non-inferiority, Crossover'!$Z$24:$Z$25</c:f>
              <c:numCache>
                <c:formatCode>General</c:formatCode>
                <c:ptCount val="2"/>
                <c:pt idx="0">
                  <c:v>58</c:v>
                </c:pt>
                <c:pt idx="1">
                  <c:v>58</c:v>
                </c:pt>
              </c:numCache>
            </c:numRef>
          </c:xVal>
          <c:yVal>
            <c:numRef>
              <c:f>'Non-inferiority, Crossover'!$AA$24:$AA$25</c:f>
              <c:numCache>
                <c:formatCode>General</c:formatCode>
                <c:ptCount val="2"/>
                <c:pt idx="0">
                  <c:v>0</c:v>
                </c:pt>
                <c:pt idx="1">
                  <c:v>1.9898724584214312E-2</c:v>
                </c:pt>
              </c:numCache>
            </c:numRef>
          </c:yVal>
          <c:smooth val="0"/>
          <c:extLst>
            <c:ext xmlns:c16="http://schemas.microsoft.com/office/drawing/2014/chart" uri="{C3380CC4-5D6E-409C-BE32-E72D297353CC}">
              <c16:uniqueId val="{00000006-9691-48AB-9DA8-8576BB330780}"/>
            </c:ext>
          </c:extLst>
        </c:ser>
        <c:ser>
          <c:idx val="5"/>
          <c:order val="5"/>
          <c:spPr>
            <a:ln>
              <a:solidFill>
                <a:srgbClr val="00B050"/>
              </a:solidFill>
            </a:ln>
          </c:spPr>
          <c:marker>
            <c:symbol val="none"/>
          </c:marker>
          <c:xVal>
            <c:numRef>
              <c:f>'Non-inferiority, Crossover'!$Z$27:$Z$28</c:f>
              <c:numCache>
                <c:formatCode>General</c:formatCode>
                <c:ptCount val="2"/>
                <c:pt idx="0">
                  <c:v>98</c:v>
                </c:pt>
                <c:pt idx="1">
                  <c:v>98</c:v>
                </c:pt>
              </c:numCache>
            </c:numRef>
          </c:xVal>
          <c:yVal>
            <c:numRef>
              <c:f>'Non-inferiority, Crossover'!$AA$27:$AA$28</c:f>
              <c:numCache>
                <c:formatCode>General</c:formatCode>
                <c:ptCount val="2"/>
                <c:pt idx="0">
                  <c:v>0</c:v>
                </c:pt>
                <c:pt idx="1">
                  <c:v>1.9898724584214312E-2</c:v>
                </c:pt>
              </c:numCache>
            </c:numRef>
          </c:yVal>
          <c:smooth val="0"/>
          <c:extLst>
            <c:ext xmlns:c16="http://schemas.microsoft.com/office/drawing/2014/chart" uri="{C3380CC4-5D6E-409C-BE32-E72D297353CC}">
              <c16:uniqueId val="{00000007-9691-48AB-9DA8-8576BB330780}"/>
            </c:ext>
          </c:extLst>
        </c:ser>
        <c:ser>
          <c:idx val="6"/>
          <c:order val="6"/>
          <c:spPr>
            <a:ln>
              <a:solidFill>
                <a:srgbClr val="FFFF00"/>
              </a:solidFill>
            </a:ln>
          </c:spPr>
          <c:marker>
            <c:symbol val="none"/>
          </c:marker>
          <c:xVal>
            <c:numRef>
              <c:f>'Non-inferiority, Crossover'!$AD$16:$AD$17</c:f>
              <c:numCache>
                <c:formatCode>General</c:formatCode>
                <c:ptCount val="2"/>
                <c:pt idx="0">
                  <c:v>74.875975900588656</c:v>
                </c:pt>
                <c:pt idx="1">
                  <c:v>74.875975900588656</c:v>
                </c:pt>
              </c:numCache>
            </c:numRef>
          </c:xVal>
          <c:yVal>
            <c:numRef>
              <c:f>'Non-inferiority,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9691-48AB-9DA8-8576BB330780}"/>
            </c:ext>
          </c:extLst>
        </c:ser>
        <c:ser>
          <c:idx val="7"/>
          <c:order val="7"/>
          <c:spPr>
            <a:ln>
              <a:solidFill>
                <a:srgbClr val="FFFF00"/>
              </a:solidFill>
            </a:ln>
          </c:spPr>
          <c:marker>
            <c:symbol val="none"/>
          </c:marker>
          <c:xVal>
            <c:numRef>
              <c:f>'Non-inferiority, Crossover'!$AD$19:$AD$20</c:f>
              <c:numCache>
                <c:formatCode>General</c:formatCode>
                <c:ptCount val="2"/>
                <c:pt idx="0">
                  <c:v>85.124024099411344</c:v>
                </c:pt>
                <c:pt idx="1">
                  <c:v>85.124024099411344</c:v>
                </c:pt>
              </c:numCache>
            </c:numRef>
          </c:xVal>
          <c:yVal>
            <c:numRef>
              <c:f>'Non-inferiority,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9691-48AB-9DA8-8576BB330780}"/>
            </c:ext>
          </c:extLst>
        </c:ser>
        <c:ser>
          <c:idx val="8"/>
          <c:order val="8"/>
          <c:spPr>
            <a:ln>
              <a:solidFill>
                <a:srgbClr val="00B050"/>
              </a:solidFill>
            </a:ln>
          </c:spPr>
          <c:marker>
            <c:symbol val="none"/>
          </c:marker>
          <c:xVal>
            <c:numRef>
              <c:f>'Non-inferiority, Crossover'!$AD$24:$AD$25</c:f>
              <c:numCache>
                <c:formatCode>General</c:formatCode>
                <c:ptCount val="2"/>
                <c:pt idx="0">
                  <c:v>72.875975900588656</c:v>
                </c:pt>
                <c:pt idx="1">
                  <c:v>72.875975900588656</c:v>
                </c:pt>
              </c:numCache>
            </c:numRef>
          </c:xVal>
          <c:yVal>
            <c:numRef>
              <c:f>'Non-inferiority,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9691-48AB-9DA8-8576BB330780}"/>
            </c:ext>
          </c:extLst>
        </c:ser>
        <c:ser>
          <c:idx val="9"/>
          <c:order val="9"/>
          <c:spPr>
            <a:ln>
              <a:solidFill>
                <a:srgbClr val="00B050"/>
              </a:solidFill>
            </a:ln>
          </c:spPr>
          <c:marker>
            <c:symbol val="none"/>
          </c:marker>
          <c:xVal>
            <c:numRef>
              <c:f>'Non-inferiority, Crossover'!$AD$27:$AD$28</c:f>
              <c:numCache>
                <c:formatCode>General</c:formatCode>
                <c:ptCount val="2"/>
                <c:pt idx="0">
                  <c:v>83.124024099411344</c:v>
                </c:pt>
                <c:pt idx="1">
                  <c:v>83.124024099411344</c:v>
                </c:pt>
              </c:numCache>
            </c:numRef>
          </c:xVal>
          <c:yVal>
            <c:numRef>
              <c:f>'Non-inferiority,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9691-48AB-9DA8-8576BB330780}"/>
            </c:ext>
          </c:extLst>
        </c:ser>
        <c:ser>
          <c:idx val="10"/>
          <c:order val="10"/>
          <c:spPr>
            <a:ln>
              <a:solidFill>
                <a:srgbClr val="FF0000"/>
              </a:solidFill>
            </a:ln>
          </c:spPr>
          <c:marker>
            <c:symbol val="none"/>
          </c:marker>
          <c:xVal>
            <c:numRef>
              <c:f>'Non-inferiority, Crossover'!$Z$32:$Z$33</c:f>
              <c:numCache>
                <c:formatCode>General</c:formatCode>
                <c:ptCount val="2"/>
                <c:pt idx="0">
                  <c:v>68</c:v>
                </c:pt>
                <c:pt idx="1">
                  <c:v>68</c:v>
                </c:pt>
              </c:numCache>
            </c:numRef>
          </c:xVal>
          <c:yVal>
            <c:numRef>
              <c:f>'Non-inferiority, Crossover'!$AA$32:$AA$33</c:f>
              <c:numCache>
                <c:formatCode>General</c:formatCode>
                <c:ptCount val="2"/>
                <c:pt idx="0">
                  <c:v>0</c:v>
                </c:pt>
                <c:pt idx="1">
                  <c:v>1.9898724584214315E-2</c:v>
                </c:pt>
              </c:numCache>
            </c:numRef>
          </c:yVal>
          <c:smooth val="0"/>
          <c:extLst>
            <c:ext xmlns:c16="http://schemas.microsoft.com/office/drawing/2014/chart" uri="{C3380CC4-5D6E-409C-BE32-E72D297353CC}">
              <c16:uniqueId val="{0000000C-9691-48AB-9DA8-8576BB330780}"/>
            </c:ext>
          </c:extLst>
        </c:ser>
        <c:dLbls>
          <c:showLegendKey val="0"/>
          <c:showVal val="0"/>
          <c:showCatName val="0"/>
          <c:showSerName val="0"/>
          <c:showPercent val="0"/>
          <c:showBubbleSize val="0"/>
        </c:dLbls>
        <c:axId val="131343104"/>
        <c:axId val="131344640"/>
      </c:scatterChart>
      <c:valAx>
        <c:axId val="131343104"/>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344640"/>
        <c:crosses val="autoZero"/>
        <c:crossBetween val="midCat"/>
      </c:valAx>
      <c:valAx>
        <c:axId val="13134464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343104"/>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Parallel'!$V$14</c:f>
              <c:strCache>
                <c:ptCount val="1"/>
                <c:pt idx="0">
                  <c:v>T/R</c:v>
                </c:pt>
              </c:strCache>
            </c:strRef>
          </c:tx>
          <c:spPr>
            <a:ln w="28575">
              <a:solidFill>
                <a:srgbClr val="FFFF00"/>
              </a:solidFill>
            </a:ln>
          </c:spPr>
          <c:marker>
            <c:symbol val="none"/>
          </c:marker>
          <c:xVal>
            <c:numRef>
              <c:f>'Bioequivalence, Parallel'!$U$15:$U$47</c:f>
              <c:numCache>
                <c:formatCode>General</c:formatCode>
                <c:ptCount val="33"/>
                <c:pt idx="0">
                  <c:v>0</c:v>
                </c:pt>
                <c:pt idx="1">
                  <c:v>0.11555714658408101</c:v>
                </c:pt>
                <c:pt idx="2">
                  <c:v>0.23111429316816201</c:v>
                </c:pt>
                <c:pt idx="3">
                  <c:v>0.34667143975224302</c:v>
                </c:pt>
                <c:pt idx="4">
                  <c:v>0.46222858633632402</c:v>
                </c:pt>
                <c:pt idx="5">
                  <c:v>0.57778573292040503</c:v>
                </c:pt>
                <c:pt idx="6">
                  <c:v>0.69334287950448603</c:v>
                </c:pt>
                <c:pt idx="7">
                  <c:v>0.80890002608856704</c:v>
                </c:pt>
                <c:pt idx="8">
                  <c:v>0.92445717267264804</c:v>
                </c:pt>
                <c:pt idx="9">
                  <c:v>1.040014319256729</c:v>
                </c:pt>
                <c:pt idx="10">
                  <c:v>1.1555714658408101</c:v>
                </c:pt>
                <c:pt idx="11">
                  <c:v>1.2711286124248911</c:v>
                </c:pt>
                <c:pt idx="12">
                  <c:v>1.3866857590089721</c:v>
                </c:pt>
                <c:pt idx="13">
                  <c:v>1.5022429055930531</c:v>
                </c:pt>
                <c:pt idx="14">
                  <c:v>1.6178000521771341</c:v>
                </c:pt>
                <c:pt idx="15">
                  <c:v>1.7333571987612151</c:v>
                </c:pt>
                <c:pt idx="16">
                  <c:v>1.8489143453452961</c:v>
                </c:pt>
                <c:pt idx="17">
                  <c:v>1.9644714919293771</c:v>
                </c:pt>
                <c:pt idx="18">
                  <c:v>2.0800286385134581</c:v>
                </c:pt>
                <c:pt idx="19">
                  <c:v>2.1955857850975393</c:v>
                </c:pt>
                <c:pt idx="20">
                  <c:v>2.3111429316816201</c:v>
                </c:pt>
                <c:pt idx="21">
                  <c:v>2.4267000782657009</c:v>
                </c:pt>
                <c:pt idx="22">
                  <c:v>2.5422572248497817</c:v>
                </c:pt>
                <c:pt idx="23">
                  <c:v>2.6578143714338625</c:v>
                </c:pt>
                <c:pt idx="24">
                  <c:v>2.7733715180179432</c:v>
                </c:pt>
                <c:pt idx="25">
                  <c:v>2.888928664602024</c:v>
                </c:pt>
                <c:pt idx="26">
                  <c:v>3.0044858111861048</c:v>
                </c:pt>
                <c:pt idx="27">
                  <c:v>3.1200429577701856</c:v>
                </c:pt>
                <c:pt idx="28">
                  <c:v>3.2356001043542664</c:v>
                </c:pt>
                <c:pt idx="29">
                  <c:v>3.3511572509383472</c:v>
                </c:pt>
                <c:pt idx="30">
                  <c:v>3.4667143975224279</c:v>
                </c:pt>
                <c:pt idx="31">
                  <c:v>3.5822715441065087</c:v>
                </c:pt>
                <c:pt idx="32">
                  <c:v>3.6978286906905895</c:v>
                </c:pt>
              </c:numCache>
            </c:numRef>
          </c:xVal>
          <c:yVal>
            <c:numRef>
              <c:f>'Bioequivalence, Parallel'!$V$15:$V$47</c:f>
              <c:numCache>
                <c:formatCode>General</c:formatCode>
                <c:ptCount val="33"/>
                <c:pt idx="0">
                  <c:v>0.22831135673627737</c:v>
                </c:pt>
                <c:pt idx="1">
                  <c:v>0.27065256559820106</c:v>
                </c:pt>
                <c:pt idx="2">
                  <c:v>0.314221086732277</c:v>
                </c:pt>
                <c:pt idx="3">
                  <c:v>0.35727041047792041</c:v>
                </c:pt>
                <c:pt idx="4">
                  <c:v>0.39782980438758542</c:v>
                </c:pt>
                <c:pt idx="5">
                  <c:v>0.4338465299206547</c:v>
                </c:pt>
                <c:pt idx="6">
                  <c:v>0.46335460617253399</c:v>
                </c:pt>
                <c:pt idx="7">
                  <c:v>0.48465130425812258</c:v>
                </c:pt>
                <c:pt idx="8">
                  <c:v>0.4964595069001882</c:v>
                </c:pt>
                <c:pt idx="9">
                  <c:v>0.49805444680287991</c:v>
                </c:pt>
                <c:pt idx="10">
                  <c:v>0.48933734016603508</c:v>
                </c:pt>
                <c:pt idx="11">
                  <c:v>0.47084551359267213</c:v>
                </c:pt>
                <c:pt idx="12">
                  <c:v>0.44369758091411332</c:v>
                </c:pt>
                <c:pt idx="13">
                  <c:v>0.40948144746086385</c:v>
                </c:pt>
                <c:pt idx="14">
                  <c:v>0.3701007313487899</c:v>
                </c:pt>
                <c:pt idx="15">
                  <c:v>0.32760023258826015</c:v>
                </c:pt>
                <c:pt idx="16">
                  <c:v>0.28399258718598064</c:v>
                </c:pt>
                <c:pt idx="17">
                  <c:v>0.24110618514069843</c:v>
                </c:pt>
                <c:pt idx="18">
                  <c:v>0.20046947062820525</c:v>
                </c:pt>
                <c:pt idx="19">
                  <c:v>0.16324003535956169</c:v>
                </c:pt>
                <c:pt idx="20">
                  <c:v>0.13017981841469306</c:v>
                </c:pt>
                <c:pt idx="21">
                  <c:v>0.10167148978353269</c:v>
                </c:pt>
                <c:pt idx="22">
                  <c:v>7.7766626143932732E-2</c:v>
                </c:pt>
                <c:pt idx="23">
                  <c:v>5.825401628546005E-2</c:v>
                </c:pt>
                <c:pt idx="24">
                  <c:v>4.2736311146241344E-2</c:v>
                </c:pt>
                <c:pt idx="25">
                  <c:v>3.0704832810818952E-2</c:v>
                </c:pt>
                <c:pt idx="26">
                  <c:v>2.1605035584469263E-2</c:v>
                </c:pt>
                <c:pt idx="27">
                  <c:v>1.4888185783989533E-2</c:v>
                </c:pt>
                <c:pt idx="28">
                  <c:v>1.0047710600097437E-2</c:v>
                </c:pt>
                <c:pt idx="29">
                  <c:v>6.640962083123661E-3</c:v>
                </c:pt>
                <c:pt idx="30">
                  <c:v>4.2986632849936453E-3</c:v>
                </c:pt>
                <c:pt idx="31">
                  <c:v>2.7250495290019753E-3</c:v>
                </c:pt>
                <c:pt idx="32">
                  <c:v>1.691819073603052E-3</c:v>
                </c:pt>
              </c:numCache>
            </c:numRef>
          </c:yVal>
          <c:smooth val="0"/>
          <c:extLst>
            <c:ext xmlns:c16="http://schemas.microsoft.com/office/drawing/2014/chart" uri="{C3380CC4-5D6E-409C-BE32-E72D297353CC}">
              <c16:uniqueId val="{00000000-E6A4-4B2A-9296-C2B4C99299BA}"/>
            </c:ext>
          </c:extLst>
        </c:ser>
        <c:ser>
          <c:idx val="2"/>
          <c:order val="1"/>
          <c:spPr>
            <a:ln>
              <a:solidFill>
                <a:srgbClr val="FFFF00"/>
              </a:solidFill>
            </a:ln>
          </c:spPr>
          <c:marker>
            <c:symbol val="none"/>
          </c:marker>
          <c:xVal>
            <c:numRef>
              <c:f>'Bioequivalence, Parallel'!$Z$16:$Z$17</c:f>
              <c:numCache>
                <c:formatCode>General</c:formatCode>
                <c:ptCount val="2"/>
                <c:pt idx="0">
                  <c:v>0.29665354068133176</c:v>
                </c:pt>
                <c:pt idx="1">
                  <c:v>0.29665354068133176</c:v>
                </c:pt>
              </c:numCache>
            </c:numRef>
          </c:xVal>
          <c:yVal>
            <c:numRef>
              <c:f>'Bioequivalence, Parallel'!$AA$16:$AA$17</c:f>
              <c:numCache>
                <c:formatCode>General</c:formatCode>
                <c:ptCount val="2"/>
                <c:pt idx="0">
                  <c:v>0</c:v>
                </c:pt>
                <c:pt idx="1">
                  <c:v>0</c:v>
                </c:pt>
              </c:numCache>
            </c:numRef>
          </c:yVal>
          <c:smooth val="0"/>
          <c:extLst>
            <c:ext xmlns:c16="http://schemas.microsoft.com/office/drawing/2014/chart" uri="{C3380CC4-5D6E-409C-BE32-E72D297353CC}">
              <c16:uniqueId val="{00000001-E6A4-4B2A-9296-C2B4C99299BA}"/>
            </c:ext>
          </c:extLst>
        </c:ser>
        <c:ser>
          <c:idx val="3"/>
          <c:order val="2"/>
          <c:spPr>
            <a:ln>
              <a:solidFill>
                <a:srgbClr val="FFFF00"/>
              </a:solidFill>
            </a:ln>
          </c:spPr>
          <c:marker>
            <c:symbol val="none"/>
          </c:marker>
          <c:xVal>
            <c:numRef>
              <c:f>'Bioequivalence, Parallel'!$Z$19:$Z$20</c:f>
              <c:numCache>
                <c:formatCode>General</c:formatCode>
                <c:ptCount val="2"/>
                <c:pt idx="0">
                  <c:v>1.7033464593186682</c:v>
                </c:pt>
                <c:pt idx="1">
                  <c:v>1.7033464593186682</c:v>
                </c:pt>
              </c:numCache>
            </c:numRef>
          </c:xVal>
          <c:yVal>
            <c:numRef>
              <c:f>'Bioequivalence, Parallel'!$AA$19:$AA$20</c:f>
              <c:numCache>
                <c:formatCode>General</c:formatCode>
                <c:ptCount val="2"/>
                <c:pt idx="0">
                  <c:v>0</c:v>
                </c:pt>
                <c:pt idx="1">
                  <c:v>0</c:v>
                </c:pt>
              </c:numCache>
            </c:numRef>
          </c:yVal>
          <c:smooth val="0"/>
          <c:extLst>
            <c:ext xmlns:c16="http://schemas.microsoft.com/office/drawing/2014/chart" uri="{C3380CC4-5D6E-409C-BE32-E72D297353CC}">
              <c16:uniqueId val="{00000002-E6A4-4B2A-9296-C2B4C99299BA}"/>
            </c:ext>
          </c:extLst>
        </c:ser>
        <c:ser>
          <c:idx val="6"/>
          <c:order val="3"/>
          <c:spPr>
            <a:ln>
              <a:solidFill>
                <a:srgbClr val="FFFF00"/>
              </a:solidFill>
            </a:ln>
          </c:spPr>
          <c:marker>
            <c:symbol val="none"/>
          </c:marker>
          <c:xVal>
            <c:numRef>
              <c:f>'Bioequivalence, Parallel'!$AD$16:$AD$17</c:f>
              <c:numCache>
                <c:formatCode>General</c:formatCode>
                <c:ptCount val="2"/>
                <c:pt idx="0">
                  <c:v>0.92094054279720083</c:v>
                </c:pt>
                <c:pt idx="1">
                  <c:v>0.92094054279720083</c:v>
                </c:pt>
              </c:numCache>
            </c:numRef>
          </c:xVal>
          <c:yVal>
            <c:numRef>
              <c:f>'Bioequivalence, Parallel'!$AE$16:$AE$17</c:f>
              <c:numCache>
                <c:formatCode>General</c:formatCode>
                <c:ptCount val="2"/>
                <c:pt idx="0">
                  <c:v>0</c:v>
                </c:pt>
                <c:pt idx="1">
                  <c:v>0.49805444680287991</c:v>
                </c:pt>
              </c:numCache>
            </c:numRef>
          </c:yVal>
          <c:smooth val="0"/>
          <c:extLst>
            <c:ext xmlns:c16="http://schemas.microsoft.com/office/drawing/2014/chart" uri="{C3380CC4-5D6E-409C-BE32-E72D297353CC}">
              <c16:uniqueId val="{00000003-E6A4-4B2A-9296-C2B4C99299BA}"/>
            </c:ext>
          </c:extLst>
        </c:ser>
        <c:ser>
          <c:idx val="7"/>
          <c:order val="4"/>
          <c:spPr>
            <a:ln>
              <a:solidFill>
                <a:srgbClr val="FFFF00"/>
              </a:solidFill>
            </a:ln>
          </c:spPr>
          <c:marker>
            <c:symbol val="none"/>
          </c:marker>
          <c:xVal>
            <c:numRef>
              <c:f>'Bioequivalence, Parallel'!$AD$19:$AD$20</c:f>
              <c:numCache>
                <c:formatCode>General</c:formatCode>
                <c:ptCount val="2"/>
                <c:pt idx="0">
                  <c:v>1.0790594572027992</c:v>
                </c:pt>
                <c:pt idx="1">
                  <c:v>1.0790594572027992</c:v>
                </c:pt>
              </c:numCache>
            </c:numRef>
          </c:xVal>
          <c:yVal>
            <c:numRef>
              <c:f>'Bioequivalence, Parallel'!$AE$19:$AE$20</c:f>
              <c:numCache>
                <c:formatCode>General</c:formatCode>
                <c:ptCount val="2"/>
                <c:pt idx="0">
                  <c:v>0</c:v>
                </c:pt>
                <c:pt idx="1">
                  <c:v>0.49805444680287991</c:v>
                </c:pt>
              </c:numCache>
            </c:numRef>
          </c:yVal>
          <c:smooth val="0"/>
          <c:extLst>
            <c:ext xmlns:c16="http://schemas.microsoft.com/office/drawing/2014/chart" uri="{C3380CC4-5D6E-409C-BE32-E72D297353CC}">
              <c16:uniqueId val="{00000004-E6A4-4B2A-9296-C2B4C99299BA}"/>
            </c:ext>
          </c:extLst>
        </c:ser>
        <c:ser>
          <c:idx val="10"/>
          <c:order val="5"/>
          <c:spPr>
            <a:ln>
              <a:solidFill>
                <a:srgbClr val="FF0000"/>
              </a:solidFill>
            </a:ln>
          </c:spPr>
          <c:marker>
            <c:symbol val="none"/>
          </c:marker>
          <c:xVal>
            <c:numRef>
              <c:f>'Bioequivalence, Parallel'!$Z$32:$Z$33</c:f>
              <c:numCache>
                <c:formatCode>0.0%</c:formatCode>
                <c:ptCount val="2"/>
                <c:pt idx="0">
                  <c:v>0.8</c:v>
                </c:pt>
                <c:pt idx="1">
                  <c:v>0.8</c:v>
                </c:pt>
              </c:numCache>
            </c:numRef>
          </c:xVal>
          <c:yVal>
            <c:numRef>
              <c:f>'Bioequivalence, Parallel'!$AA$32:$AA$33</c:f>
              <c:numCache>
                <c:formatCode>General</c:formatCode>
                <c:ptCount val="2"/>
                <c:pt idx="0">
                  <c:v>0</c:v>
                </c:pt>
                <c:pt idx="1">
                  <c:v>0.49805444680287991</c:v>
                </c:pt>
              </c:numCache>
            </c:numRef>
          </c:yVal>
          <c:smooth val="0"/>
          <c:extLst>
            <c:ext xmlns:c16="http://schemas.microsoft.com/office/drawing/2014/chart" uri="{C3380CC4-5D6E-409C-BE32-E72D297353CC}">
              <c16:uniqueId val="{00000005-E6A4-4B2A-9296-C2B4C99299BA}"/>
            </c:ext>
          </c:extLst>
        </c:ser>
        <c:ser>
          <c:idx val="11"/>
          <c:order val="6"/>
          <c:spPr>
            <a:ln>
              <a:solidFill>
                <a:srgbClr val="FF0000"/>
              </a:solidFill>
            </a:ln>
          </c:spPr>
          <c:marker>
            <c:symbol val="none"/>
          </c:marker>
          <c:xVal>
            <c:numRef>
              <c:f>'Bioequivalence, Parallel'!$Z$35:$Z$36</c:f>
              <c:numCache>
                <c:formatCode>0.0%</c:formatCode>
                <c:ptCount val="2"/>
                <c:pt idx="0">
                  <c:v>1.25</c:v>
                </c:pt>
                <c:pt idx="1">
                  <c:v>1.25</c:v>
                </c:pt>
              </c:numCache>
            </c:numRef>
          </c:xVal>
          <c:yVal>
            <c:numRef>
              <c:f>'Bioequivalence, Parallel'!$AA$35:$AA$36</c:f>
              <c:numCache>
                <c:formatCode>General</c:formatCode>
                <c:ptCount val="2"/>
                <c:pt idx="0">
                  <c:v>0</c:v>
                </c:pt>
                <c:pt idx="1">
                  <c:v>0.49805444680287991</c:v>
                </c:pt>
              </c:numCache>
            </c:numRef>
          </c:yVal>
          <c:smooth val="0"/>
          <c:extLst>
            <c:ext xmlns:c16="http://schemas.microsoft.com/office/drawing/2014/chart" uri="{C3380CC4-5D6E-409C-BE32-E72D297353CC}">
              <c16:uniqueId val="{00000006-E6A4-4B2A-9296-C2B4C99299BA}"/>
            </c:ext>
          </c:extLst>
        </c:ser>
        <c:dLbls>
          <c:showLegendKey val="0"/>
          <c:showVal val="0"/>
          <c:showCatName val="0"/>
          <c:showSerName val="0"/>
          <c:showPercent val="0"/>
          <c:showBubbleSize val="0"/>
        </c:dLbls>
        <c:axId val="131755008"/>
        <c:axId val="131769088"/>
      </c:scatterChart>
      <c:valAx>
        <c:axId val="131755008"/>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131769088"/>
        <c:crosses val="autoZero"/>
        <c:crossBetween val="midCat"/>
        <c:majorUnit val="0.2"/>
        <c:minorUnit val="0.1"/>
      </c:valAx>
      <c:valAx>
        <c:axId val="1317690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75500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Crossover'!$V$14</c:f>
              <c:strCache>
                <c:ptCount val="1"/>
                <c:pt idx="0">
                  <c:v>T/R</c:v>
                </c:pt>
              </c:strCache>
            </c:strRef>
          </c:tx>
          <c:spPr>
            <a:ln w="28575">
              <a:solidFill>
                <a:srgbClr val="FFFF00"/>
              </a:solidFill>
            </a:ln>
          </c:spPr>
          <c:marker>
            <c:symbol val="none"/>
          </c:marker>
          <c:xVal>
            <c:numRef>
              <c:f>'Bioequivalence, Crossover'!$U$15:$U$47</c:f>
              <c:numCache>
                <c:formatCode>General</c:formatCode>
                <c:ptCount val="33"/>
                <c:pt idx="0">
                  <c:v>0</c:v>
                </c:pt>
                <c:pt idx="1">
                  <c:v>5.8632809341726023E-2</c:v>
                </c:pt>
                <c:pt idx="2">
                  <c:v>0.11726561868345205</c:v>
                </c:pt>
                <c:pt idx="3">
                  <c:v>0.17589842802517808</c:v>
                </c:pt>
                <c:pt idx="4">
                  <c:v>0.23453123736690409</c:v>
                </c:pt>
                <c:pt idx="5">
                  <c:v>0.29316404670863011</c:v>
                </c:pt>
                <c:pt idx="6">
                  <c:v>0.35179685605035615</c:v>
                </c:pt>
                <c:pt idx="7">
                  <c:v>0.4104296653920822</c:v>
                </c:pt>
                <c:pt idx="8">
                  <c:v>0.46906247473380824</c:v>
                </c:pt>
                <c:pt idx="9">
                  <c:v>0.52769528407553423</c:v>
                </c:pt>
                <c:pt idx="10">
                  <c:v>0.58632809341726022</c:v>
                </c:pt>
                <c:pt idx="11">
                  <c:v>0.64496090275898621</c:v>
                </c:pt>
                <c:pt idx="12">
                  <c:v>0.7035937121007122</c:v>
                </c:pt>
                <c:pt idx="13">
                  <c:v>0.76222652144243819</c:v>
                </c:pt>
                <c:pt idx="14">
                  <c:v>0.82085933078416418</c:v>
                </c:pt>
                <c:pt idx="15">
                  <c:v>0.87949214012589016</c:v>
                </c:pt>
                <c:pt idx="16">
                  <c:v>0.93812494946761615</c:v>
                </c:pt>
                <c:pt idx="17">
                  <c:v>0.99675775880934214</c:v>
                </c:pt>
                <c:pt idx="18">
                  <c:v>1.0553905681510682</c:v>
                </c:pt>
                <c:pt idx="19">
                  <c:v>1.1140233774927943</c:v>
                </c:pt>
                <c:pt idx="20">
                  <c:v>1.1726561868345204</c:v>
                </c:pt>
                <c:pt idx="21">
                  <c:v>1.2312889961762465</c:v>
                </c:pt>
                <c:pt idx="22">
                  <c:v>1.2899218055179726</c:v>
                </c:pt>
                <c:pt idx="23">
                  <c:v>1.3485546148596987</c:v>
                </c:pt>
                <c:pt idx="24">
                  <c:v>1.4071874242014248</c:v>
                </c:pt>
                <c:pt idx="25">
                  <c:v>1.4658202335431509</c:v>
                </c:pt>
                <c:pt idx="26">
                  <c:v>1.524453042884877</c:v>
                </c:pt>
                <c:pt idx="27">
                  <c:v>1.5830858522266031</c:v>
                </c:pt>
                <c:pt idx="28">
                  <c:v>1.6417186615683292</c:v>
                </c:pt>
                <c:pt idx="29">
                  <c:v>1.7003514709100553</c:v>
                </c:pt>
                <c:pt idx="30">
                  <c:v>1.7589842802517814</c:v>
                </c:pt>
                <c:pt idx="31">
                  <c:v>1.8176170895935075</c:v>
                </c:pt>
                <c:pt idx="32">
                  <c:v>1.8762498989352336</c:v>
                </c:pt>
              </c:numCache>
            </c:numRef>
          </c:xVal>
          <c:yVal>
            <c:numRef>
              <c:f>'Bioequivalence, Crossover'!$V$15:$V$47</c:f>
              <c:numCache>
                <c:formatCode>General</c:formatCode>
                <c:ptCount val="33"/>
                <c:pt idx="0">
                  <c:v>1.1677877031658411E-3</c:v>
                </c:pt>
                <c:pt idx="1">
                  <c:v>2.7699447059280034E-3</c:v>
                </c:pt>
                <c:pt idx="2">
                  <c:v>6.2185621117606723E-3</c:v>
                </c:pt>
                <c:pt idx="3">
                  <c:v>1.3213580903738755E-2</c:v>
                </c:pt>
                <c:pt idx="4">
                  <c:v>2.6574356367658435E-2</c:v>
                </c:pt>
                <c:pt idx="5">
                  <c:v>5.0584406183643189E-2</c:v>
                </c:pt>
                <c:pt idx="6">
                  <c:v>9.1134377711433831E-2</c:v>
                </c:pt>
                <c:pt idx="7">
                  <c:v>0.15540303049312376</c:v>
                </c:pt>
                <c:pt idx="8">
                  <c:v>0.2508120568640812</c:v>
                </c:pt>
                <c:pt idx="9">
                  <c:v>0.38313251525085396</c:v>
                </c:pt>
                <c:pt idx="10">
                  <c:v>0.55393816322895617</c:v>
                </c:pt>
                <c:pt idx="11">
                  <c:v>0.75802798169994423</c:v>
                </c:pt>
                <c:pt idx="12">
                  <c:v>0.98179510627226407</c:v>
                </c:pt>
                <c:pt idx="13">
                  <c:v>1.2035611582216017</c:v>
                </c:pt>
                <c:pt idx="14">
                  <c:v>1.3964556226555156</c:v>
                </c:pt>
                <c:pt idx="15">
                  <c:v>1.5335494667705791</c:v>
                </c:pt>
                <c:pt idx="16">
                  <c:v>1.5939698943202625</c:v>
                </c:pt>
                <c:pt idx="17">
                  <c:v>1.5681012990763428</c:v>
                </c:pt>
                <c:pt idx="18">
                  <c:v>1.4600905481436155</c:v>
                </c:pt>
                <c:pt idx="19">
                  <c:v>1.2867587775324509</c:v>
                </c:pt>
                <c:pt idx="20">
                  <c:v>1.0733124429725074</c:v>
                </c:pt>
                <c:pt idx="21">
                  <c:v>0.84735786302017235</c:v>
                </c:pt>
                <c:pt idx="22">
                  <c:v>0.63316840914689476</c:v>
                </c:pt>
                <c:pt idx="23">
                  <c:v>0.44779917359705657</c:v>
                </c:pt>
                <c:pt idx="24">
                  <c:v>0.2997498759653528</c:v>
                </c:pt>
                <c:pt idx="25">
                  <c:v>0.18990937795292456</c:v>
                </c:pt>
                <c:pt idx="26">
                  <c:v>0.11387948260447313</c:v>
                </c:pt>
                <c:pt idx="27">
                  <c:v>6.4633285698647763E-2</c:v>
                </c:pt>
                <c:pt idx="28">
                  <c:v>3.4719915387815804E-2</c:v>
                </c:pt>
                <c:pt idx="29">
                  <c:v>1.7652765695318515E-2</c:v>
                </c:pt>
                <c:pt idx="30">
                  <c:v>8.4949050792481138E-3</c:v>
                </c:pt>
                <c:pt idx="31">
                  <c:v>3.8691536717666728E-3</c:v>
                </c:pt>
                <c:pt idx="32">
                  <c:v>1.6679579681648331E-3</c:v>
                </c:pt>
              </c:numCache>
            </c:numRef>
          </c:yVal>
          <c:smooth val="0"/>
          <c:extLst>
            <c:ext xmlns:c16="http://schemas.microsoft.com/office/drawing/2014/chart" uri="{C3380CC4-5D6E-409C-BE32-E72D297353CC}">
              <c16:uniqueId val="{00000000-12E0-4D40-8B6B-87808CCD6E81}"/>
            </c:ext>
          </c:extLst>
        </c:ser>
        <c:ser>
          <c:idx val="2"/>
          <c:order val="1"/>
          <c:spPr>
            <a:ln>
              <a:solidFill>
                <a:srgbClr val="FFFF00"/>
              </a:solidFill>
            </a:ln>
          </c:spPr>
          <c:marker>
            <c:symbol val="none"/>
          </c:marker>
          <c:xVal>
            <c:numRef>
              <c:f>'Bioequivalence, Crossover'!$Z$16:$Z$17</c:f>
              <c:numCache>
                <c:formatCode>General</c:formatCode>
                <c:ptCount val="2"/>
                <c:pt idx="0">
                  <c:v>0.70377932293076018</c:v>
                </c:pt>
                <c:pt idx="1">
                  <c:v>0.70377932293076018</c:v>
                </c:pt>
              </c:numCache>
            </c:numRef>
          </c:xVal>
          <c:yVal>
            <c:numRef>
              <c:f>'Bioequivalence, Crossover'!$AA$16:$AA$17</c:f>
              <c:numCache>
                <c:formatCode>General</c:formatCode>
                <c:ptCount val="2"/>
                <c:pt idx="0">
                  <c:v>0</c:v>
                </c:pt>
                <c:pt idx="1">
                  <c:v>0</c:v>
                </c:pt>
              </c:numCache>
            </c:numRef>
          </c:yVal>
          <c:smooth val="0"/>
          <c:extLst>
            <c:ext xmlns:c16="http://schemas.microsoft.com/office/drawing/2014/chart" uri="{C3380CC4-5D6E-409C-BE32-E72D297353CC}">
              <c16:uniqueId val="{00000001-12E0-4D40-8B6B-87808CCD6E81}"/>
            </c:ext>
          </c:extLst>
        </c:ser>
        <c:ser>
          <c:idx val="3"/>
          <c:order val="2"/>
          <c:spPr>
            <a:ln>
              <a:solidFill>
                <a:srgbClr val="FFFF00"/>
              </a:solidFill>
            </a:ln>
          </c:spPr>
          <c:marker>
            <c:symbol val="none"/>
          </c:marker>
          <c:xVal>
            <c:numRef>
              <c:f>'Bioequivalence, Crossover'!$Z$19:$Z$20</c:f>
              <c:numCache>
                <c:formatCode>General</c:formatCode>
                <c:ptCount val="2"/>
                <c:pt idx="0">
                  <c:v>1.1962206770692396</c:v>
                </c:pt>
                <c:pt idx="1">
                  <c:v>1.1962206770692396</c:v>
                </c:pt>
              </c:numCache>
            </c:numRef>
          </c:xVal>
          <c:yVal>
            <c:numRef>
              <c:f>'Bioequivalence, Crossover'!$AA$19:$AA$20</c:f>
              <c:numCache>
                <c:formatCode>General</c:formatCode>
                <c:ptCount val="2"/>
                <c:pt idx="0">
                  <c:v>0</c:v>
                </c:pt>
                <c:pt idx="1">
                  <c:v>0</c:v>
                </c:pt>
              </c:numCache>
            </c:numRef>
          </c:yVal>
          <c:smooth val="0"/>
          <c:extLst>
            <c:ext xmlns:c16="http://schemas.microsoft.com/office/drawing/2014/chart" uri="{C3380CC4-5D6E-409C-BE32-E72D297353CC}">
              <c16:uniqueId val="{00000002-12E0-4D40-8B6B-87808CCD6E81}"/>
            </c:ext>
          </c:extLst>
        </c:ser>
        <c:ser>
          <c:idx val="6"/>
          <c:order val="3"/>
          <c:spPr>
            <a:ln>
              <a:solidFill>
                <a:srgbClr val="FFFF00"/>
              </a:solidFill>
            </a:ln>
          </c:spPr>
          <c:marker>
            <c:symbol val="none"/>
          </c:marker>
          <c:xVal>
            <c:numRef>
              <c:f>'Bioequivalence, Crossover'!$AD$16:$AD$17</c:f>
              <c:numCache>
                <c:formatCode>General</c:formatCode>
                <c:ptCount val="2"/>
                <c:pt idx="0">
                  <c:v>0.9108695298333388</c:v>
                </c:pt>
                <c:pt idx="1">
                  <c:v>0.9108695298333388</c:v>
                </c:pt>
              </c:numCache>
            </c:numRef>
          </c:xVal>
          <c:yVal>
            <c:numRef>
              <c:f>'Bioequivalence, Crossover'!$AE$16:$AE$17</c:f>
              <c:numCache>
                <c:formatCode>General</c:formatCode>
                <c:ptCount val="2"/>
                <c:pt idx="0">
                  <c:v>0</c:v>
                </c:pt>
                <c:pt idx="1">
                  <c:v>1.5939698943202625</c:v>
                </c:pt>
              </c:numCache>
            </c:numRef>
          </c:yVal>
          <c:smooth val="0"/>
          <c:extLst>
            <c:ext xmlns:c16="http://schemas.microsoft.com/office/drawing/2014/chart" uri="{C3380CC4-5D6E-409C-BE32-E72D297353CC}">
              <c16:uniqueId val="{00000003-12E0-4D40-8B6B-87808CCD6E81}"/>
            </c:ext>
          </c:extLst>
        </c:ser>
        <c:ser>
          <c:idx val="7"/>
          <c:order val="4"/>
          <c:spPr>
            <a:ln>
              <a:solidFill>
                <a:srgbClr val="FFFF00"/>
              </a:solidFill>
            </a:ln>
          </c:spPr>
          <c:marker>
            <c:symbol val="none"/>
          </c:marker>
          <c:xVal>
            <c:numRef>
              <c:f>'Bioequivalence, Crossover'!$AD$19:$AD$20</c:f>
              <c:numCache>
                <c:formatCode>General</c:formatCode>
                <c:ptCount val="2"/>
                <c:pt idx="0">
                  <c:v>0.98913047016666111</c:v>
                </c:pt>
                <c:pt idx="1">
                  <c:v>0.98913047016666111</c:v>
                </c:pt>
              </c:numCache>
            </c:numRef>
          </c:xVal>
          <c:yVal>
            <c:numRef>
              <c:f>'Bioequivalence, Crossover'!$AE$19:$AE$20</c:f>
              <c:numCache>
                <c:formatCode>General</c:formatCode>
                <c:ptCount val="2"/>
                <c:pt idx="0">
                  <c:v>0</c:v>
                </c:pt>
                <c:pt idx="1">
                  <c:v>1.5939698943202625</c:v>
                </c:pt>
              </c:numCache>
            </c:numRef>
          </c:yVal>
          <c:smooth val="0"/>
          <c:extLst>
            <c:ext xmlns:c16="http://schemas.microsoft.com/office/drawing/2014/chart" uri="{C3380CC4-5D6E-409C-BE32-E72D297353CC}">
              <c16:uniqueId val="{00000004-12E0-4D40-8B6B-87808CCD6E81}"/>
            </c:ext>
          </c:extLst>
        </c:ser>
        <c:ser>
          <c:idx val="10"/>
          <c:order val="5"/>
          <c:spPr>
            <a:ln>
              <a:solidFill>
                <a:srgbClr val="FF0000"/>
              </a:solidFill>
            </a:ln>
          </c:spPr>
          <c:marker>
            <c:symbol val="none"/>
          </c:marker>
          <c:xVal>
            <c:numRef>
              <c:f>'Bioequivalence, Crossover'!$Z$32:$Z$33</c:f>
              <c:numCache>
                <c:formatCode>0.0%</c:formatCode>
                <c:ptCount val="2"/>
                <c:pt idx="0">
                  <c:v>0.8</c:v>
                </c:pt>
                <c:pt idx="1">
                  <c:v>0.8</c:v>
                </c:pt>
              </c:numCache>
            </c:numRef>
          </c:xVal>
          <c:yVal>
            <c:numRef>
              <c:f>'Bioequivalence, Crossover'!$AA$32:$AA$33</c:f>
              <c:numCache>
                <c:formatCode>General</c:formatCode>
                <c:ptCount val="2"/>
                <c:pt idx="0">
                  <c:v>0</c:v>
                </c:pt>
                <c:pt idx="1">
                  <c:v>1.5939698943202625</c:v>
                </c:pt>
              </c:numCache>
            </c:numRef>
          </c:yVal>
          <c:smooth val="0"/>
          <c:extLst>
            <c:ext xmlns:c16="http://schemas.microsoft.com/office/drawing/2014/chart" uri="{C3380CC4-5D6E-409C-BE32-E72D297353CC}">
              <c16:uniqueId val="{00000005-12E0-4D40-8B6B-87808CCD6E81}"/>
            </c:ext>
          </c:extLst>
        </c:ser>
        <c:ser>
          <c:idx val="11"/>
          <c:order val="6"/>
          <c:spPr>
            <a:ln>
              <a:solidFill>
                <a:srgbClr val="FF0000"/>
              </a:solidFill>
            </a:ln>
          </c:spPr>
          <c:marker>
            <c:symbol val="none"/>
          </c:marker>
          <c:xVal>
            <c:numRef>
              <c:f>'Bioequivalence, Crossover'!$Z$35:$Z$36</c:f>
              <c:numCache>
                <c:formatCode>0.0%</c:formatCode>
                <c:ptCount val="2"/>
                <c:pt idx="0">
                  <c:v>1.25</c:v>
                </c:pt>
                <c:pt idx="1">
                  <c:v>1.25</c:v>
                </c:pt>
              </c:numCache>
            </c:numRef>
          </c:xVal>
          <c:yVal>
            <c:numRef>
              <c:f>'Bioequivalence, Crossover'!$AA$35:$AA$36</c:f>
              <c:numCache>
                <c:formatCode>General</c:formatCode>
                <c:ptCount val="2"/>
                <c:pt idx="0">
                  <c:v>0</c:v>
                </c:pt>
                <c:pt idx="1">
                  <c:v>1.5939698943202625</c:v>
                </c:pt>
              </c:numCache>
            </c:numRef>
          </c:yVal>
          <c:smooth val="0"/>
          <c:extLst>
            <c:ext xmlns:c16="http://schemas.microsoft.com/office/drawing/2014/chart" uri="{C3380CC4-5D6E-409C-BE32-E72D297353CC}">
              <c16:uniqueId val="{00000006-12E0-4D40-8B6B-87808CCD6E81}"/>
            </c:ext>
          </c:extLst>
        </c:ser>
        <c:dLbls>
          <c:showLegendKey val="0"/>
          <c:showVal val="0"/>
          <c:showCatName val="0"/>
          <c:showSerName val="0"/>
          <c:showPercent val="0"/>
          <c:showBubbleSize val="0"/>
        </c:dLbls>
        <c:axId val="131755008"/>
        <c:axId val="131769088"/>
      </c:scatterChart>
      <c:valAx>
        <c:axId val="131755008"/>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131769088"/>
        <c:crosses val="autoZero"/>
        <c:crossBetween val="midCat"/>
        <c:majorUnit val="0.2"/>
        <c:minorUnit val="0.1"/>
      </c:valAx>
      <c:valAx>
        <c:axId val="1317690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75500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Replicate'!$V$14</c:f>
              <c:strCache>
                <c:ptCount val="1"/>
                <c:pt idx="0">
                  <c:v>T/R</c:v>
                </c:pt>
              </c:strCache>
            </c:strRef>
          </c:tx>
          <c:spPr>
            <a:ln w="28575">
              <a:solidFill>
                <a:srgbClr val="FFFF00"/>
              </a:solidFill>
            </a:ln>
          </c:spPr>
          <c:marker>
            <c:symbol val="none"/>
          </c:marker>
          <c:xVal>
            <c:numRef>
              <c:f>'Bioequivalence, Replicate'!$U$15:$U$47</c:f>
              <c:numCache>
                <c:formatCode>General</c:formatCode>
                <c:ptCount val="33"/>
                <c:pt idx="0">
                  <c:v>0</c:v>
                </c:pt>
                <c:pt idx="1">
                  <c:v>6.2855803540427163E-2</c:v>
                </c:pt>
                <c:pt idx="2">
                  <c:v>0.12571160708085433</c:v>
                </c:pt>
                <c:pt idx="3">
                  <c:v>0.18856741062128149</c:v>
                </c:pt>
                <c:pt idx="4">
                  <c:v>0.25142321416170865</c:v>
                </c:pt>
                <c:pt idx="5">
                  <c:v>0.31427901770213584</c:v>
                </c:pt>
                <c:pt idx="6">
                  <c:v>0.37713482124256303</c:v>
                </c:pt>
                <c:pt idx="7">
                  <c:v>0.43999062478299023</c:v>
                </c:pt>
                <c:pt idx="8">
                  <c:v>0.50284642832341742</c:v>
                </c:pt>
                <c:pt idx="9">
                  <c:v>0.56570223186384461</c:v>
                </c:pt>
                <c:pt idx="10">
                  <c:v>0.6285580354042718</c:v>
                </c:pt>
                <c:pt idx="11">
                  <c:v>0.69141383894469899</c:v>
                </c:pt>
                <c:pt idx="12">
                  <c:v>0.75426964248512618</c:v>
                </c:pt>
                <c:pt idx="13">
                  <c:v>0.81712544602555337</c:v>
                </c:pt>
                <c:pt idx="14">
                  <c:v>0.87998124956598056</c:v>
                </c:pt>
                <c:pt idx="15">
                  <c:v>0.94283705310640775</c:v>
                </c:pt>
                <c:pt idx="16">
                  <c:v>1.0056928566468348</c:v>
                </c:pt>
                <c:pt idx="17">
                  <c:v>1.068548660187262</c:v>
                </c:pt>
                <c:pt idx="18">
                  <c:v>1.1314044637276892</c:v>
                </c:pt>
                <c:pt idx="19">
                  <c:v>1.1942602672681164</c:v>
                </c:pt>
                <c:pt idx="20">
                  <c:v>1.2571160708085436</c:v>
                </c:pt>
                <c:pt idx="21">
                  <c:v>1.3199718743489708</c:v>
                </c:pt>
                <c:pt idx="22">
                  <c:v>1.382827677889398</c:v>
                </c:pt>
                <c:pt idx="23">
                  <c:v>1.4456834814298252</c:v>
                </c:pt>
                <c:pt idx="24">
                  <c:v>1.5085392849702524</c:v>
                </c:pt>
                <c:pt idx="25">
                  <c:v>1.5713950885106795</c:v>
                </c:pt>
                <c:pt idx="26">
                  <c:v>1.6342508920511067</c:v>
                </c:pt>
                <c:pt idx="27">
                  <c:v>1.6971066955915339</c:v>
                </c:pt>
                <c:pt idx="28">
                  <c:v>1.7599624991319611</c:v>
                </c:pt>
                <c:pt idx="29">
                  <c:v>1.8228183026723883</c:v>
                </c:pt>
                <c:pt idx="30">
                  <c:v>1.8856741062128155</c:v>
                </c:pt>
                <c:pt idx="31">
                  <c:v>1.9485299097532427</c:v>
                </c:pt>
                <c:pt idx="32">
                  <c:v>2.0113857132936697</c:v>
                </c:pt>
              </c:numCache>
            </c:numRef>
          </c:xVal>
          <c:yVal>
            <c:numRef>
              <c:f>'Bioequivalence, Replicate'!$V$15:$V$47</c:f>
              <c:numCache>
                <c:formatCode>General</c:formatCode>
                <c:ptCount val="33"/>
                <c:pt idx="0">
                  <c:v>1.477282803979336E-2</c:v>
                </c:pt>
                <c:pt idx="1">
                  <c:v>2.7096333066061466E-2</c:v>
                </c:pt>
                <c:pt idx="2">
                  <c:v>4.7565557097961828E-2</c:v>
                </c:pt>
                <c:pt idx="3">
                  <c:v>7.9911602450833827E-2</c:v>
                </c:pt>
                <c:pt idx="4">
                  <c:v>0.12848791379412886</c:v>
                </c:pt>
                <c:pt idx="5">
                  <c:v>0.1977196814466011</c:v>
                </c:pt>
                <c:pt idx="6">
                  <c:v>0.29118748986942972</c:v>
                </c:pt>
                <c:pt idx="7">
                  <c:v>0.41042207290166549</c:v>
                </c:pt>
                <c:pt idx="8">
                  <c:v>0.55363545229058264</c:v>
                </c:pt>
                <c:pt idx="9">
                  <c:v>0.71474686948667876</c:v>
                </c:pt>
                <c:pt idx="10">
                  <c:v>0.88311206356970129</c:v>
                </c:pt>
                <c:pt idx="11">
                  <c:v>1.0442742258768614</c:v>
                </c:pt>
                <c:pt idx="12">
                  <c:v>1.1818122495065957</c:v>
                </c:pt>
                <c:pt idx="13">
                  <c:v>1.2800224931945334</c:v>
                </c:pt>
                <c:pt idx="14">
                  <c:v>1.3268502231061179</c:v>
                </c:pt>
                <c:pt idx="15">
                  <c:v>1.3163197227249672</c:v>
                </c:pt>
                <c:pt idx="16">
                  <c:v>1.2497871682536457</c:v>
                </c:pt>
                <c:pt idx="17">
                  <c:v>1.1356537008909846</c:v>
                </c:pt>
                <c:pt idx="18">
                  <c:v>0.98762247825526639</c:v>
                </c:pt>
                <c:pt idx="19">
                  <c:v>0.82199882643964128</c:v>
                </c:pt>
                <c:pt idx="20">
                  <c:v>0.65476674718804873</c:v>
                </c:pt>
                <c:pt idx="21">
                  <c:v>0.49915706150721351</c:v>
                </c:pt>
                <c:pt idx="22">
                  <c:v>0.3641858012715018</c:v>
                </c:pt>
                <c:pt idx="23">
                  <c:v>0.25429860993809755</c:v>
                </c:pt>
                <c:pt idx="24">
                  <c:v>0.169941774582163</c:v>
                </c:pt>
                <c:pt idx="25">
                  <c:v>0.10869047781366145</c:v>
                </c:pt>
                <c:pt idx="26">
                  <c:v>6.6530078085967767E-2</c:v>
                </c:pt>
                <c:pt idx="27">
                  <c:v>3.8974428408071964E-2</c:v>
                </c:pt>
                <c:pt idx="28">
                  <c:v>2.1851268942557921E-2</c:v>
                </c:pt>
                <c:pt idx="29">
                  <c:v>1.1724889439740756E-2</c:v>
                </c:pt>
                <c:pt idx="30">
                  <c:v>6.0211027202522194E-3</c:v>
                </c:pt>
                <c:pt idx="31">
                  <c:v>2.9592285119466512E-3</c:v>
                </c:pt>
                <c:pt idx="32">
                  <c:v>1.3919260261450537E-3</c:v>
                </c:pt>
              </c:numCache>
            </c:numRef>
          </c:yVal>
          <c:smooth val="0"/>
          <c:extLst>
            <c:ext xmlns:c16="http://schemas.microsoft.com/office/drawing/2014/chart" uri="{C3380CC4-5D6E-409C-BE32-E72D297353CC}">
              <c16:uniqueId val="{00000000-5FC6-44B6-918B-0AF045740BA7}"/>
            </c:ext>
          </c:extLst>
        </c:ser>
        <c:ser>
          <c:idx val="2"/>
          <c:order val="1"/>
          <c:spPr>
            <a:ln>
              <a:solidFill>
                <a:srgbClr val="FFFF00"/>
              </a:solidFill>
            </a:ln>
          </c:spPr>
          <c:marker>
            <c:symbol val="none"/>
          </c:marker>
          <c:xVal>
            <c:numRef>
              <c:f>'Bioequivalence, Replicate'!$Z$16:$Z$17</c:f>
              <c:numCache>
                <c:formatCode>General</c:formatCode>
                <c:ptCount val="2"/>
                <c:pt idx="0">
                  <c:v>0.60643962079147595</c:v>
                </c:pt>
                <c:pt idx="1">
                  <c:v>0.60643962079147595</c:v>
                </c:pt>
              </c:numCache>
            </c:numRef>
          </c:xVal>
          <c:yVal>
            <c:numRef>
              <c:f>'Bioequivalence, Replicate'!$AA$16:$AA$17</c:f>
              <c:numCache>
                <c:formatCode>General</c:formatCode>
                <c:ptCount val="2"/>
                <c:pt idx="0">
                  <c:v>0</c:v>
                </c:pt>
                <c:pt idx="1">
                  <c:v>0</c:v>
                </c:pt>
              </c:numCache>
            </c:numRef>
          </c:yVal>
          <c:smooth val="0"/>
          <c:extLst>
            <c:ext xmlns:c16="http://schemas.microsoft.com/office/drawing/2014/chart" uri="{C3380CC4-5D6E-409C-BE32-E72D297353CC}">
              <c16:uniqueId val="{00000001-5FC6-44B6-918B-0AF045740BA7}"/>
            </c:ext>
          </c:extLst>
        </c:ser>
        <c:ser>
          <c:idx val="3"/>
          <c:order val="2"/>
          <c:spPr>
            <a:ln>
              <a:solidFill>
                <a:srgbClr val="FFFF00"/>
              </a:solidFill>
            </a:ln>
          </c:spPr>
          <c:marker>
            <c:symbol val="none"/>
          </c:marker>
          <c:xVal>
            <c:numRef>
              <c:f>'Bioequivalence, Replicate'!$Z$19:$Z$20</c:f>
              <c:numCache>
                <c:formatCode>General</c:formatCode>
                <c:ptCount val="2"/>
                <c:pt idx="0">
                  <c:v>1.1935603792085241</c:v>
                </c:pt>
                <c:pt idx="1">
                  <c:v>1.1935603792085241</c:v>
                </c:pt>
              </c:numCache>
            </c:numRef>
          </c:xVal>
          <c:yVal>
            <c:numRef>
              <c:f>'Bioequivalence, Replicate'!$AA$19:$AA$20</c:f>
              <c:numCache>
                <c:formatCode>General</c:formatCode>
                <c:ptCount val="2"/>
                <c:pt idx="0">
                  <c:v>0</c:v>
                </c:pt>
                <c:pt idx="1">
                  <c:v>0</c:v>
                </c:pt>
              </c:numCache>
            </c:numRef>
          </c:yVal>
          <c:smooth val="0"/>
          <c:extLst>
            <c:ext xmlns:c16="http://schemas.microsoft.com/office/drawing/2014/chart" uri="{C3380CC4-5D6E-409C-BE32-E72D297353CC}">
              <c16:uniqueId val="{00000002-5FC6-44B6-918B-0AF045740BA7}"/>
            </c:ext>
          </c:extLst>
        </c:ser>
        <c:ser>
          <c:idx val="6"/>
          <c:order val="3"/>
          <c:spPr>
            <a:ln>
              <a:solidFill>
                <a:srgbClr val="FFFF00"/>
              </a:solidFill>
            </a:ln>
          </c:spPr>
          <c:marker>
            <c:symbol val="none"/>
          </c:marker>
          <c:xVal>
            <c:numRef>
              <c:f>'Bioequivalence, Replicate'!$AD$16:$AD$17</c:f>
              <c:numCache>
                <c:formatCode>General</c:formatCode>
                <c:ptCount val="2"/>
                <c:pt idx="0">
                  <c:v>0.84501198858299298</c:v>
                </c:pt>
                <c:pt idx="1">
                  <c:v>0.84501198858299298</c:v>
                </c:pt>
              </c:numCache>
            </c:numRef>
          </c:xVal>
          <c:yVal>
            <c:numRef>
              <c:f>'Bioequivalence, Replicate'!$AE$16:$AE$17</c:f>
              <c:numCache>
                <c:formatCode>General</c:formatCode>
                <c:ptCount val="2"/>
                <c:pt idx="0">
                  <c:v>0</c:v>
                </c:pt>
                <c:pt idx="1">
                  <c:v>1.3268502231061179</c:v>
                </c:pt>
              </c:numCache>
            </c:numRef>
          </c:yVal>
          <c:smooth val="0"/>
          <c:extLst>
            <c:ext xmlns:c16="http://schemas.microsoft.com/office/drawing/2014/chart" uri="{C3380CC4-5D6E-409C-BE32-E72D297353CC}">
              <c16:uniqueId val="{00000003-5FC6-44B6-918B-0AF045740BA7}"/>
            </c:ext>
          </c:extLst>
        </c:ser>
        <c:ser>
          <c:idx val="7"/>
          <c:order val="4"/>
          <c:spPr>
            <a:ln>
              <a:solidFill>
                <a:srgbClr val="FFFF00"/>
              </a:solidFill>
            </a:ln>
          </c:spPr>
          <c:marker>
            <c:symbol val="none"/>
          </c:marker>
          <c:xVal>
            <c:numRef>
              <c:f>'Bioequivalence, Replicate'!$AD$19:$AD$20</c:f>
              <c:numCache>
                <c:formatCode>General</c:formatCode>
                <c:ptCount val="2"/>
                <c:pt idx="0">
                  <c:v>0.95498801141700707</c:v>
                </c:pt>
                <c:pt idx="1">
                  <c:v>0.95498801141700707</c:v>
                </c:pt>
              </c:numCache>
            </c:numRef>
          </c:xVal>
          <c:yVal>
            <c:numRef>
              <c:f>'Bioequivalence, Replicate'!$AE$19:$AE$20</c:f>
              <c:numCache>
                <c:formatCode>General</c:formatCode>
                <c:ptCount val="2"/>
                <c:pt idx="0">
                  <c:v>0</c:v>
                </c:pt>
                <c:pt idx="1">
                  <c:v>1.3268502231061179</c:v>
                </c:pt>
              </c:numCache>
            </c:numRef>
          </c:yVal>
          <c:smooth val="0"/>
          <c:extLst>
            <c:ext xmlns:c16="http://schemas.microsoft.com/office/drawing/2014/chart" uri="{C3380CC4-5D6E-409C-BE32-E72D297353CC}">
              <c16:uniqueId val="{00000004-5FC6-44B6-918B-0AF045740BA7}"/>
            </c:ext>
          </c:extLst>
        </c:ser>
        <c:ser>
          <c:idx val="10"/>
          <c:order val="5"/>
          <c:spPr>
            <a:ln>
              <a:solidFill>
                <a:srgbClr val="FF0000"/>
              </a:solidFill>
            </a:ln>
          </c:spPr>
          <c:marker>
            <c:symbol val="none"/>
          </c:marker>
          <c:xVal>
            <c:numRef>
              <c:f>'Bioequivalence, Replicate'!$Z$32:$Z$33</c:f>
              <c:numCache>
                <c:formatCode>0.0%</c:formatCode>
                <c:ptCount val="2"/>
                <c:pt idx="0">
                  <c:v>0.8</c:v>
                </c:pt>
                <c:pt idx="1">
                  <c:v>0.8</c:v>
                </c:pt>
              </c:numCache>
            </c:numRef>
          </c:xVal>
          <c:yVal>
            <c:numRef>
              <c:f>'Bioequivalence, Replicate'!$AA$32:$AA$33</c:f>
              <c:numCache>
                <c:formatCode>General</c:formatCode>
                <c:ptCount val="2"/>
                <c:pt idx="0">
                  <c:v>0</c:v>
                </c:pt>
                <c:pt idx="1">
                  <c:v>1.3268502231061179</c:v>
                </c:pt>
              </c:numCache>
            </c:numRef>
          </c:yVal>
          <c:smooth val="0"/>
          <c:extLst>
            <c:ext xmlns:c16="http://schemas.microsoft.com/office/drawing/2014/chart" uri="{C3380CC4-5D6E-409C-BE32-E72D297353CC}">
              <c16:uniqueId val="{00000005-5FC6-44B6-918B-0AF045740BA7}"/>
            </c:ext>
          </c:extLst>
        </c:ser>
        <c:ser>
          <c:idx val="11"/>
          <c:order val="6"/>
          <c:spPr>
            <a:ln>
              <a:solidFill>
                <a:srgbClr val="FF0000"/>
              </a:solidFill>
            </a:ln>
          </c:spPr>
          <c:marker>
            <c:symbol val="none"/>
          </c:marker>
          <c:xVal>
            <c:numRef>
              <c:f>'Bioequivalence, Replicate'!$Z$35:$Z$36</c:f>
              <c:numCache>
                <c:formatCode>0.0%</c:formatCode>
                <c:ptCount val="2"/>
                <c:pt idx="0">
                  <c:v>1.25</c:v>
                </c:pt>
                <c:pt idx="1">
                  <c:v>1.25</c:v>
                </c:pt>
              </c:numCache>
            </c:numRef>
          </c:xVal>
          <c:yVal>
            <c:numRef>
              <c:f>'Bioequivalence, Replicate'!$AA$35:$AA$36</c:f>
              <c:numCache>
                <c:formatCode>General</c:formatCode>
                <c:ptCount val="2"/>
                <c:pt idx="0">
                  <c:v>0</c:v>
                </c:pt>
                <c:pt idx="1">
                  <c:v>1.3268502231061179</c:v>
                </c:pt>
              </c:numCache>
            </c:numRef>
          </c:yVal>
          <c:smooth val="0"/>
          <c:extLst>
            <c:ext xmlns:c16="http://schemas.microsoft.com/office/drawing/2014/chart" uri="{C3380CC4-5D6E-409C-BE32-E72D297353CC}">
              <c16:uniqueId val="{00000006-5FC6-44B6-918B-0AF045740BA7}"/>
            </c:ext>
          </c:extLst>
        </c:ser>
        <c:dLbls>
          <c:showLegendKey val="0"/>
          <c:showVal val="0"/>
          <c:showCatName val="0"/>
          <c:showSerName val="0"/>
          <c:showPercent val="0"/>
          <c:showBubbleSize val="0"/>
        </c:dLbls>
        <c:axId val="131755008"/>
        <c:axId val="131769088"/>
      </c:scatterChart>
      <c:valAx>
        <c:axId val="131755008"/>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131769088"/>
        <c:crosses val="autoZero"/>
        <c:crossBetween val="midCat"/>
        <c:majorUnit val="0.2"/>
        <c:minorUnit val="0.1"/>
      </c:valAx>
      <c:valAx>
        <c:axId val="1317690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75500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Y$13" lockText="1"/>
</file>

<file path=xl/ctrlProps/ctrlProp4.xml><?xml version="1.0" encoding="utf-8"?>
<formControlPr xmlns="http://schemas.microsoft.com/office/spreadsheetml/2009/9/main" objectType="CheckBox" fmlaLink="$AC$13" lockText="1"/>
</file>

<file path=xl/ctrlProps/ctrlProp5.xml><?xml version="1.0" encoding="utf-8"?>
<formControlPr xmlns="http://schemas.microsoft.com/office/spreadsheetml/2009/9/main" objectType="CheckBox" checked="Checked" fmlaLink="$Y$29"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Y$13" lockText="1"/>
</file>

<file path=xl/ctrlProps/ctrlProp9.xml><?xml version="1.0" encoding="utf-8"?>
<formControlPr xmlns="http://schemas.microsoft.com/office/spreadsheetml/2009/9/main" objectType="CheckBox" fmlaLink="$AC$13" lockText="1"/>
</file>

<file path=xl/ctrlProps/ctrlProp10.xml><?xml version="1.0" encoding="utf-8"?>
<formControlPr xmlns="http://schemas.microsoft.com/office/spreadsheetml/2009/9/main" objectType="CheckBox" checked="Checked" fmlaLink="$Y$29"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Y$13" lockText="1"/>
</file>

<file path=xl/ctrlProps/ctrlProp14.xml><?xml version="1.0" encoding="utf-8"?>
<formControlPr xmlns="http://schemas.microsoft.com/office/spreadsheetml/2009/9/main" objectType="CheckBox" fmlaLink="$AC$13" lockText="1"/>
</file>

<file path=xl/ctrlProps/ctrlProp15.xml><?xml version="1.0" encoding="utf-8"?>
<formControlPr xmlns="http://schemas.microsoft.com/office/spreadsheetml/2009/9/main" objectType="CheckBox" checked="Checked" fmlaLink="$Y$29"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Y$13" lockText="1"/>
</file>

<file path=xl/ctrlProps/ctrlProp19.xml><?xml version="1.0" encoding="utf-8"?>
<formControlPr xmlns="http://schemas.microsoft.com/office/spreadsheetml/2009/9/main" objectType="CheckBox" fmlaLink="$AC$13" lockText="1"/>
</file>

<file path=xl/ctrlProps/ctrlProp20.xml><?xml version="1.0" encoding="utf-8"?>
<formControlPr xmlns="http://schemas.microsoft.com/office/spreadsheetml/2009/9/main" objectType="CheckBox" checked="Checked" fmlaLink="$Y$29"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13" lockText="1"/>
</file>

<file path=xl/ctrlProps/ctrlProp24.xml><?xml version="1.0" encoding="utf-8"?>
<formControlPr xmlns="http://schemas.microsoft.com/office/spreadsheetml/2009/9/main" objectType="CheckBox" fmlaLink="$AC$13" lockText="1"/>
</file>

<file path=xl/ctrlProps/ctrlProp25.xml><?xml version="1.0" encoding="utf-8"?>
<formControlPr xmlns="http://schemas.microsoft.com/office/spreadsheetml/2009/9/main" objectType="CheckBox" checked="Checked" fmlaLink="$Y$29"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checked="Checked" fmlaLink="$Y$13" lockText="1"/>
</file>

<file path=xl/ctrlProps/ctrlProp29.xml><?xml version="1.0" encoding="utf-8"?>
<formControlPr xmlns="http://schemas.microsoft.com/office/spreadsheetml/2009/9/main" objectType="CheckBox" fmlaLink="$AC$13" lockText="1"/>
</file>

<file path=xl/ctrlProps/ctrlProp30.xml><?xml version="1.0" encoding="utf-8"?>
<formControlPr xmlns="http://schemas.microsoft.com/office/spreadsheetml/2009/9/main" objectType="CheckBox" checked="Checked" fmlaLink="$Y$29"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Y$13" lockText="1"/>
</file>

<file path=xl/ctrlProps/ctrlProp36.xml><?xml version="1.0" encoding="utf-8"?>
<formControlPr xmlns="http://schemas.microsoft.com/office/spreadsheetml/2009/9/main" objectType="CheckBox" checked="Checked" fmlaLink="$AC$13" lockText="1"/>
</file>

<file path=xl/ctrlProps/ctrlProp37.xml><?xml version="1.0" encoding="utf-8"?>
<formControlPr xmlns="http://schemas.microsoft.com/office/spreadsheetml/2009/9/main" objectType="CheckBox" checked="Checked" fmlaLink="$Y$29"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Y$13" lockText="1"/>
</file>

<file path=xl/ctrlProps/ctrlProp43.xml><?xml version="1.0" encoding="utf-8"?>
<formControlPr xmlns="http://schemas.microsoft.com/office/spreadsheetml/2009/9/main" objectType="CheckBox" checked="Checked" fmlaLink="$AC$13" lockText="1"/>
</file>

<file path=xl/ctrlProps/ctrlProp44.xml><?xml version="1.0" encoding="utf-8"?>
<formControlPr xmlns="http://schemas.microsoft.com/office/spreadsheetml/2009/9/main" objectType="CheckBox" checked="Checked" fmlaLink="$Y$29"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Y$13" lockText="1"/>
</file>

<file path=xl/ctrlProps/ctrlProp50.xml><?xml version="1.0" encoding="utf-8"?>
<formControlPr xmlns="http://schemas.microsoft.com/office/spreadsheetml/2009/9/main" objectType="CheckBox" checked="Checked" fmlaLink="$AC$13" lockText="1"/>
</file>

<file path=xl/ctrlProps/ctrlProp51.xml><?xml version="1.0" encoding="utf-8"?>
<formControlPr xmlns="http://schemas.microsoft.com/office/spreadsheetml/2009/9/main" objectType="CheckBox" checked="Checked" fmlaLink="$Y$29" lockText="1"/>
</file>

<file path=xl/ctrlProps/ctrlProp52.xml><?xml version="1.0" encoding="utf-8"?>
<formControlPr xmlns="http://schemas.microsoft.com/office/spreadsheetml/2009/9/main" objectType="Drop" dropLines="61" dropStyle="combo" dx="19" fmlaLink="$Y$5" fmlaRange="$Y$2:$Y$4" sel="3" val="0"/>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chart" Target="../charts/chart1.xml"/><Relationship Id="rId5" Type="http://schemas.openxmlformats.org/officeDocument/2006/relationships/image" Target="../media/image6.emf"/><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7.emf"/><Relationship Id="rId5" Type="http://schemas.openxmlformats.org/officeDocument/2006/relationships/chart" Target="../charts/chart2.xml"/><Relationship Id="rId4" Type="http://schemas.openxmlformats.org/officeDocument/2006/relationships/image" Target="../media/image8.emf"/></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chart" Target="../charts/chart3.xml"/><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emf"/><Relationship Id="rId7" Type="http://schemas.openxmlformats.org/officeDocument/2006/relationships/chart" Target="../charts/chart4.xml"/><Relationship Id="rId2" Type="http://schemas.openxmlformats.org/officeDocument/2006/relationships/image" Target="../media/image11.emf"/><Relationship Id="rId1" Type="http://schemas.openxmlformats.org/officeDocument/2006/relationships/image" Target="../media/image15.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0.emf"/></Relationships>
</file>

<file path=xl/drawings/_rels/drawing6.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 Id="rId9"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chart" Target="../charts/chart6.xml"/><Relationship Id="rId2" Type="http://schemas.openxmlformats.org/officeDocument/2006/relationships/image" Target="../media/image27.emf"/><Relationship Id="rId1" Type="http://schemas.openxmlformats.org/officeDocument/2006/relationships/image" Target="../media/image26.emf"/><Relationship Id="rId6" Type="http://schemas.openxmlformats.org/officeDocument/2006/relationships/image" Target="../media/image28.emf"/><Relationship Id="rId5" Type="http://schemas.openxmlformats.org/officeDocument/2006/relationships/image" Target="../media/image22.emf"/><Relationship Id="rId4" Type="http://schemas.openxmlformats.org/officeDocument/2006/relationships/image" Target="../media/image21.emf"/></Relationships>
</file>

<file path=xl/drawings/_rels/drawing8.xml.rels><?xml version="1.0" encoding="UTF-8" standalone="yes"?>
<Relationships xmlns="http://schemas.openxmlformats.org/package/2006/relationships"><Relationship Id="rId8" Type="http://schemas.openxmlformats.org/officeDocument/2006/relationships/image" Target="../media/image35.png"/><Relationship Id="rId3" Type="http://schemas.openxmlformats.org/officeDocument/2006/relationships/image" Target="../media/image30.emf"/><Relationship Id="rId7" Type="http://schemas.openxmlformats.org/officeDocument/2006/relationships/image" Target="../media/image34.png"/><Relationship Id="rId2" Type="http://schemas.openxmlformats.org/officeDocument/2006/relationships/chart" Target="../charts/chart7.xml"/><Relationship Id="rId1" Type="http://schemas.openxmlformats.org/officeDocument/2006/relationships/image" Target="../media/image29.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 Id="rId9" Type="http://schemas.openxmlformats.org/officeDocument/2006/relationships/image" Target="../media/image36.png"/></Relationships>
</file>

<file path=xl/drawings/_rels/drawing9.x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chart" Target="../charts/chart8.xml"/><Relationship Id="rId5" Type="http://schemas.openxmlformats.org/officeDocument/2006/relationships/image" Target="../media/image39.emf"/><Relationship Id="rId4" Type="http://schemas.openxmlformats.org/officeDocument/2006/relationships/image" Target="../media/image38.emf"/></Relationships>
</file>

<file path=xl/drawings/_rels/drawing10.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image" Target="../media/image32.emf"/><Relationship Id="rId7" Type="http://schemas.openxmlformats.org/officeDocument/2006/relationships/image" Target="../media/image4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image" Target="../media/image41.emf"/><Relationship Id="rId5" Type="http://schemas.openxmlformats.org/officeDocument/2006/relationships/image" Target="../media/image40.emf"/><Relationship Id="rId4" Type="http://schemas.openxmlformats.org/officeDocument/2006/relationships/chart" Target="../charts/chart9.xml"/><Relationship Id="rId9" Type="http://schemas.openxmlformats.org/officeDocument/2006/relationships/image" Target="../media/image44.emf"/></Relationships>
</file>

<file path=xl/drawings/_rels/drawing11.xml.rels><?xml version="1.0" encoding="UTF-8" standalone="yes"?>
<Relationships xmlns="http://schemas.openxmlformats.org/package/2006/relationships"><Relationship Id="rId8" Type="http://schemas.openxmlformats.org/officeDocument/2006/relationships/image" Target="../media/image53.emf"/><Relationship Id="rId13" Type="http://schemas.openxmlformats.org/officeDocument/2006/relationships/image" Target="../media/image58.emf"/><Relationship Id="rId3" Type="http://schemas.openxmlformats.org/officeDocument/2006/relationships/image" Target="../media/image48.emf"/><Relationship Id="rId7" Type="http://schemas.openxmlformats.org/officeDocument/2006/relationships/image" Target="../media/image52.emf"/><Relationship Id="rId12" Type="http://schemas.openxmlformats.org/officeDocument/2006/relationships/image" Target="../media/image57.emf"/><Relationship Id="rId2" Type="http://schemas.openxmlformats.org/officeDocument/2006/relationships/image" Target="../media/image47.emf"/><Relationship Id="rId1" Type="http://schemas.openxmlformats.org/officeDocument/2006/relationships/image" Target="../media/image46.emf"/><Relationship Id="rId6" Type="http://schemas.openxmlformats.org/officeDocument/2006/relationships/image" Target="../media/image51.emf"/><Relationship Id="rId11" Type="http://schemas.openxmlformats.org/officeDocument/2006/relationships/image" Target="../media/image56.emf"/><Relationship Id="rId5" Type="http://schemas.openxmlformats.org/officeDocument/2006/relationships/image" Target="../media/image50.emf"/><Relationship Id="rId10" Type="http://schemas.openxmlformats.org/officeDocument/2006/relationships/image" Target="../media/image55.emf"/><Relationship Id="rId4" Type="http://schemas.openxmlformats.org/officeDocument/2006/relationships/image" Target="../media/image49.emf"/><Relationship Id="rId9" Type="http://schemas.openxmlformats.org/officeDocument/2006/relationships/image" Target="../media/image54.emf"/></Relationships>
</file>

<file path=xl/drawings/_rels/drawing12.x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0.emf"/><Relationship Id="rId1" Type="http://schemas.openxmlformats.org/officeDocument/2006/relationships/image" Target="../media/image59.emf"/><Relationship Id="rId4" Type="http://schemas.openxmlformats.org/officeDocument/2006/relationships/image" Target="../media/image62.emf"/></Relationships>
</file>

<file path=xl/drawings/_rels/drawing13.x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3.emf"/></Relationships>
</file>

<file path=xl/drawings/_rels/drawing14.xml.rels><?xml version="1.0" encoding="UTF-8" standalone="yes"?>
<Relationships xmlns="http://schemas.openxmlformats.org/package/2006/relationships"><Relationship Id="rId3" Type="http://schemas.openxmlformats.org/officeDocument/2006/relationships/image" Target="../media/image67.png"/><Relationship Id="rId2" Type="http://schemas.openxmlformats.org/officeDocument/2006/relationships/image" Target="../media/image66.png"/><Relationship Id="rId1" Type="http://schemas.openxmlformats.org/officeDocument/2006/relationships/image" Target="../media/image65.png"/><Relationship Id="rId5" Type="http://schemas.openxmlformats.org/officeDocument/2006/relationships/image" Target="../media/image69.emf"/><Relationship Id="rId4" Type="http://schemas.openxmlformats.org/officeDocument/2006/relationships/image" Target="../media/image68.png"/></Relationships>
</file>

<file path=xl/drawings/_rels/drawing15.x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5.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52015</xdr:rowOff>
    </xdr:from>
    <xdr:to>
      <xdr:col>1</xdr:col>
      <xdr:colOff>662940</xdr:colOff>
      <xdr:row>3</xdr:row>
      <xdr:rowOff>21535</xdr:rowOff>
    </xdr:to>
    <xdr:pic>
      <xdr:nvPicPr>
        <xdr:cNvPr id="25871" name="Picture 11">
          <a:extLst>
            <a:ext uri="{FF2B5EF4-FFF2-40B4-BE49-F238E27FC236}">
              <a16:creationId xmlns:a16="http://schemas.microsoft.com/office/drawing/2014/main" id="{00000000-0008-0000-0000-00000F6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4435" y="212145"/>
          <a:ext cx="662940" cy="4775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19050</xdr:colOff>
      <xdr:row>6</xdr:row>
      <xdr:rowOff>93345</xdr:rowOff>
    </xdr:from>
    <xdr:to>
      <xdr:col>8</xdr:col>
      <xdr:colOff>596282</xdr:colOff>
      <xdr:row>16</xdr:row>
      <xdr:rowOff>93345</xdr:rowOff>
    </xdr:to>
    <xdr:sp macro="" textlink="">
      <xdr:nvSpPr>
        <xdr:cNvPr id="25612" name="Text Box 12">
          <a:extLst>
            <a:ext uri="{FF2B5EF4-FFF2-40B4-BE49-F238E27FC236}">
              <a16:creationId xmlns:a16="http://schemas.microsoft.com/office/drawing/2014/main" id="{00000000-0008-0000-0000-00000C640000}"/>
            </a:ext>
          </a:extLst>
        </xdr:cNvPr>
        <xdr:cNvSpPr txBox="1">
          <a:spLocks noChangeArrowheads="1"/>
        </xdr:cNvSpPr>
      </xdr:nvSpPr>
      <xdr:spPr bwMode="auto">
        <a:xfrm>
          <a:off x="361950" y="1247775"/>
          <a:ext cx="4924425" cy="1619250"/>
        </a:xfrm>
        <a:prstGeom prst="rect">
          <a:avLst/>
        </a:prstGeom>
        <a:gradFill rotWithShape="1">
          <a:gsLst>
            <a:gs pos="0">
              <a:srgbClr val="FFFFFF"/>
            </a:gs>
            <a:gs pos="100000">
              <a:srgbClr val="C0C0C0"/>
            </a:gs>
          </a:gsLst>
          <a:lin ang="5400000" scaled="1"/>
        </a:gradFill>
        <a:ln w="9525">
          <a:solidFill>
            <a:srgbClr val="000000"/>
          </a:solidFill>
          <a:miter lim="800000"/>
          <a:headEnd/>
          <a:tailEnd/>
        </a:ln>
      </xdr:spPr>
      <xdr:txBody>
        <a:bodyPr vertOverflow="clip" wrap="square" lIns="27432" tIns="22860" rIns="0" bIns="0" anchor="t" upright="1"/>
        <a:lstStyle/>
        <a:p>
          <a:pPr algn="l" rtl="1">
            <a:defRPr sz="1000"/>
          </a:pPr>
          <a:r>
            <a:rPr lang="en-US" sz="800" b="1" i="0" strike="noStrike">
              <a:solidFill>
                <a:srgbClr val="000000"/>
              </a:solidFill>
              <a:latin typeface="Arial"/>
              <a:cs typeface="Arial"/>
            </a:rPr>
            <a:t>License:</a:t>
          </a:r>
          <a:r>
            <a:rPr lang="en-US" sz="800" b="0" i="0" strike="noStrike">
              <a:solidFill>
                <a:srgbClr val="000000"/>
              </a:solidFill>
              <a:latin typeface="Arial"/>
              <a:cs typeface="Arial"/>
            </a:rPr>
            <a:t> This spreadsheet is freeware. The user is granted conditional use to copy, duplicate, and distribute provided that the user doesn't remove my name or the identifying information. I would also like to be acknowledged in the event that your clinical trial is published and you used this spreadsheet to calculate the sample size (fame is so much more fun than money). The user of this workbook acknowledges that it is not responsible if study fails, is underpowered, or is overpowered. The user of this workbook acknowledges that sample size estimation is at the very best just that - an estimate. No guarantees are provided on the success of a study, even if the sample size is carefully researched and justified. This workbook is not validated, but has been checked against the examples contained in each spreadsheet in this workbook and against other programs. I am also not responsible in the event that someone modifies this program in such a way to make it non-functional, and then passes it along. To obtain an original copy, please contact me at: d.dubins@utoronto.ca, or</a:t>
          </a:r>
          <a:r>
            <a:rPr lang="en-US" sz="800" b="0" i="0" strike="noStrike" baseline="0">
              <a:solidFill>
                <a:srgbClr val="000000"/>
              </a:solidFill>
              <a:latin typeface="Arial"/>
              <a:cs typeface="Arial"/>
            </a:rPr>
            <a:t> download from </a:t>
          </a:r>
          <a:r>
            <a:rPr lang="en-CA" sz="800">
              <a:hlinkClick xmlns:r="http://schemas.openxmlformats.org/officeDocument/2006/relationships" r:id=""/>
            </a:rPr>
            <a:t>FARTSSIE/FARTSSIE27.xlsm at main · dndubins/FARTSSIE (github.com)</a:t>
          </a:r>
          <a:endParaRPr lang="en-US" sz="800" b="0" i="0" strike="noStrike">
            <a:solidFill>
              <a:srgbClr val="000000"/>
            </a:solidFill>
            <a:latin typeface="Arial"/>
            <a:cs typeface="Arial"/>
          </a:endParaRPr>
        </a:p>
      </xdr:txBody>
    </xdr:sp>
    <xdr:clientData/>
  </xdr:twoCellAnchor>
  <xdr:twoCellAnchor>
    <xdr:from>
      <xdr:col>1</xdr:col>
      <xdr:colOff>19050</xdr:colOff>
      <xdr:row>17</xdr:row>
      <xdr:rowOff>28575</xdr:rowOff>
    </xdr:from>
    <xdr:to>
      <xdr:col>8</xdr:col>
      <xdr:colOff>596282</xdr:colOff>
      <xdr:row>26</xdr:row>
      <xdr:rowOff>92776</xdr:rowOff>
    </xdr:to>
    <xdr:sp macro="" textlink="">
      <xdr:nvSpPr>
        <xdr:cNvPr id="25615" name="Text Box 15">
          <a:extLst>
            <a:ext uri="{FF2B5EF4-FFF2-40B4-BE49-F238E27FC236}">
              <a16:creationId xmlns:a16="http://schemas.microsoft.com/office/drawing/2014/main" id="{00000000-0008-0000-0000-00000F640000}"/>
            </a:ext>
          </a:extLst>
        </xdr:cNvPr>
        <xdr:cNvSpPr txBox="1">
          <a:spLocks noChangeArrowheads="1"/>
        </xdr:cNvSpPr>
      </xdr:nvSpPr>
      <xdr:spPr bwMode="auto">
        <a:xfrm>
          <a:off x="359229" y="2960296"/>
          <a:ext cx="4943887" cy="1511506"/>
        </a:xfrm>
        <a:prstGeom prst="rect">
          <a:avLst/>
        </a:prstGeom>
        <a:gradFill rotWithShape="1">
          <a:gsLst>
            <a:gs pos="0">
              <a:srgbClr val="FFFFFF"/>
            </a:gs>
            <a:gs pos="100000">
              <a:srgbClr val="C0C0C0"/>
            </a:gs>
          </a:gsLst>
          <a:lin ang="5400000" scaled="1"/>
        </a:gradFill>
        <a:ln w="9525" algn="ctr">
          <a:solidFill>
            <a:srgbClr val="000000"/>
          </a:solidFill>
          <a:miter lim="800000"/>
          <a:headEnd/>
          <a:tailEnd/>
        </a:ln>
        <a:effectLst/>
      </xdr:spPr>
      <xdr:txBody>
        <a:bodyPr vertOverflow="clip" wrap="square" lIns="27432" tIns="22860" rIns="0" bIns="0" anchor="t" upright="1"/>
        <a:lstStyle/>
        <a:p>
          <a:pPr algn="l" rtl="1">
            <a:defRPr sz="1000"/>
          </a:pPr>
          <a:r>
            <a:rPr lang="en-US" sz="800" b="0" i="0" strike="noStrike">
              <a:solidFill>
                <a:srgbClr val="000000"/>
              </a:solidFill>
              <a:latin typeface="Arial"/>
              <a:cs typeface="Arial"/>
            </a:rPr>
            <a:t>I would like to very warmly thank the the following people for making this workbook possible:</a:t>
          </a: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BEBAC Ing. Helmut Schütz</a:t>
          </a:r>
          <a:br>
            <a:rPr lang="en-US" sz="800" b="0" i="0" strike="noStrike">
              <a:solidFill>
                <a:srgbClr val="000000"/>
              </a:solidFill>
              <a:latin typeface="Arial"/>
              <a:cs typeface="Arial"/>
            </a:rPr>
          </a:br>
          <a:r>
            <a:rPr lang="en-US" sz="800" b="0" i="0" strike="noStrike">
              <a:solidFill>
                <a:srgbClr val="000000"/>
              </a:solidFill>
              <a:latin typeface="Arial"/>
              <a:cs typeface="Arial"/>
            </a:rPr>
            <a:t>Consultancy Services for Bioequivalence and Bioavailability Studies</a:t>
          </a:r>
        </a:p>
        <a:p>
          <a:pPr algn="l" rtl="1">
            <a:defRPr sz="1000"/>
          </a:pPr>
          <a:r>
            <a:rPr lang="en-CA" sz="800">
              <a:hlinkClick xmlns:r="http://schemas.openxmlformats.org/officeDocument/2006/relationships" r:id=""/>
            </a:rPr>
            <a:t>BEBAC • Consultancy Services for Bioequivalence and Bioavailability Studies • Helmut Schütz</a:t>
          </a:r>
          <a:endParaRPr lang="en-US" sz="800" b="0" i="0" strike="noStrike">
            <a:solidFill>
              <a:srgbClr val="000000"/>
            </a:solidFill>
            <a:latin typeface="Arial"/>
            <a:cs typeface="Arial"/>
          </a:endParaRP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Russell V. Lenth, Professor</a:t>
          </a:r>
        </a:p>
        <a:p>
          <a:pPr algn="l" rtl="1">
            <a:defRPr sz="1000"/>
          </a:pPr>
          <a:r>
            <a:rPr lang="en-US" sz="800" b="0" i="0" strike="noStrike">
              <a:solidFill>
                <a:srgbClr val="000000"/>
              </a:solidFill>
              <a:latin typeface="Arial"/>
              <a:cs typeface="Arial"/>
            </a:rPr>
            <a:t>Department of Statistics &amp; Actuarial Science </a:t>
          </a:r>
        </a:p>
        <a:p>
          <a:pPr algn="l" rtl="1">
            <a:defRPr sz="1000"/>
          </a:pPr>
          <a:r>
            <a:rPr lang="en-US" sz="800" b="0" i="0" strike="noStrike">
              <a:solidFill>
                <a:srgbClr val="000000"/>
              </a:solidFill>
              <a:latin typeface="Arial"/>
              <a:cs typeface="Arial"/>
            </a:rPr>
            <a:t>The University of Iowa, Iowa City, IA 52242  USA</a:t>
          </a:r>
        </a:p>
        <a:p>
          <a:pPr algn="l" rtl="1">
            <a:defRPr sz="1000"/>
          </a:pPr>
          <a:r>
            <a:rPr lang="en-US" sz="800" b="0" i="0" strike="noStrike">
              <a:solidFill>
                <a:srgbClr val="000000"/>
              </a:solidFill>
              <a:latin typeface="Arial"/>
              <a:cs typeface="Arial"/>
            </a:rPr>
            <a:t>http://www.stat.uiowa.edu/~rlenth/</a:t>
          </a: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In fond memory of: Richard Moisan, Laszlo Endrenyi</a:t>
          </a:r>
        </a:p>
        <a:p>
          <a:pPr algn="l" rtl="1">
            <a:defRPr sz="1000"/>
          </a:pPr>
          <a:endParaRPr lang="en-US" sz="800" b="0" i="0" strike="noStrike">
            <a:solidFill>
              <a:srgbClr val="000000"/>
            </a:solidFill>
            <a:latin typeface="Arial"/>
            <a:cs typeface="Aria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85240</xdr:colOff>
      <xdr:row>25</xdr:row>
      <xdr:rowOff>121301</xdr:rowOff>
    </xdr:from>
    <xdr:to>
      <xdr:col>8</xdr:col>
      <xdr:colOff>594035</xdr:colOff>
      <xdr:row>30</xdr:row>
      <xdr:rowOff>131731</xdr:rowOff>
    </xdr:to>
    <xdr:pic>
      <xdr:nvPicPr>
        <xdr:cNvPr id="11706" name="Picture 4">
          <a:extLst>
            <a:ext uri="{FF2B5EF4-FFF2-40B4-BE49-F238E27FC236}">
              <a16:creationId xmlns:a16="http://schemas.microsoft.com/office/drawing/2014/main" id="{00000000-0008-0000-0100-0000BA2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8490" r="23749" b="10378"/>
        <a:stretch>
          <a:fillRect/>
        </a:stretch>
      </xdr:blipFill>
      <xdr:spPr bwMode="auto">
        <a:xfrm>
          <a:off x="434193" y="4864217"/>
          <a:ext cx="5817336" cy="86881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80565</xdr:colOff>
      <xdr:row>31</xdr:row>
      <xdr:rowOff>73952</xdr:rowOff>
    </xdr:from>
    <xdr:to>
      <xdr:col>12</xdr:col>
      <xdr:colOff>474793</xdr:colOff>
      <xdr:row>34</xdr:row>
      <xdr:rowOff>155149</xdr:rowOff>
    </xdr:to>
    <xdr:pic>
      <xdr:nvPicPr>
        <xdr:cNvPr id="11707" name="Picture 8">
          <a:extLst>
            <a:ext uri="{FF2B5EF4-FFF2-40B4-BE49-F238E27FC236}">
              <a16:creationId xmlns:a16="http://schemas.microsoft.com/office/drawing/2014/main" id="{00000000-0008-0000-0100-0000BB2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9518" y="5842363"/>
          <a:ext cx="8217209" cy="5939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480934</xdr:colOff>
      <xdr:row>22</xdr:row>
      <xdr:rowOff>114925</xdr:rowOff>
    </xdr:from>
    <xdr:to>
      <xdr:col>13</xdr:col>
      <xdr:colOff>16364</xdr:colOff>
      <xdr:row>26</xdr:row>
      <xdr:rowOff>107305</xdr:rowOff>
    </xdr:to>
    <xdr:pic>
      <xdr:nvPicPr>
        <xdr:cNvPr id="11708" name="Picture 11">
          <a:extLst>
            <a:ext uri="{FF2B5EF4-FFF2-40B4-BE49-F238E27FC236}">
              <a16:creationId xmlns:a16="http://schemas.microsoft.com/office/drawing/2014/main" id="{00000000-0008-0000-0100-0000BC2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172262" y="4224728"/>
          <a:ext cx="4532151" cy="7481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275569</xdr:colOff>
      <xdr:row>37</xdr:row>
      <xdr:rowOff>108180</xdr:rowOff>
    </xdr:from>
    <xdr:to>
      <xdr:col>13</xdr:col>
      <xdr:colOff>285094</xdr:colOff>
      <xdr:row>55</xdr:row>
      <xdr:rowOff>1281</xdr:rowOff>
    </xdr:to>
    <xdr:pic>
      <xdr:nvPicPr>
        <xdr:cNvPr id="11709" name="Picture 15">
          <a:extLst>
            <a:ext uri="{FF2B5EF4-FFF2-40B4-BE49-F238E27FC236}">
              <a16:creationId xmlns:a16="http://schemas.microsoft.com/office/drawing/2014/main" id="{00000000-0008-0000-0100-0000BD2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5569" y="6878737"/>
          <a:ext cx="8779489" cy="294306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313045</xdr:colOff>
      <xdr:row>55</xdr:row>
      <xdr:rowOff>13617</xdr:rowOff>
    </xdr:from>
    <xdr:to>
      <xdr:col>13</xdr:col>
      <xdr:colOff>210175</xdr:colOff>
      <xdr:row>64</xdr:row>
      <xdr:rowOff>134850</xdr:rowOff>
    </xdr:to>
    <xdr:pic>
      <xdr:nvPicPr>
        <xdr:cNvPr id="11710" name="Picture 16">
          <a:extLst>
            <a:ext uri="{FF2B5EF4-FFF2-40B4-BE49-F238E27FC236}">
              <a16:creationId xmlns:a16="http://schemas.microsoft.com/office/drawing/2014/main" id="{00000000-0008-0000-0100-0000BE2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3045" y="9844666"/>
          <a:ext cx="8657569" cy="16351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590550</xdr:colOff>
          <xdr:row>21</xdr:row>
          <xdr:rowOff>76200</xdr:rowOff>
        </xdr:from>
        <xdr:to>
          <xdr:col>4</xdr:col>
          <xdr:colOff>209550</xdr:colOff>
          <xdr:row>23</xdr:row>
          <xdr:rowOff>19050</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100-000009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576122</xdr:colOff>
      <xdr:row>6</xdr:row>
      <xdr:rowOff>131352</xdr:rowOff>
    </xdr:from>
    <xdr:to>
      <xdr:col>13</xdr:col>
      <xdr:colOff>149652</xdr:colOff>
      <xdr:row>22</xdr:row>
      <xdr:rowOff>49406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476250</xdr:colOff>
          <xdr:row>7</xdr:row>
          <xdr:rowOff>95250</xdr:rowOff>
        </xdr:from>
        <xdr:to>
          <xdr:col>13</xdr:col>
          <xdr:colOff>19050</xdr:colOff>
          <xdr:row>8</xdr:row>
          <xdr:rowOff>133350</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0100-00000C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476250</xdr:colOff>
          <xdr:row>8</xdr:row>
          <xdr:rowOff>133350</xdr:rowOff>
        </xdr:from>
        <xdr:to>
          <xdr:col>13</xdr:col>
          <xdr:colOff>19050</xdr:colOff>
          <xdr:row>10</xdr:row>
          <xdr:rowOff>9525</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100-00000D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476250</xdr:colOff>
          <xdr:row>10</xdr:row>
          <xdr:rowOff>9525</xdr:rowOff>
        </xdr:from>
        <xdr:to>
          <xdr:col>13</xdr:col>
          <xdr:colOff>19050</xdr:colOff>
          <xdr:row>11</xdr:row>
          <xdr:rowOff>28575</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100-00000E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7620</xdr:colOff>
      <xdr:row>24</xdr:row>
      <xdr:rowOff>38100</xdr:rowOff>
    </xdr:from>
    <xdr:to>
      <xdr:col>6</xdr:col>
      <xdr:colOff>190500</xdr:colOff>
      <xdr:row>29</xdr:row>
      <xdr:rowOff>22860</xdr:rowOff>
    </xdr:to>
    <xdr:pic>
      <xdr:nvPicPr>
        <xdr:cNvPr id="12649" name="Picture 4">
          <a:extLst>
            <a:ext uri="{FF2B5EF4-FFF2-40B4-BE49-F238E27FC236}">
              <a16:creationId xmlns:a16="http://schemas.microsoft.com/office/drawing/2014/main" id="{00000000-0008-0000-0200-0000693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867" r="38461"/>
        <a:stretch>
          <a:fillRect/>
        </a:stretch>
      </xdr:blipFill>
      <xdr:spPr bwMode="auto">
        <a:xfrm>
          <a:off x="358140" y="4411980"/>
          <a:ext cx="4168140" cy="906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29</xdr:row>
      <xdr:rowOff>15240</xdr:rowOff>
    </xdr:from>
    <xdr:to>
      <xdr:col>12</xdr:col>
      <xdr:colOff>434340</xdr:colOff>
      <xdr:row>32</xdr:row>
      <xdr:rowOff>99060</xdr:rowOff>
    </xdr:to>
    <xdr:pic>
      <xdr:nvPicPr>
        <xdr:cNvPr id="12650" name="Picture 13">
          <a:extLst>
            <a:ext uri="{FF2B5EF4-FFF2-40B4-BE49-F238E27FC236}">
              <a16:creationId xmlns:a16="http://schemas.microsoft.com/office/drawing/2014/main" id="{00000000-0008-0000-0200-00006A31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4975860"/>
          <a:ext cx="8206740" cy="586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472440</xdr:colOff>
      <xdr:row>24</xdr:row>
      <xdr:rowOff>114300</xdr:rowOff>
    </xdr:from>
    <xdr:to>
      <xdr:col>14</xdr:col>
      <xdr:colOff>7620</xdr:colOff>
      <xdr:row>28</xdr:row>
      <xdr:rowOff>137160</xdr:rowOff>
    </xdr:to>
    <xdr:pic>
      <xdr:nvPicPr>
        <xdr:cNvPr id="12651" name="Picture 19">
          <a:extLst>
            <a:ext uri="{FF2B5EF4-FFF2-40B4-BE49-F238E27FC236}">
              <a16:creationId xmlns:a16="http://schemas.microsoft.com/office/drawing/2014/main" id="{00000000-0008-0000-0200-00006B31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808220" y="4488180"/>
          <a:ext cx="4533900" cy="7772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30480</xdr:colOff>
      <xdr:row>34</xdr:row>
      <xdr:rowOff>144780</xdr:rowOff>
    </xdr:from>
    <xdr:to>
      <xdr:col>13</xdr:col>
      <xdr:colOff>304800</xdr:colOff>
      <xdr:row>44</xdr:row>
      <xdr:rowOff>22860</xdr:rowOff>
    </xdr:to>
    <xdr:pic>
      <xdr:nvPicPr>
        <xdr:cNvPr id="12652" name="Picture 20">
          <a:extLst>
            <a:ext uri="{FF2B5EF4-FFF2-40B4-BE49-F238E27FC236}">
              <a16:creationId xmlns:a16="http://schemas.microsoft.com/office/drawing/2014/main" id="{00000000-0008-0000-0200-00006C31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1000" y="5996940"/>
          <a:ext cx="8633460" cy="15544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590550</xdr:colOff>
          <xdr:row>21</xdr:row>
          <xdr:rowOff>76200</xdr:rowOff>
        </xdr:from>
        <xdr:to>
          <xdr:col>4</xdr:col>
          <xdr:colOff>209550</xdr:colOff>
          <xdr:row>23</xdr:row>
          <xdr:rowOff>19050</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200-00000C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617220</xdr:colOff>
      <xdr:row>6</xdr:row>
      <xdr:rowOff>99060</xdr:rowOff>
    </xdr:from>
    <xdr:to>
      <xdr:col>12</xdr:col>
      <xdr:colOff>205562</xdr:colOff>
      <xdr:row>22</xdr:row>
      <xdr:rowOff>120020</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552450</xdr:colOff>
          <xdr:row>7</xdr:row>
          <xdr:rowOff>19050</xdr:rowOff>
        </xdr:from>
        <xdr:to>
          <xdr:col>12</xdr:col>
          <xdr:colOff>76200</xdr:colOff>
          <xdr:row>8</xdr:row>
          <xdr:rowOff>38100</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0200-000010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552450</xdr:colOff>
          <xdr:row>8</xdr:row>
          <xdr:rowOff>38100</xdr:rowOff>
        </xdr:from>
        <xdr:to>
          <xdr:col>12</xdr:col>
          <xdr:colOff>76200</xdr:colOff>
          <xdr:row>9</xdr:row>
          <xdr:rowOff>95250</xdr:rowOff>
        </xdr:to>
        <xdr:sp macro="" textlink="">
          <xdr:nvSpPr>
            <xdr:cNvPr id="12305" name="Check Box 17" hidden="1">
              <a:extLst>
                <a:ext uri="{63B3BB69-23CF-44E3-9099-C40C66FF867C}">
                  <a14:compatExt spid="_x0000_s12305"/>
                </a:ext>
                <a:ext uri="{FF2B5EF4-FFF2-40B4-BE49-F238E27FC236}">
                  <a16:creationId xmlns:a16="http://schemas.microsoft.com/office/drawing/2014/main" id="{00000000-0008-0000-0200-000011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552450</xdr:colOff>
          <xdr:row>9</xdr:row>
          <xdr:rowOff>95250</xdr:rowOff>
        </xdr:from>
        <xdr:to>
          <xdr:col>12</xdr:col>
          <xdr:colOff>76200</xdr:colOff>
          <xdr:row>10</xdr:row>
          <xdr:rowOff>114300</xdr:rowOff>
        </xdr:to>
        <xdr:sp macro="" textlink="">
          <xdr:nvSpPr>
            <xdr:cNvPr id="12306" name="Check Box 18" hidden="1">
              <a:extLst>
                <a:ext uri="{63B3BB69-23CF-44E3-9099-C40C66FF867C}">
                  <a14:compatExt spid="_x0000_s12306"/>
                </a:ext>
                <a:ext uri="{FF2B5EF4-FFF2-40B4-BE49-F238E27FC236}">
                  <a16:creationId xmlns:a16="http://schemas.microsoft.com/office/drawing/2014/main" id="{00000000-0008-0000-0200-000012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22860</xdr:colOff>
      <xdr:row>28</xdr:row>
      <xdr:rowOff>15240</xdr:rowOff>
    </xdr:from>
    <xdr:to>
      <xdr:col>10</xdr:col>
      <xdr:colOff>403860</xdr:colOff>
      <xdr:row>34</xdr:row>
      <xdr:rowOff>167640</xdr:rowOff>
    </xdr:to>
    <xdr:pic>
      <xdr:nvPicPr>
        <xdr:cNvPr id="15886" name="Picture 5">
          <a:extLst>
            <a:ext uri="{FF2B5EF4-FFF2-40B4-BE49-F238E27FC236}">
              <a16:creationId xmlns:a16="http://schemas.microsoft.com/office/drawing/2014/main" id="{00000000-0008-0000-0300-00000E3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7643"/>
        <a:stretch>
          <a:fillRect/>
        </a:stretch>
      </xdr:blipFill>
      <xdr:spPr bwMode="auto">
        <a:xfrm>
          <a:off x="373380" y="5204460"/>
          <a:ext cx="7078980" cy="1661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457200</xdr:colOff>
      <xdr:row>24</xdr:row>
      <xdr:rowOff>99060</xdr:rowOff>
    </xdr:from>
    <xdr:to>
      <xdr:col>7</xdr:col>
      <xdr:colOff>426720</xdr:colOff>
      <xdr:row>27</xdr:row>
      <xdr:rowOff>243840</xdr:rowOff>
    </xdr:to>
    <xdr:pic>
      <xdr:nvPicPr>
        <xdr:cNvPr id="15887" name="Picture 6">
          <a:extLst>
            <a:ext uri="{FF2B5EF4-FFF2-40B4-BE49-F238E27FC236}">
              <a16:creationId xmlns:a16="http://schemas.microsoft.com/office/drawing/2014/main" id="{00000000-0008-0000-0300-00000F3E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7720" y="4450080"/>
          <a:ext cx="4792980" cy="7315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341267</xdr:colOff>
      <xdr:row>34</xdr:row>
      <xdr:rowOff>239757</xdr:rowOff>
    </xdr:from>
    <xdr:to>
      <xdr:col>12</xdr:col>
      <xdr:colOff>440327</xdr:colOff>
      <xdr:row>37</xdr:row>
      <xdr:rowOff>63409</xdr:rowOff>
    </xdr:to>
    <xdr:pic>
      <xdr:nvPicPr>
        <xdr:cNvPr id="15888" name="Picture 7">
          <a:extLst>
            <a:ext uri="{FF2B5EF4-FFF2-40B4-BE49-F238E27FC236}">
              <a16:creationId xmlns:a16="http://schemas.microsoft.com/office/drawing/2014/main" id="{00000000-0008-0000-0300-0000103E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1267" y="7002507"/>
          <a:ext cx="8406221" cy="5788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333647</xdr:colOff>
      <xdr:row>37</xdr:row>
      <xdr:rowOff>17689</xdr:rowOff>
    </xdr:from>
    <xdr:to>
      <xdr:col>5</xdr:col>
      <xdr:colOff>82187</xdr:colOff>
      <xdr:row>40</xdr:row>
      <xdr:rowOff>116749</xdr:rowOff>
    </xdr:to>
    <xdr:pic>
      <xdr:nvPicPr>
        <xdr:cNvPr id="15889" name="Picture 8">
          <a:extLst>
            <a:ext uri="{FF2B5EF4-FFF2-40B4-BE49-F238E27FC236}">
              <a16:creationId xmlns:a16="http://schemas.microsoft.com/office/drawing/2014/main" id="{00000000-0008-0000-0300-0000113E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3647" y="7535635"/>
          <a:ext cx="3674201" cy="6093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328205</xdr:colOff>
      <xdr:row>43</xdr:row>
      <xdr:rowOff>105047</xdr:rowOff>
    </xdr:from>
    <xdr:to>
      <xdr:col>13</xdr:col>
      <xdr:colOff>73479</xdr:colOff>
      <xdr:row>54</xdr:row>
      <xdr:rowOff>112667</xdr:rowOff>
    </xdr:to>
    <xdr:pic>
      <xdr:nvPicPr>
        <xdr:cNvPr id="15890" name="Picture 14">
          <a:extLst>
            <a:ext uri="{FF2B5EF4-FFF2-40B4-BE49-F238E27FC236}">
              <a16:creationId xmlns:a16="http://schemas.microsoft.com/office/drawing/2014/main" id="{00000000-0008-0000-0300-0000123E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8205" y="8691154"/>
          <a:ext cx="8678363" cy="18786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306978</xdr:colOff>
      <xdr:row>54</xdr:row>
      <xdr:rowOff>97427</xdr:rowOff>
    </xdr:from>
    <xdr:to>
      <xdr:col>13</xdr:col>
      <xdr:colOff>52252</xdr:colOff>
      <xdr:row>62</xdr:row>
      <xdr:rowOff>35651</xdr:rowOff>
    </xdr:to>
    <xdr:pic>
      <xdr:nvPicPr>
        <xdr:cNvPr id="15891" name="Picture 15">
          <a:extLst>
            <a:ext uri="{FF2B5EF4-FFF2-40B4-BE49-F238E27FC236}">
              <a16:creationId xmlns:a16="http://schemas.microsoft.com/office/drawing/2014/main" id="{00000000-0008-0000-0300-0000133E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978" y="10554516"/>
          <a:ext cx="8678363" cy="13193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533400</xdr:colOff>
          <xdr:row>23</xdr:row>
          <xdr:rowOff>19050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19050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3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342900</xdr:colOff>
      <xdr:row>8</xdr:row>
      <xdr:rowOff>22860</xdr:rowOff>
    </xdr:from>
    <xdr:to>
      <xdr:col>12</xdr:col>
      <xdr:colOff>556082</xdr:colOff>
      <xdr:row>24</xdr:row>
      <xdr:rowOff>89540</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323850</xdr:colOff>
          <xdr:row>8</xdr:row>
          <xdr:rowOff>114300</xdr:rowOff>
        </xdr:from>
        <xdr:to>
          <xdr:col>12</xdr:col>
          <xdr:colOff>476250</xdr:colOff>
          <xdr:row>9</xdr:row>
          <xdr:rowOff>171450</xdr:rowOff>
        </xdr:to>
        <xdr:sp macro="" textlink="">
          <xdr:nvSpPr>
            <xdr:cNvPr id="15376" name="Check Box 16" hidden="1">
              <a:extLst>
                <a:ext uri="{63B3BB69-23CF-44E3-9099-C40C66FF867C}">
                  <a14:compatExt spid="_x0000_s15376"/>
                </a:ext>
                <a:ext uri="{FF2B5EF4-FFF2-40B4-BE49-F238E27FC236}">
                  <a16:creationId xmlns:a16="http://schemas.microsoft.com/office/drawing/2014/main" id="{00000000-0008-0000-0300-000010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323850</xdr:colOff>
          <xdr:row>9</xdr:row>
          <xdr:rowOff>171450</xdr:rowOff>
        </xdr:from>
        <xdr:to>
          <xdr:col>12</xdr:col>
          <xdr:colOff>476250</xdr:colOff>
          <xdr:row>11</xdr:row>
          <xdr:rowOff>19050</xdr:rowOff>
        </xdr:to>
        <xdr:sp macro="" textlink="">
          <xdr:nvSpPr>
            <xdr:cNvPr id="15377" name="Check Box 17" hidden="1">
              <a:extLst>
                <a:ext uri="{63B3BB69-23CF-44E3-9099-C40C66FF867C}">
                  <a14:compatExt spid="_x0000_s15377"/>
                </a:ext>
                <a:ext uri="{FF2B5EF4-FFF2-40B4-BE49-F238E27FC236}">
                  <a16:creationId xmlns:a16="http://schemas.microsoft.com/office/drawing/2014/main" id="{00000000-0008-0000-0300-000011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323850</xdr:colOff>
          <xdr:row>11</xdr:row>
          <xdr:rowOff>19050</xdr:rowOff>
        </xdr:from>
        <xdr:to>
          <xdr:col>12</xdr:col>
          <xdr:colOff>476250</xdr:colOff>
          <xdr:row>12</xdr:row>
          <xdr:rowOff>57150</xdr:rowOff>
        </xdr:to>
        <xdr:sp macro="" textlink="">
          <xdr:nvSpPr>
            <xdr:cNvPr id="15378" name="Check Box 18" hidden="1">
              <a:extLst>
                <a:ext uri="{63B3BB69-23CF-44E3-9099-C40C66FF867C}">
                  <a14:compatExt spid="_x0000_s15378"/>
                </a:ext>
                <a:ext uri="{FF2B5EF4-FFF2-40B4-BE49-F238E27FC236}">
                  <a16:creationId xmlns:a16="http://schemas.microsoft.com/office/drawing/2014/main" id="{00000000-0008-0000-0300-000012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99060</xdr:colOff>
      <xdr:row>28</xdr:row>
      <xdr:rowOff>68580</xdr:rowOff>
    </xdr:from>
    <xdr:to>
      <xdr:col>9</xdr:col>
      <xdr:colOff>434340</xdr:colOff>
      <xdr:row>36</xdr:row>
      <xdr:rowOff>121920</xdr:rowOff>
    </xdr:to>
    <xdr:pic>
      <xdr:nvPicPr>
        <xdr:cNvPr id="16908" name="Picture 4">
          <a:extLst>
            <a:ext uri="{FF2B5EF4-FFF2-40B4-BE49-F238E27FC236}">
              <a16:creationId xmlns:a16="http://schemas.microsoft.com/office/drawing/2014/main" id="{00000000-0008-0000-0400-00000C4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18182"/>
        <a:stretch>
          <a:fillRect/>
        </a:stretch>
      </xdr:blipFill>
      <xdr:spPr bwMode="auto">
        <a:xfrm>
          <a:off x="449580" y="5120640"/>
          <a:ext cx="6408420" cy="13944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15240</xdr:colOff>
      <xdr:row>37</xdr:row>
      <xdr:rowOff>60960</xdr:rowOff>
    </xdr:from>
    <xdr:to>
      <xdr:col>12</xdr:col>
      <xdr:colOff>464820</xdr:colOff>
      <xdr:row>40</xdr:row>
      <xdr:rowOff>121920</xdr:rowOff>
    </xdr:to>
    <xdr:pic>
      <xdr:nvPicPr>
        <xdr:cNvPr id="16909" name="Picture 9">
          <a:extLst>
            <a:ext uri="{FF2B5EF4-FFF2-40B4-BE49-F238E27FC236}">
              <a16:creationId xmlns:a16="http://schemas.microsoft.com/office/drawing/2014/main" id="{00000000-0008-0000-0400-00000D42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5760" y="5615940"/>
          <a:ext cx="8397240" cy="5638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40</xdr:row>
      <xdr:rowOff>182880</xdr:rowOff>
    </xdr:from>
    <xdr:to>
      <xdr:col>5</xdr:col>
      <xdr:colOff>99060</xdr:colOff>
      <xdr:row>44</xdr:row>
      <xdr:rowOff>30480</xdr:rowOff>
    </xdr:to>
    <xdr:pic>
      <xdr:nvPicPr>
        <xdr:cNvPr id="16910" name="Picture 10">
          <a:extLst>
            <a:ext uri="{FF2B5EF4-FFF2-40B4-BE49-F238E27FC236}">
              <a16:creationId xmlns:a16="http://schemas.microsoft.com/office/drawing/2014/main" id="{00000000-0008-0000-0400-00000E42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899660"/>
          <a:ext cx="367284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845820</xdr:colOff>
      <xdr:row>24</xdr:row>
      <xdr:rowOff>7620</xdr:rowOff>
    </xdr:from>
    <xdr:to>
      <xdr:col>8</xdr:col>
      <xdr:colOff>190500</xdr:colOff>
      <xdr:row>28</xdr:row>
      <xdr:rowOff>60960</xdr:rowOff>
    </xdr:to>
    <xdr:pic>
      <xdr:nvPicPr>
        <xdr:cNvPr id="16911" name="Picture 11">
          <a:extLst>
            <a:ext uri="{FF2B5EF4-FFF2-40B4-BE49-F238E27FC236}">
              <a16:creationId xmlns:a16="http://schemas.microsoft.com/office/drawing/2014/main" id="{00000000-0008-0000-0400-00000F42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6340" y="4389120"/>
          <a:ext cx="479298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46</xdr:row>
      <xdr:rowOff>30480</xdr:rowOff>
    </xdr:from>
    <xdr:to>
      <xdr:col>13</xdr:col>
      <xdr:colOff>99060</xdr:colOff>
      <xdr:row>49</xdr:row>
      <xdr:rowOff>68580</xdr:rowOff>
    </xdr:to>
    <xdr:pic>
      <xdr:nvPicPr>
        <xdr:cNvPr id="16912" name="Picture 12">
          <a:extLst>
            <a:ext uri="{FF2B5EF4-FFF2-40B4-BE49-F238E27FC236}">
              <a16:creationId xmlns:a16="http://schemas.microsoft.com/office/drawing/2014/main" id="{00000000-0008-0000-0400-00001042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890260"/>
          <a:ext cx="8671560" cy="5410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49</xdr:row>
      <xdr:rowOff>22860</xdr:rowOff>
    </xdr:from>
    <xdr:to>
      <xdr:col>13</xdr:col>
      <xdr:colOff>99060</xdr:colOff>
      <xdr:row>59</xdr:row>
      <xdr:rowOff>160020</xdr:rowOff>
    </xdr:to>
    <xdr:pic>
      <xdr:nvPicPr>
        <xdr:cNvPr id="16913" name="Picture 13">
          <a:extLst>
            <a:ext uri="{FF2B5EF4-FFF2-40B4-BE49-F238E27FC236}">
              <a16:creationId xmlns:a16="http://schemas.microsoft.com/office/drawing/2014/main" id="{00000000-0008-0000-0400-00001142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6385560"/>
          <a:ext cx="8671560" cy="18135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533400</xdr:colOff>
          <xdr:row>23</xdr:row>
          <xdr:rowOff>19050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19050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373380</xdr:colOff>
      <xdr:row>7</xdr:row>
      <xdr:rowOff>106680</xdr:rowOff>
    </xdr:from>
    <xdr:to>
      <xdr:col>11</xdr:col>
      <xdr:colOff>594182</xdr:colOff>
      <xdr:row>24</xdr:row>
      <xdr:rowOff>1093</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361950</xdr:colOff>
          <xdr:row>7</xdr:row>
          <xdr:rowOff>209550</xdr:rowOff>
        </xdr:from>
        <xdr:to>
          <xdr:col>11</xdr:col>
          <xdr:colOff>514350</xdr:colOff>
          <xdr:row>9</xdr:row>
          <xdr:rowOff>38100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361950</xdr:colOff>
          <xdr:row>9</xdr:row>
          <xdr:rowOff>38100</xdr:rowOff>
        </xdr:from>
        <xdr:to>
          <xdr:col>11</xdr:col>
          <xdr:colOff>514350</xdr:colOff>
          <xdr:row>10</xdr:row>
          <xdr:rowOff>57150</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361950</xdr:colOff>
          <xdr:row>10</xdr:row>
          <xdr:rowOff>57150</xdr:rowOff>
        </xdr:from>
        <xdr:to>
          <xdr:col>11</xdr:col>
          <xdr:colOff>514350</xdr:colOff>
          <xdr:row>11</xdr:row>
          <xdr:rowOff>95250</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297180</xdr:colOff>
      <xdr:row>28</xdr:row>
      <xdr:rowOff>15240</xdr:rowOff>
    </xdr:from>
    <xdr:to>
      <xdr:col>7</xdr:col>
      <xdr:colOff>106680</xdr:colOff>
      <xdr:row>31</xdr:row>
      <xdr:rowOff>152400</xdr:rowOff>
    </xdr:to>
    <xdr:pic>
      <xdr:nvPicPr>
        <xdr:cNvPr id="18104" name="Picture 5">
          <a:extLst>
            <a:ext uri="{FF2B5EF4-FFF2-40B4-BE49-F238E27FC236}">
              <a16:creationId xmlns:a16="http://schemas.microsoft.com/office/drawing/2014/main" id="{00000000-0008-0000-0500-0000B84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7180" y="5036820"/>
          <a:ext cx="4754880" cy="640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251460</xdr:colOff>
      <xdr:row>26</xdr:row>
      <xdr:rowOff>160020</xdr:rowOff>
    </xdr:from>
    <xdr:to>
      <xdr:col>11</xdr:col>
      <xdr:colOff>594360</xdr:colOff>
      <xdr:row>32</xdr:row>
      <xdr:rowOff>129540</xdr:rowOff>
    </xdr:to>
    <xdr:pic>
      <xdr:nvPicPr>
        <xdr:cNvPr id="18105" name="Picture 6">
          <a:extLst>
            <a:ext uri="{FF2B5EF4-FFF2-40B4-BE49-F238E27FC236}">
              <a16:creationId xmlns:a16="http://schemas.microsoft.com/office/drawing/2014/main" id="{00000000-0008-0000-0500-0000B94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96840" y="4846320"/>
          <a:ext cx="2842260" cy="975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32</xdr:row>
      <xdr:rowOff>114300</xdr:rowOff>
    </xdr:from>
    <xdr:to>
      <xdr:col>10</xdr:col>
      <xdr:colOff>320040</xdr:colOff>
      <xdr:row>35</xdr:row>
      <xdr:rowOff>213360</xdr:rowOff>
    </xdr:to>
    <xdr:pic>
      <xdr:nvPicPr>
        <xdr:cNvPr id="18106" name="Picture 8">
          <a:extLst>
            <a:ext uri="{FF2B5EF4-FFF2-40B4-BE49-F238E27FC236}">
              <a16:creationId xmlns:a16="http://schemas.microsoft.com/office/drawing/2014/main" id="{00000000-0008-0000-0500-0000BA4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5806440"/>
          <a:ext cx="678942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35</xdr:row>
      <xdr:rowOff>190500</xdr:rowOff>
    </xdr:from>
    <xdr:to>
      <xdr:col>2</xdr:col>
      <xdr:colOff>594360</xdr:colOff>
      <xdr:row>39</xdr:row>
      <xdr:rowOff>68580</xdr:rowOff>
    </xdr:to>
    <xdr:pic>
      <xdr:nvPicPr>
        <xdr:cNvPr id="18107" name="Picture 9">
          <a:extLst>
            <a:ext uri="{FF2B5EF4-FFF2-40B4-BE49-F238E27FC236}">
              <a16:creationId xmlns:a16="http://schemas.microsoft.com/office/drawing/2014/main" id="{00000000-0008-0000-0500-0000BB4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76800"/>
          <a:ext cx="2065020" cy="6324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83820</xdr:colOff>
      <xdr:row>23</xdr:row>
      <xdr:rowOff>137160</xdr:rowOff>
    </xdr:from>
    <xdr:to>
      <xdr:col>7</xdr:col>
      <xdr:colOff>281940</xdr:colOff>
      <xdr:row>27</xdr:row>
      <xdr:rowOff>83820</xdr:rowOff>
    </xdr:to>
    <xdr:pic>
      <xdr:nvPicPr>
        <xdr:cNvPr id="18108" name="Picture 10">
          <a:extLst>
            <a:ext uri="{FF2B5EF4-FFF2-40B4-BE49-F238E27FC236}">
              <a16:creationId xmlns:a16="http://schemas.microsoft.com/office/drawing/2014/main" id="{00000000-0008-0000-0500-0000BC4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4340" y="4320540"/>
          <a:ext cx="4792980" cy="617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13</xdr:col>
      <xdr:colOff>281940</xdr:colOff>
      <xdr:row>44</xdr:row>
      <xdr:rowOff>45720</xdr:rowOff>
    </xdr:to>
    <xdr:pic>
      <xdr:nvPicPr>
        <xdr:cNvPr id="18109" name="Picture 13">
          <a:extLst>
            <a:ext uri="{FF2B5EF4-FFF2-40B4-BE49-F238E27FC236}">
              <a16:creationId xmlns:a16="http://schemas.microsoft.com/office/drawing/2014/main" id="{00000000-0008-0000-0500-0000BD4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29300"/>
          <a:ext cx="8625840" cy="5486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44</xdr:row>
      <xdr:rowOff>22860</xdr:rowOff>
    </xdr:from>
    <xdr:to>
      <xdr:col>13</xdr:col>
      <xdr:colOff>358140</xdr:colOff>
      <xdr:row>54</xdr:row>
      <xdr:rowOff>129540</xdr:rowOff>
    </xdr:to>
    <xdr:pic>
      <xdr:nvPicPr>
        <xdr:cNvPr id="18110" name="Picture 14">
          <a:extLst>
            <a:ext uri="{FF2B5EF4-FFF2-40B4-BE49-F238E27FC236}">
              <a16:creationId xmlns:a16="http://schemas.microsoft.com/office/drawing/2014/main" id="{00000000-0008-0000-0500-0000BE4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50520" y="6355080"/>
          <a:ext cx="8702040" cy="1783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55</xdr:row>
      <xdr:rowOff>137160</xdr:rowOff>
    </xdr:from>
    <xdr:to>
      <xdr:col>13</xdr:col>
      <xdr:colOff>289560</xdr:colOff>
      <xdr:row>61</xdr:row>
      <xdr:rowOff>160020</xdr:rowOff>
    </xdr:to>
    <xdr:pic>
      <xdr:nvPicPr>
        <xdr:cNvPr id="18111" name="Picture 15">
          <a:extLst>
            <a:ext uri="{FF2B5EF4-FFF2-40B4-BE49-F238E27FC236}">
              <a16:creationId xmlns:a16="http://schemas.microsoft.com/office/drawing/2014/main" id="{00000000-0008-0000-0500-0000BF4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58140" y="8313420"/>
          <a:ext cx="862584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590550</xdr:colOff>
          <xdr:row>21</xdr:row>
          <xdr:rowOff>76200</xdr:rowOff>
        </xdr:from>
        <xdr:to>
          <xdr:col>4</xdr:col>
          <xdr:colOff>209550</xdr:colOff>
          <xdr:row>23</xdr:row>
          <xdr:rowOff>19050</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500-00000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617220</xdr:colOff>
      <xdr:row>7</xdr:row>
      <xdr:rowOff>76200</xdr:rowOff>
    </xdr:from>
    <xdr:to>
      <xdr:col>13</xdr:col>
      <xdr:colOff>213182</xdr:colOff>
      <xdr:row>24</xdr:row>
      <xdr:rowOff>1093</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590550</xdr:colOff>
          <xdr:row>7</xdr:row>
          <xdr:rowOff>171450</xdr:rowOff>
        </xdr:from>
        <xdr:to>
          <xdr:col>13</xdr:col>
          <xdr:colOff>133350</xdr:colOff>
          <xdr:row>9</xdr:row>
          <xdr:rowOff>38100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00000000-0008-0000-0500-00000D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590550</xdr:colOff>
          <xdr:row>9</xdr:row>
          <xdr:rowOff>38100</xdr:rowOff>
        </xdr:from>
        <xdr:to>
          <xdr:col>13</xdr:col>
          <xdr:colOff>133350</xdr:colOff>
          <xdr:row>10</xdr:row>
          <xdr:rowOff>95250</xdr:rowOff>
        </xdr:to>
        <xdr:sp macro="" textlink="">
          <xdr:nvSpPr>
            <xdr:cNvPr id="17422" name="Check Box 14" hidden="1">
              <a:extLst>
                <a:ext uri="{63B3BB69-23CF-44E3-9099-C40C66FF867C}">
                  <a14:compatExt spid="_x0000_s17422"/>
                </a:ext>
                <a:ext uri="{FF2B5EF4-FFF2-40B4-BE49-F238E27FC236}">
                  <a16:creationId xmlns:a16="http://schemas.microsoft.com/office/drawing/2014/main" id="{00000000-0008-0000-0500-00000E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590550</xdr:colOff>
          <xdr:row>10</xdr:row>
          <xdr:rowOff>95250</xdr:rowOff>
        </xdr:from>
        <xdr:to>
          <xdr:col>13</xdr:col>
          <xdr:colOff>133350</xdr:colOff>
          <xdr:row>11</xdr:row>
          <xdr:rowOff>133350</xdr:rowOff>
        </xdr:to>
        <xdr:sp macro="" textlink="">
          <xdr:nvSpPr>
            <xdr:cNvPr id="17423" name="Check Box 15" hidden="1">
              <a:extLst>
                <a:ext uri="{63B3BB69-23CF-44E3-9099-C40C66FF867C}">
                  <a14:compatExt spid="_x0000_s17423"/>
                </a:ext>
                <a:ext uri="{FF2B5EF4-FFF2-40B4-BE49-F238E27FC236}">
                  <a16:creationId xmlns:a16="http://schemas.microsoft.com/office/drawing/2014/main" id="{00000000-0008-0000-0500-00000F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304800</xdr:colOff>
      <xdr:row>30</xdr:row>
      <xdr:rowOff>30480</xdr:rowOff>
    </xdr:from>
    <xdr:to>
      <xdr:col>5</xdr:col>
      <xdr:colOff>76200</xdr:colOff>
      <xdr:row>32</xdr:row>
      <xdr:rowOff>144780</xdr:rowOff>
    </xdr:to>
    <xdr:pic>
      <xdr:nvPicPr>
        <xdr:cNvPr id="18955" name="Picture 5">
          <a:extLst>
            <a:ext uri="{FF2B5EF4-FFF2-40B4-BE49-F238E27FC236}">
              <a16:creationId xmlns:a16="http://schemas.microsoft.com/office/drawing/2014/main" id="{00000000-0008-0000-0600-00000B4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5417820"/>
          <a:ext cx="3467100" cy="4495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434340</xdr:colOff>
      <xdr:row>27</xdr:row>
      <xdr:rowOff>152400</xdr:rowOff>
    </xdr:from>
    <xdr:to>
      <xdr:col>9</xdr:col>
      <xdr:colOff>426720</xdr:colOff>
      <xdr:row>33</xdr:row>
      <xdr:rowOff>53340</xdr:rowOff>
    </xdr:to>
    <xdr:pic>
      <xdr:nvPicPr>
        <xdr:cNvPr id="18956" name="Picture 6">
          <a:extLst>
            <a:ext uri="{FF2B5EF4-FFF2-40B4-BE49-F238E27FC236}">
              <a16:creationId xmlns:a16="http://schemas.microsoft.com/office/drawing/2014/main" id="{00000000-0008-0000-0600-00000C4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30040" y="5036820"/>
          <a:ext cx="2491740" cy="906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32</xdr:row>
      <xdr:rowOff>160020</xdr:rowOff>
    </xdr:from>
    <xdr:to>
      <xdr:col>10</xdr:col>
      <xdr:colOff>365760</xdr:colOff>
      <xdr:row>36</xdr:row>
      <xdr:rowOff>99060</xdr:rowOff>
    </xdr:to>
    <xdr:pic>
      <xdr:nvPicPr>
        <xdr:cNvPr id="18957" name="Picture 9">
          <a:extLst>
            <a:ext uri="{FF2B5EF4-FFF2-40B4-BE49-F238E27FC236}">
              <a16:creationId xmlns:a16="http://schemas.microsoft.com/office/drawing/2014/main" id="{00000000-0008-0000-0600-00000D4A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96240" y="5882640"/>
          <a:ext cx="678942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464820</xdr:colOff>
      <xdr:row>36</xdr:row>
      <xdr:rowOff>152400</xdr:rowOff>
    </xdr:from>
    <xdr:to>
      <xdr:col>2</xdr:col>
      <xdr:colOff>594360</xdr:colOff>
      <xdr:row>40</xdr:row>
      <xdr:rowOff>30480</xdr:rowOff>
    </xdr:to>
    <xdr:pic>
      <xdr:nvPicPr>
        <xdr:cNvPr id="18958" name="Picture 10">
          <a:extLst>
            <a:ext uri="{FF2B5EF4-FFF2-40B4-BE49-F238E27FC236}">
              <a16:creationId xmlns:a16="http://schemas.microsoft.com/office/drawing/2014/main" id="{00000000-0008-0000-0600-00000E4A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69180"/>
          <a:ext cx="2065020" cy="6324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76200</xdr:colOff>
      <xdr:row>24</xdr:row>
      <xdr:rowOff>83820</xdr:rowOff>
    </xdr:from>
    <xdr:to>
      <xdr:col>7</xdr:col>
      <xdr:colOff>274320</xdr:colOff>
      <xdr:row>28</xdr:row>
      <xdr:rowOff>22860</xdr:rowOff>
    </xdr:to>
    <xdr:pic>
      <xdr:nvPicPr>
        <xdr:cNvPr id="18959" name="Picture 11">
          <a:extLst>
            <a:ext uri="{FF2B5EF4-FFF2-40B4-BE49-F238E27FC236}">
              <a16:creationId xmlns:a16="http://schemas.microsoft.com/office/drawing/2014/main" id="{00000000-0008-0000-0600-00000F4A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6720" y="4465320"/>
          <a:ext cx="479298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42</xdr:row>
      <xdr:rowOff>38100</xdr:rowOff>
    </xdr:from>
    <xdr:to>
      <xdr:col>13</xdr:col>
      <xdr:colOff>320040</xdr:colOff>
      <xdr:row>56</xdr:row>
      <xdr:rowOff>45720</xdr:rowOff>
    </xdr:to>
    <xdr:pic>
      <xdr:nvPicPr>
        <xdr:cNvPr id="18960" name="Picture 12">
          <a:extLst>
            <a:ext uri="{FF2B5EF4-FFF2-40B4-BE49-F238E27FC236}">
              <a16:creationId xmlns:a16="http://schemas.microsoft.com/office/drawing/2014/main" id="{00000000-0008-0000-0600-0000104A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97880"/>
          <a:ext cx="8663940" cy="23545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590550</xdr:colOff>
          <xdr:row>21</xdr:row>
          <xdr:rowOff>76200</xdr:rowOff>
        </xdr:from>
        <xdr:to>
          <xdr:col>4</xdr:col>
          <xdr:colOff>209550</xdr:colOff>
          <xdr:row>23</xdr:row>
          <xdr:rowOff>19050</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600-000007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495300</xdr:colOff>
      <xdr:row>7</xdr:row>
      <xdr:rowOff>160020</xdr:rowOff>
    </xdr:from>
    <xdr:to>
      <xdr:col>12</xdr:col>
      <xdr:colOff>91262</xdr:colOff>
      <xdr:row>24</xdr:row>
      <xdr:rowOff>54433</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476250</xdr:colOff>
          <xdr:row>8</xdr:row>
          <xdr:rowOff>57150</xdr:rowOff>
        </xdr:from>
        <xdr:to>
          <xdr:col>12</xdr:col>
          <xdr:colOff>19050</xdr:colOff>
          <xdr:row>9</xdr:row>
          <xdr:rowOff>95250</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0600-000009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476250</xdr:colOff>
          <xdr:row>9</xdr:row>
          <xdr:rowOff>95250</xdr:rowOff>
        </xdr:from>
        <xdr:to>
          <xdr:col>12</xdr:col>
          <xdr:colOff>19050</xdr:colOff>
          <xdr:row>10</xdr:row>
          <xdr:rowOff>95250</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0600-00000A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476250</xdr:colOff>
          <xdr:row>10</xdr:row>
          <xdr:rowOff>95250</xdr:rowOff>
        </xdr:from>
        <xdr:to>
          <xdr:col>12</xdr:col>
          <xdr:colOff>19050</xdr:colOff>
          <xdr:row>11</xdr:row>
          <xdr:rowOff>133350</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0600-00000B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312420</xdr:colOff>
      <xdr:row>41</xdr:row>
      <xdr:rowOff>0</xdr:rowOff>
    </xdr:from>
    <xdr:to>
      <xdr:col>11</xdr:col>
      <xdr:colOff>441960</xdr:colOff>
      <xdr:row>44</xdr:row>
      <xdr:rowOff>7620</xdr:rowOff>
    </xdr:to>
    <xdr:pic>
      <xdr:nvPicPr>
        <xdr:cNvPr id="3" name="Picture 1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 y="7019925"/>
          <a:ext cx="7387590" cy="5886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23</xdr:row>
          <xdr:rowOff>0</xdr:rowOff>
        </xdr:from>
        <xdr:to>
          <xdr:col>2</xdr:col>
          <xdr:colOff>0</xdr:colOff>
          <xdr:row>24</xdr:row>
          <xdr:rowOff>85725</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23</xdr:row>
          <xdr:rowOff>0</xdr:rowOff>
        </xdr:from>
        <xdr:to>
          <xdr:col>5</xdr:col>
          <xdr:colOff>95250</xdr:colOff>
          <xdr:row>24</xdr:row>
          <xdr:rowOff>85725</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23</xdr:row>
          <xdr:rowOff>0</xdr:rowOff>
        </xdr:from>
        <xdr:to>
          <xdr:col>9</xdr:col>
          <xdr:colOff>95250</xdr:colOff>
          <xdr:row>24</xdr:row>
          <xdr:rowOff>85725</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23</xdr:row>
          <xdr:rowOff>0</xdr:rowOff>
        </xdr:from>
        <xdr:to>
          <xdr:col>3</xdr:col>
          <xdr:colOff>400050</xdr:colOff>
          <xdr:row>24</xdr:row>
          <xdr:rowOff>85725</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700-000004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5</xdr:col>
      <xdr:colOff>152400</xdr:colOff>
      <xdr:row>5</xdr:row>
      <xdr:rowOff>207645</xdr:rowOff>
    </xdr:from>
    <xdr:to>
      <xdr:col>12</xdr:col>
      <xdr:colOff>373202</xdr:colOff>
      <xdr:row>22</xdr:row>
      <xdr:rowOff>92533</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161925</xdr:colOff>
          <xdr:row>6</xdr:row>
          <xdr:rowOff>57150</xdr:rowOff>
        </xdr:from>
        <xdr:to>
          <xdr:col>12</xdr:col>
          <xdr:colOff>314325</xdr:colOff>
          <xdr:row>7</xdr:row>
          <xdr:rowOff>95250</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0000000-0008-0000-0700-000005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7</xdr:row>
          <xdr:rowOff>95250</xdr:rowOff>
        </xdr:from>
        <xdr:to>
          <xdr:col>12</xdr:col>
          <xdr:colOff>314325</xdr:colOff>
          <xdr:row>8</xdr:row>
          <xdr:rowOff>152400</xdr:rowOff>
        </xdr:to>
        <xdr:sp macro="" textlink="">
          <xdr:nvSpPr>
            <xdr:cNvPr id="45062" name="Check Box 6" hidden="1">
              <a:extLst>
                <a:ext uri="{63B3BB69-23CF-44E3-9099-C40C66FF867C}">
                  <a14:compatExt spid="_x0000_s45062"/>
                </a:ext>
                <a:ext uri="{FF2B5EF4-FFF2-40B4-BE49-F238E27FC236}">
                  <a16:creationId xmlns:a16="http://schemas.microsoft.com/office/drawing/2014/main" id="{00000000-0008-0000-0700-000006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8</xdr:row>
          <xdr:rowOff>152400</xdr:rowOff>
        </xdr:from>
        <xdr:to>
          <xdr:col>12</xdr:col>
          <xdr:colOff>314325</xdr:colOff>
          <xdr:row>10</xdr:row>
          <xdr:rowOff>19050</xdr:rowOff>
        </xdr:to>
        <xdr:sp macro="" textlink="">
          <xdr:nvSpPr>
            <xdr:cNvPr id="45063" name="Check Box 7" hidden="1">
              <a:extLst>
                <a:ext uri="{63B3BB69-23CF-44E3-9099-C40C66FF867C}">
                  <a14:compatExt spid="_x0000_s45063"/>
                </a:ext>
                <a:ext uri="{FF2B5EF4-FFF2-40B4-BE49-F238E27FC236}">
                  <a16:creationId xmlns:a16="http://schemas.microsoft.com/office/drawing/2014/main" id="{00000000-0008-0000-0700-000007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7620</xdr:colOff>
      <xdr:row>32</xdr:row>
      <xdr:rowOff>154305</xdr:rowOff>
    </xdr:from>
    <xdr:to>
      <xdr:col>11</xdr:col>
      <xdr:colOff>194310</xdr:colOff>
      <xdr:row>34</xdr:row>
      <xdr:rowOff>154305</xdr:rowOff>
    </xdr:to>
    <xdr:pic>
      <xdr:nvPicPr>
        <xdr:cNvPr id="17" name="Picture 5">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7463" b="-9091"/>
        <a:stretch>
          <a:fillRect/>
        </a:stretch>
      </xdr:blipFill>
      <xdr:spPr bwMode="auto">
        <a:xfrm>
          <a:off x="350520" y="5850255"/>
          <a:ext cx="710184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35</xdr:row>
      <xdr:rowOff>0</xdr:rowOff>
    </xdr:from>
    <xdr:to>
      <xdr:col>10</xdr:col>
      <xdr:colOff>19478</xdr:colOff>
      <xdr:row>38</xdr:row>
      <xdr:rowOff>40005</xdr:rowOff>
    </xdr:to>
    <xdr:pic>
      <xdr:nvPicPr>
        <xdr:cNvPr id="18" name="Picture 6">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2900" y="6181725"/>
          <a:ext cx="6325028" cy="525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25</xdr:row>
      <xdr:rowOff>47625</xdr:rowOff>
    </xdr:from>
    <xdr:to>
      <xdr:col>4</xdr:col>
      <xdr:colOff>179070</xdr:colOff>
      <xdr:row>33</xdr:row>
      <xdr:rowOff>32385</xdr:rowOff>
    </xdr:to>
    <xdr:pic>
      <xdr:nvPicPr>
        <xdr:cNvPr id="19" name="Picture 10">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8620" y="4610100"/>
          <a:ext cx="2781300" cy="1280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314325</xdr:colOff>
      <xdr:row>45</xdr:row>
      <xdr:rowOff>28575</xdr:rowOff>
    </xdr:from>
    <xdr:to>
      <xdr:col>13</xdr:col>
      <xdr:colOff>323850</xdr:colOff>
      <xdr:row>57</xdr:row>
      <xdr:rowOff>120015</xdr:rowOff>
    </xdr:to>
    <xdr:pic>
      <xdr:nvPicPr>
        <xdr:cNvPr id="20" name="Picture 11">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4325" y="7991475"/>
          <a:ext cx="8486775" cy="20345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565784</xdr:colOff>
      <xdr:row>24</xdr:row>
      <xdr:rowOff>104775</xdr:rowOff>
    </xdr:from>
    <xdr:to>
      <xdr:col>8</xdr:col>
      <xdr:colOff>194309</xdr:colOff>
      <xdr:row>25</xdr:row>
      <xdr:rowOff>32384</xdr:rowOff>
    </xdr:to>
    <xdr:sp macro="" textlink="">
      <xdr:nvSpPr>
        <xdr:cNvPr id="21" name="Line 25">
          <a:extLst>
            <a:ext uri="{FF2B5EF4-FFF2-40B4-BE49-F238E27FC236}">
              <a16:creationId xmlns:a16="http://schemas.microsoft.com/office/drawing/2014/main" id="{00000000-0008-0000-0700-000015000000}"/>
            </a:ext>
          </a:extLst>
        </xdr:cNvPr>
        <xdr:cNvSpPr>
          <a:spLocks noChangeShapeType="1"/>
        </xdr:cNvSpPr>
      </xdr:nvSpPr>
      <xdr:spPr bwMode="auto">
        <a:xfrm flipH="1" flipV="1">
          <a:off x="5385434" y="4505325"/>
          <a:ext cx="238125" cy="89534"/>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438150</xdr:colOff>
      <xdr:row>25</xdr:row>
      <xdr:rowOff>36197</xdr:rowOff>
    </xdr:from>
    <xdr:to>
      <xdr:col>11</xdr:col>
      <xdr:colOff>411488</xdr:colOff>
      <xdr:row>32</xdr:row>
      <xdr:rowOff>25400</xdr:rowOff>
    </xdr:to>
    <xdr:sp macro="" textlink="">
      <xdr:nvSpPr>
        <xdr:cNvPr id="22" name="Text Box 26">
          <a:extLst>
            <a:ext uri="{FF2B5EF4-FFF2-40B4-BE49-F238E27FC236}">
              <a16:creationId xmlns:a16="http://schemas.microsoft.com/office/drawing/2014/main" id="{00000000-0008-0000-0700-000016000000}"/>
            </a:ext>
          </a:extLst>
        </xdr:cNvPr>
        <xdr:cNvSpPr txBox="1">
          <a:spLocks noChangeArrowheads="1"/>
        </xdr:cNvSpPr>
      </xdr:nvSpPr>
      <xdr:spPr bwMode="auto">
        <a:xfrm>
          <a:off x="4222750" y="4531997"/>
          <a:ext cx="3821438" cy="1106803"/>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a:t>
          </a:r>
          <a:r>
            <a:rPr lang="en-US" sz="1000" b="1" i="0" strike="noStrike">
              <a:solidFill>
                <a:srgbClr val="000000"/>
              </a:solidFill>
              <a:latin typeface="Arial"/>
              <a:cs typeface="Arial"/>
            </a:rPr>
            <a:t>parallel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total CV. If you're lucky, sometimes authors will publish the total CV directly. </a:t>
          </a:r>
        </a:p>
        <a:p>
          <a:pPr algn="l" rtl="1">
            <a:defRPr sz="1000"/>
          </a:pPr>
          <a:r>
            <a:rPr lang="en-US" sz="1000" b="0" i="0" strike="noStrike">
              <a:solidFill>
                <a:srgbClr val="000000"/>
              </a:solidFill>
              <a:latin typeface="Arial"/>
              <a:cs typeface="Arial"/>
            </a:rPr>
            <a:t>If</a:t>
          </a:r>
          <a:r>
            <a:rPr lang="en-US" sz="1000" b="0" i="0" strike="noStrike" baseline="0">
              <a:solidFill>
                <a:srgbClr val="000000"/>
              </a:solidFill>
              <a:latin typeface="Arial"/>
              <a:cs typeface="Arial"/>
            </a:rPr>
            <a:t> the InterCV and IntraCV are published or you have these resolved from a crossover or replicate, use the </a:t>
          </a:r>
          <a:r>
            <a:rPr lang="en-US" sz="1000" b="1" i="0" strike="noStrike" baseline="0">
              <a:solidFill>
                <a:srgbClr val="000000"/>
              </a:solidFill>
              <a:latin typeface="Arial"/>
              <a:cs typeface="Arial"/>
            </a:rPr>
            <a:t>calculator</a:t>
          </a:r>
          <a:r>
            <a:rPr lang="en-US" sz="1000" b="0" i="0" strike="noStrike" baseline="0">
              <a:solidFill>
                <a:srgbClr val="000000"/>
              </a:solidFill>
              <a:latin typeface="Arial"/>
              <a:cs typeface="Arial"/>
            </a:rPr>
            <a:t> at cell N17 to calculate the total CV.</a:t>
          </a:r>
          <a:endParaRPr lang="en-US" sz="1000" b="0" i="0" strike="noStrike">
            <a:solidFill>
              <a:srgbClr val="000000"/>
            </a:solidFill>
            <a:latin typeface="Arial"/>
            <a:cs typeface="Arial"/>
          </a:endParaRPr>
        </a:p>
      </xdr:txBody>
    </xdr:sp>
    <xdr:clientData/>
  </xdr:twoCellAnchor>
  <xdr:twoCellAnchor editAs="oneCell">
    <xdr:from>
      <xdr:col>12</xdr:col>
      <xdr:colOff>571500</xdr:colOff>
      <xdr:row>5</xdr:row>
      <xdr:rowOff>12700</xdr:rowOff>
    </xdr:from>
    <xdr:to>
      <xdr:col>16</xdr:col>
      <xdr:colOff>408132</xdr:colOff>
      <xdr:row>10</xdr:row>
      <xdr:rowOff>177800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7"/>
        <a:srcRect t="1" b="41857"/>
        <a:stretch/>
      </xdr:blipFill>
      <xdr:spPr>
        <a:xfrm>
          <a:off x="8845550" y="1054100"/>
          <a:ext cx="2402032" cy="1035050"/>
        </a:xfrm>
        <a:prstGeom prst="rect">
          <a:avLst/>
        </a:prstGeom>
      </xdr:spPr>
    </xdr:pic>
    <xdr:clientData/>
  </xdr:twoCellAnchor>
  <xdr:twoCellAnchor>
    <xdr:from>
      <xdr:col>3</xdr:col>
      <xdr:colOff>609600</xdr:colOff>
      <xdr:row>49</xdr:row>
      <xdr:rowOff>50800</xdr:rowOff>
    </xdr:from>
    <xdr:to>
      <xdr:col>6</xdr:col>
      <xdr:colOff>190500</xdr:colOff>
      <xdr:row>49</xdr:row>
      <xdr:rowOff>50800</xdr:rowOff>
    </xdr:to>
    <xdr:cxnSp macro="">
      <xdr:nvCxnSpPr>
        <xdr:cNvPr id="5" name="Straight Connector 4">
          <a:extLst>
            <a:ext uri="{FF2B5EF4-FFF2-40B4-BE49-F238E27FC236}">
              <a16:creationId xmlns:a16="http://schemas.microsoft.com/office/drawing/2014/main" id="{00000000-0008-0000-0700-000005000000}"/>
            </a:ext>
          </a:extLst>
        </xdr:cNvPr>
        <xdr:cNvCxnSpPr/>
      </xdr:nvCxnSpPr>
      <xdr:spPr>
        <a:xfrm>
          <a:off x="3111500" y="845820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488950</xdr:colOff>
      <xdr:row>52</xdr:row>
      <xdr:rowOff>57150</xdr:rowOff>
    </xdr:from>
    <xdr:to>
      <xdr:col>2</xdr:col>
      <xdr:colOff>495300</xdr:colOff>
      <xdr:row>52</xdr:row>
      <xdr:rowOff>57150</xdr:rowOff>
    </xdr:to>
    <xdr:cxnSp macro="">
      <xdr:nvCxnSpPr>
        <xdr:cNvPr id="24" name="Straight Connector 23">
          <a:extLst>
            <a:ext uri="{FF2B5EF4-FFF2-40B4-BE49-F238E27FC236}">
              <a16:creationId xmlns:a16="http://schemas.microsoft.com/office/drawing/2014/main" id="{00000000-0008-0000-0700-000018000000}"/>
            </a:ext>
          </a:extLst>
        </xdr:cNvPr>
        <xdr:cNvCxnSpPr/>
      </xdr:nvCxnSpPr>
      <xdr:spPr>
        <a:xfrm>
          <a:off x="850900" y="894080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6350</xdr:colOff>
      <xdr:row>20</xdr:row>
      <xdr:rowOff>69850</xdr:rowOff>
    </xdr:from>
    <xdr:to>
      <xdr:col>13</xdr:col>
      <xdr:colOff>558800</xdr:colOff>
      <xdr:row>29</xdr:row>
      <xdr:rowOff>44450</xdr:rowOff>
    </xdr:to>
    <xdr:sp macro="" textlink="">
      <xdr:nvSpPr>
        <xdr:cNvPr id="23" name="Line 25">
          <a:extLst>
            <a:ext uri="{FF2B5EF4-FFF2-40B4-BE49-F238E27FC236}">
              <a16:creationId xmlns:a16="http://schemas.microsoft.com/office/drawing/2014/main" id="{00000000-0008-0000-0700-000017000000}"/>
            </a:ext>
          </a:extLst>
        </xdr:cNvPr>
        <xdr:cNvSpPr>
          <a:spLocks noChangeShapeType="1"/>
        </xdr:cNvSpPr>
      </xdr:nvSpPr>
      <xdr:spPr bwMode="auto">
        <a:xfrm flipV="1">
          <a:off x="7639050" y="3733800"/>
          <a:ext cx="1835150" cy="14097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13</xdr:col>
      <xdr:colOff>31750</xdr:colOff>
      <xdr:row>11</xdr:row>
      <xdr:rowOff>17083</xdr:rowOff>
    </xdr:from>
    <xdr:to>
      <xdr:col>14</xdr:col>
      <xdr:colOff>514350</xdr:colOff>
      <xdr:row>11</xdr:row>
      <xdr:rowOff>189086</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8"/>
        <a:stretch>
          <a:fillRect/>
        </a:stretch>
      </xdr:blipFill>
      <xdr:spPr>
        <a:xfrm>
          <a:off x="8947150" y="2131633"/>
          <a:ext cx="1123950" cy="172003"/>
        </a:xfrm>
        <a:prstGeom prst="rect">
          <a:avLst/>
        </a:prstGeom>
      </xdr:spPr>
    </xdr:pic>
    <xdr:clientData/>
  </xdr:twoCellAnchor>
  <xdr:twoCellAnchor editAs="oneCell">
    <xdr:from>
      <xdr:col>12</xdr:col>
      <xdr:colOff>603251</xdr:colOff>
      <xdr:row>12</xdr:row>
      <xdr:rowOff>70690</xdr:rowOff>
    </xdr:from>
    <xdr:to>
      <xdr:col>15</xdr:col>
      <xdr:colOff>120651</xdr:colOff>
      <xdr:row>13</xdr:row>
      <xdr:rowOff>89179</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9"/>
        <a:stretch>
          <a:fillRect/>
        </a:stretch>
      </xdr:blipFill>
      <xdr:spPr>
        <a:xfrm>
          <a:off x="8877301" y="2382090"/>
          <a:ext cx="1441450" cy="21533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220980</xdr:colOff>
      <xdr:row>34</xdr:row>
      <xdr:rowOff>144780</xdr:rowOff>
    </xdr:from>
    <xdr:to>
      <xdr:col>5</xdr:col>
      <xdr:colOff>518160</xdr:colOff>
      <xdr:row>37</xdr:row>
      <xdr:rowOff>7620</xdr:rowOff>
    </xdr:to>
    <xdr:pic>
      <xdr:nvPicPr>
        <xdr:cNvPr id="1732" name="Picture 11">
          <a:extLst>
            <a:ext uri="{FF2B5EF4-FFF2-40B4-BE49-F238E27FC236}">
              <a16:creationId xmlns:a16="http://schemas.microsoft.com/office/drawing/2014/main" id="{00000000-0008-0000-0800-0000C4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20980" y="6141720"/>
          <a:ext cx="3992880" cy="3657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41</xdr:row>
      <xdr:rowOff>0</xdr:rowOff>
    </xdr:from>
    <xdr:to>
      <xdr:col>11</xdr:col>
      <xdr:colOff>441960</xdr:colOff>
      <xdr:row>44</xdr:row>
      <xdr:rowOff>7620</xdr:rowOff>
    </xdr:to>
    <xdr:pic>
      <xdr:nvPicPr>
        <xdr:cNvPr id="1733" name="Picture 16">
          <a:extLst>
            <a:ext uri="{FF2B5EF4-FFF2-40B4-BE49-F238E27FC236}">
              <a16:creationId xmlns:a16="http://schemas.microsoft.com/office/drawing/2014/main" id="{00000000-0008-0000-0800-0000C50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7170420"/>
          <a:ext cx="7574280" cy="594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297180</xdr:colOff>
      <xdr:row>37</xdr:row>
      <xdr:rowOff>45720</xdr:rowOff>
    </xdr:from>
    <xdr:to>
      <xdr:col>7</xdr:col>
      <xdr:colOff>236220</xdr:colOff>
      <xdr:row>40</xdr:row>
      <xdr:rowOff>93980</xdr:rowOff>
    </xdr:to>
    <xdr:pic>
      <xdr:nvPicPr>
        <xdr:cNvPr id="1734" name="Picture 21">
          <a:extLst>
            <a:ext uri="{FF2B5EF4-FFF2-40B4-BE49-F238E27FC236}">
              <a16:creationId xmlns:a16="http://schemas.microsoft.com/office/drawing/2014/main" id="{00000000-0008-0000-0800-0000C6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297180" y="6545580"/>
          <a:ext cx="4884420" cy="551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281940</xdr:colOff>
      <xdr:row>24</xdr:row>
      <xdr:rowOff>152400</xdr:rowOff>
    </xdr:from>
    <xdr:to>
      <xdr:col>4</xdr:col>
      <xdr:colOff>586740</xdr:colOff>
      <xdr:row>33</xdr:row>
      <xdr:rowOff>129539</xdr:rowOff>
    </xdr:to>
    <xdr:pic>
      <xdr:nvPicPr>
        <xdr:cNvPr id="1735" name="Picture 22">
          <a:extLst>
            <a:ext uri="{FF2B5EF4-FFF2-40B4-BE49-F238E27FC236}">
              <a16:creationId xmlns:a16="http://schemas.microsoft.com/office/drawing/2014/main" id="{00000000-0008-0000-0800-0000C70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1940" y="4472940"/>
          <a:ext cx="3375660" cy="1485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45</xdr:row>
      <xdr:rowOff>0</xdr:rowOff>
    </xdr:from>
    <xdr:to>
      <xdr:col>13</xdr:col>
      <xdr:colOff>320040</xdr:colOff>
      <xdr:row>59</xdr:row>
      <xdr:rowOff>0</xdr:rowOff>
    </xdr:to>
    <xdr:pic>
      <xdr:nvPicPr>
        <xdr:cNvPr id="1736" name="Picture 23">
          <a:extLst>
            <a:ext uri="{FF2B5EF4-FFF2-40B4-BE49-F238E27FC236}">
              <a16:creationId xmlns:a16="http://schemas.microsoft.com/office/drawing/2014/main" id="{00000000-0008-0000-0800-0000C80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5128260"/>
          <a:ext cx="8663940" cy="23469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60</xdr:row>
      <xdr:rowOff>129540</xdr:rowOff>
    </xdr:from>
    <xdr:to>
      <xdr:col>13</xdr:col>
      <xdr:colOff>335280</xdr:colOff>
      <xdr:row>65</xdr:row>
      <xdr:rowOff>60961</xdr:rowOff>
    </xdr:to>
    <xdr:pic>
      <xdr:nvPicPr>
        <xdr:cNvPr id="1737" name="Picture 24">
          <a:extLst>
            <a:ext uri="{FF2B5EF4-FFF2-40B4-BE49-F238E27FC236}">
              <a16:creationId xmlns:a16="http://schemas.microsoft.com/office/drawing/2014/main" id="{00000000-0008-0000-0800-0000C90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8140" y="7772400"/>
          <a:ext cx="8671560" cy="7696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510540</xdr:colOff>
      <xdr:row>25</xdr:row>
      <xdr:rowOff>64771</xdr:rowOff>
    </xdr:from>
    <xdr:to>
      <xdr:col>11</xdr:col>
      <xdr:colOff>483878</xdr:colOff>
      <xdr:row>29</xdr:row>
      <xdr:rowOff>76200</xdr:rowOff>
    </xdr:to>
    <xdr:sp macro="" textlink="">
      <xdr:nvSpPr>
        <xdr:cNvPr id="1050" name="Text Box 26">
          <a:extLst>
            <a:ext uri="{FF2B5EF4-FFF2-40B4-BE49-F238E27FC236}">
              <a16:creationId xmlns:a16="http://schemas.microsoft.com/office/drawing/2014/main" id="{00000000-0008-0000-0800-00001A04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95250</xdr:colOff>
          <xdr:row>23</xdr:row>
          <xdr:rowOff>0</xdr:rowOff>
        </xdr:from>
        <xdr:to>
          <xdr:col>2</xdr:col>
          <xdr:colOff>0</xdr:colOff>
          <xdr:row>24</xdr:row>
          <xdr:rowOff>85725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23</xdr:row>
          <xdr:rowOff>0</xdr:rowOff>
        </xdr:from>
        <xdr:to>
          <xdr:col>5</xdr:col>
          <xdr:colOff>95250</xdr:colOff>
          <xdr:row>24</xdr:row>
          <xdr:rowOff>85725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8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23</xdr:row>
          <xdr:rowOff>0</xdr:rowOff>
        </xdr:from>
        <xdr:to>
          <xdr:col>9</xdr:col>
          <xdr:colOff>95250</xdr:colOff>
          <xdr:row>24</xdr:row>
          <xdr:rowOff>85725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8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23</xdr:row>
          <xdr:rowOff>0</xdr:rowOff>
        </xdr:from>
        <xdr:to>
          <xdr:col>3</xdr:col>
          <xdr:colOff>400050</xdr:colOff>
          <xdr:row>24</xdr:row>
          <xdr:rowOff>85725</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800-00007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352425</xdr:colOff>
          <xdr:row>6</xdr:row>
          <xdr:rowOff>57150</xdr:rowOff>
        </xdr:from>
        <xdr:to>
          <xdr:col>11</xdr:col>
          <xdr:colOff>504825</xdr:colOff>
          <xdr:row>7</xdr:row>
          <xdr:rowOff>95250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800-00007C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7</xdr:row>
          <xdr:rowOff>95250</xdr:rowOff>
        </xdr:from>
        <xdr:to>
          <xdr:col>11</xdr:col>
          <xdr:colOff>504825</xdr:colOff>
          <xdr:row>8</xdr:row>
          <xdr:rowOff>152400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800-00007D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8</xdr:row>
          <xdr:rowOff>152400</xdr:rowOff>
        </xdr:from>
        <xdr:to>
          <xdr:col>11</xdr:col>
          <xdr:colOff>504825</xdr:colOff>
          <xdr:row>9</xdr:row>
          <xdr:rowOff>190500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800-00007E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281138</xdr:colOff>
      <xdr:row>40</xdr:row>
      <xdr:rowOff>74596</xdr:rowOff>
    </xdr:from>
    <xdr:to>
      <xdr:col>5</xdr:col>
      <xdr:colOff>578318</xdr:colOff>
      <xdr:row>42</xdr:row>
      <xdr:rowOff>97857</xdr:rowOff>
    </xdr:to>
    <xdr:pic>
      <xdr:nvPicPr>
        <xdr:cNvPr id="2" name="Picture 1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81138" y="6882464"/>
          <a:ext cx="3906654" cy="3441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302394</xdr:colOff>
      <xdr:row>46</xdr:row>
      <xdr:rowOff>110289</xdr:rowOff>
    </xdr:from>
    <xdr:to>
      <xdr:col>11</xdr:col>
      <xdr:colOff>431934</xdr:colOff>
      <xdr:row>50</xdr:row>
      <xdr:rowOff>57752</xdr:rowOff>
    </xdr:to>
    <xdr:pic>
      <xdr:nvPicPr>
        <xdr:cNvPr id="3" name="Picture 1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394" y="7980947"/>
          <a:ext cx="7408645" cy="58914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337286</xdr:colOff>
      <xdr:row>43</xdr:row>
      <xdr:rowOff>25667</xdr:rowOff>
    </xdr:from>
    <xdr:to>
      <xdr:col>7</xdr:col>
      <xdr:colOff>276326</xdr:colOff>
      <xdr:row>45</xdr:row>
      <xdr:rowOff>134085</xdr:rowOff>
    </xdr:to>
    <xdr:pic>
      <xdr:nvPicPr>
        <xdr:cNvPr id="4" name="Picture 21">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337286" y="7314799"/>
          <a:ext cx="4771724" cy="5295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221782</xdr:colOff>
      <xdr:row>30</xdr:row>
      <xdr:rowOff>22058</xdr:rowOff>
    </xdr:from>
    <xdr:to>
      <xdr:col>4</xdr:col>
      <xdr:colOff>526582</xdr:colOff>
      <xdr:row>38</xdr:row>
      <xdr:rowOff>159617</xdr:rowOff>
    </xdr:to>
    <xdr:pic>
      <xdr:nvPicPr>
        <xdr:cNvPr id="5" name="Picture 22">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1782" y="5225716"/>
          <a:ext cx="3302668" cy="14209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28574</xdr:colOff>
      <xdr:row>24</xdr:row>
      <xdr:rowOff>133349</xdr:rowOff>
    </xdr:from>
    <xdr:to>
      <xdr:col>8</xdr:col>
      <xdr:colOff>266699</xdr:colOff>
      <xdr:row>25</xdr:row>
      <xdr:rowOff>60958</xdr:rowOff>
    </xdr:to>
    <xdr:sp macro="" textlink="">
      <xdr:nvSpPr>
        <xdr:cNvPr id="8" name="Line 25">
          <a:extLst>
            <a:ext uri="{FF2B5EF4-FFF2-40B4-BE49-F238E27FC236}">
              <a16:creationId xmlns:a16="http://schemas.microsoft.com/office/drawing/2014/main" id="{00000000-0008-0000-0900-000008000000}"/>
            </a:ext>
          </a:extLst>
        </xdr:cNvPr>
        <xdr:cNvSpPr>
          <a:spLocks noChangeShapeType="1"/>
        </xdr:cNvSpPr>
      </xdr:nvSpPr>
      <xdr:spPr bwMode="auto">
        <a:xfrm flipH="1" flipV="1">
          <a:off x="5457824" y="4400549"/>
          <a:ext cx="238125" cy="89534"/>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510540</xdr:colOff>
      <xdr:row>25</xdr:row>
      <xdr:rowOff>64771</xdr:rowOff>
    </xdr:from>
    <xdr:to>
      <xdr:col>11</xdr:col>
      <xdr:colOff>483878</xdr:colOff>
      <xdr:row>29</xdr:row>
      <xdr:rowOff>76200</xdr:rowOff>
    </xdr:to>
    <xdr:sp macro="" textlink="">
      <xdr:nvSpPr>
        <xdr:cNvPr id="9" name="Text Box 26">
          <a:extLst>
            <a:ext uri="{FF2B5EF4-FFF2-40B4-BE49-F238E27FC236}">
              <a16:creationId xmlns:a16="http://schemas.microsoft.com/office/drawing/2014/main" id="{00000000-0008-0000-0900-00000900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95250</xdr:colOff>
          <xdr:row>23</xdr:row>
          <xdr:rowOff>0</xdr:rowOff>
        </xdr:from>
        <xdr:to>
          <xdr:col>2</xdr:col>
          <xdr:colOff>0</xdr:colOff>
          <xdr:row>24</xdr:row>
          <xdr:rowOff>85725</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9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23</xdr:row>
          <xdr:rowOff>0</xdr:rowOff>
        </xdr:from>
        <xdr:to>
          <xdr:col>5</xdr:col>
          <xdr:colOff>95250</xdr:colOff>
          <xdr:row>24</xdr:row>
          <xdr:rowOff>85725</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9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23</xdr:row>
          <xdr:rowOff>0</xdr:rowOff>
        </xdr:from>
        <xdr:to>
          <xdr:col>9</xdr:col>
          <xdr:colOff>95250</xdr:colOff>
          <xdr:row>24</xdr:row>
          <xdr:rowOff>85725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900-000003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23</xdr:row>
          <xdr:rowOff>0</xdr:rowOff>
        </xdr:from>
        <xdr:to>
          <xdr:col>3</xdr:col>
          <xdr:colOff>400050</xdr:colOff>
          <xdr:row>24</xdr:row>
          <xdr:rowOff>85725</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900-000004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323850</xdr:colOff>
          <xdr:row>6</xdr:row>
          <xdr:rowOff>85725</xdr:rowOff>
        </xdr:from>
        <xdr:to>
          <xdr:col>11</xdr:col>
          <xdr:colOff>485775</xdr:colOff>
          <xdr:row>7</xdr:row>
          <xdr:rowOff>123825</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0900-000005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323850</xdr:colOff>
          <xdr:row>7</xdr:row>
          <xdr:rowOff>123825</xdr:rowOff>
        </xdr:from>
        <xdr:to>
          <xdr:col>11</xdr:col>
          <xdr:colOff>485775</xdr:colOff>
          <xdr:row>9</xdr:row>
          <xdr:rowOff>19050</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00000000-0008-0000-0900-000006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323850</xdr:colOff>
          <xdr:row>9</xdr:row>
          <xdr:rowOff>19050</xdr:rowOff>
        </xdr:from>
        <xdr:to>
          <xdr:col>11</xdr:col>
          <xdr:colOff>485775</xdr:colOff>
          <xdr:row>10</xdr:row>
          <xdr:rowOff>19050</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00000000-0008-0000-0900-000007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4010</xdr:colOff>
      <xdr:row>52</xdr:row>
      <xdr:rowOff>46121</xdr:rowOff>
    </xdr:from>
    <xdr:to>
      <xdr:col>12</xdr:col>
      <xdr:colOff>80210</xdr:colOff>
      <xdr:row>60</xdr:row>
      <xdr:rowOff>145309</xdr:rowOff>
    </xdr:to>
    <xdr:pic>
      <xdr:nvPicPr>
        <xdr:cNvPr id="19" name="Picture 19">
          <a:extLst>
            <a:ext uri="{FF2B5EF4-FFF2-40B4-BE49-F238E27FC236}">
              <a16:creationId xmlns:a16="http://schemas.microsoft.com/office/drawing/2014/main" id="{00000000-0008-0000-09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905" y="8929437"/>
          <a:ext cx="7626016" cy="138255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41710</xdr:colOff>
      <xdr:row>67</xdr:row>
      <xdr:rowOff>146385</xdr:rowOff>
    </xdr:from>
    <xdr:to>
      <xdr:col>1</xdr:col>
      <xdr:colOff>1245670</xdr:colOff>
      <xdr:row>69</xdr:row>
      <xdr:rowOff>154005</xdr:rowOff>
    </xdr:to>
    <xdr:pic>
      <xdr:nvPicPr>
        <xdr:cNvPr id="20" name="Picture 5">
          <a:extLst>
            <a:ext uri="{FF2B5EF4-FFF2-40B4-BE49-F238E27FC236}">
              <a16:creationId xmlns:a16="http://schemas.microsoft.com/office/drawing/2014/main" id="{00000000-0008-0000-09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2605" y="11456069"/>
          <a:ext cx="1203960" cy="3284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321645</xdr:colOff>
      <xdr:row>65</xdr:row>
      <xdr:rowOff>48829</xdr:rowOff>
    </xdr:from>
    <xdr:to>
      <xdr:col>1</xdr:col>
      <xdr:colOff>948490</xdr:colOff>
      <xdr:row>67</xdr:row>
      <xdr:rowOff>108284</xdr:rowOff>
    </xdr:to>
    <xdr:pic>
      <xdr:nvPicPr>
        <xdr:cNvPr id="21" name="Picture 6">
          <a:extLst>
            <a:ext uri="{FF2B5EF4-FFF2-40B4-BE49-F238E27FC236}">
              <a16:creationId xmlns:a16="http://schemas.microsoft.com/office/drawing/2014/main" id="{00000000-0008-0000-09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1645" y="11037671"/>
          <a:ext cx="967740" cy="38029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260685</xdr:colOff>
      <xdr:row>70</xdr:row>
      <xdr:rowOff>8824</xdr:rowOff>
    </xdr:from>
    <xdr:to>
      <xdr:col>4</xdr:col>
      <xdr:colOff>611406</xdr:colOff>
      <xdr:row>74</xdr:row>
      <xdr:rowOff>56449</xdr:rowOff>
    </xdr:to>
    <xdr:pic>
      <xdr:nvPicPr>
        <xdr:cNvPr id="22" name="Picture 7">
          <a:extLst>
            <a:ext uri="{FF2B5EF4-FFF2-40B4-BE49-F238E27FC236}">
              <a16:creationId xmlns:a16="http://schemas.microsoft.com/office/drawing/2014/main" id="{00000000-0008-0000-0900-00001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60685" y="11799771"/>
          <a:ext cx="3348589" cy="68930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41709</xdr:colOff>
      <xdr:row>63</xdr:row>
      <xdr:rowOff>70185</xdr:rowOff>
    </xdr:from>
    <xdr:to>
      <xdr:col>12</xdr:col>
      <xdr:colOff>113616</xdr:colOff>
      <xdr:row>64</xdr:row>
      <xdr:rowOff>150395</xdr:rowOff>
    </xdr:to>
    <xdr:pic>
      <xdr:nvPicPr>
        <xdr:cNvPr id="23" name="Picture 10">
          <a:extLst>
            <a:ext uri="{FF2B5EF4-FFF2-40B4-BE49-F238E27FC236}">
              <a16:creationId xmlns:a16="http://schemas.microsoft.com/office/drawing/2014/main" id="{00000000-0008-0000-0900-000017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2604" y="10718132"/>
          <a:ext cx="7621723" cy="2406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114300</xdr:colOff>
          <xdr:row>1</xdr:row>
          <xdr:rowOff>0</xdr:rowOff>
        </xdr:from>
        <xdr:to>
          <xdr:col>6</xdr:col>
          <xdr:colOff>400050</xdr:colOff>
          <xdr:row>2</xdr:row>
          <xdr:rowOff>19050</xdr:rowOff>
        </xdr:to>
        <xdr:sp macro="" textlink="">
          <xdr:nvSpPr>
            <xdr:cNvPr id="35850" name="Drop Down 10" hidden="1">
              <a:extLst>
                <a:ext uri="{63B3BB69-23CF-44E3-9099-C40C66FF867C}">
                  <a14:compatExt spid="_x0000_s35850"/>
                </a:ext>
                <a:ext uri="{FF2B5EF4-FFF2-40B4-BE49-F238E27FC236}">
                  <a16:creationId xmlns:a16="http://schemas.microsoft.com/office/drawing/2014/main" id="{00000000-0008-0000-0900-00000A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146885</xdr:colOff>
      <xdr:row>5</xdr:row>
      <xdr:rowOff>210052</xdr:rowOff>
    </xdr:from>
    <xdr:to>
      <xdr:col>19</xdr:col>
      <xdr:colOff>601580</xdr:colOff>
      <xdr:row>56</xdr:row>
      <xdr:rowOff>140368</xdr:rowOff>
    </xdr:to>
    <xdr:sp macro="" textlink="">
      <xdr:nvSpPr>
        <xdr:cNvPr id="25" name="TextBox 24">
          <a:extLst>
            <a:ext uri="{FF2B5EF4-FFF2-40B4-BE49-F238E27FC236}">
              <a16:creationId xmlns:a16="http://schemas.microsoft.com/office/drawing/2014/main" id="{00000000-0008-0000-0900-000019000000}"/>
            </a:ext>
          </a:extLst>
        </xdr:cNvPr>
        <xdr:cNvSpPr txBox="1"/>
      </xdr:nvSpPr>
      <xdr:spPr>
        <a:xfrm>
          <a:off x="8037596" y="1272841"/>
          <a:ext cx="4735931" cy="8392527"/>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a:t>Note: </a:t>
          </a:r>
          <a:r>
            <a:rPr lang="en-CA" sz="1000" b="1"/>
            <a:t>For</a:t>
          </a:r>
          <a:r>
            <a:rPr lang="en-CA" sz="1000" b="1" baseline="0"/>
            <a:t> HVD Sample Size Estimation (TPD and EMA)</a:t>
          </a:r>
          <a:r>
            <a:rPr lang="en-CA" sz="1000" baseline="0"/>
            <a:t>, install the PowerTOST library in R-Project, and use the following commands: (e.g.)</a:t>
          </a: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sampleN.scABEL(</a:t>
          </a:r>
        </a:p>
        <a:p>
          <a:r>
            <a:rPr lang="en-CA" sz="1000" baseline="0">
              <a:solidFill>
                <a:srgbClr val="0070C0"/>
              </a:solidFill>
              <a:latin typeface="+mn-lt"/>
              <a:ea typeface="+mn-ea"/>
              <a:cs typeface="+mn-cs"/>
            </a:rPr>
            <a:t>   alpha = 0.05,	   # Probability of Type I Error (nominal level of test)</a:t>
          </a:r>
        </a:p>
        <a:p>
          <a:r>
            <a:rPr lang="en-CA" sz="1000" baseline="0">
              <a:solidFill>
                <a:srgbClr val="0070C0"/>
              </a:solidFill>
              <a:latin typeface="+mn-lt"/>
              <a:ea typeface="+mn-ea"/>
              <a:cs typeface="+mn-cs"/>
            </a:rPr>
            <a:t>   targetpower = 0.8, # Desired Power</a:t>
          </a:r>
        </a:p>
        <a:p>
          <a:r>
            <a:rPr lang="en-CA" sz="1000" baseline="0">
              <a:solidFill>
                <a:srgbClr val="0070C0"/>
              </a:solidFill>
              <a:latin typeface="+mn-lt"/>
              <a:ea typeface="+mn-ea"/>
              <a:cs typeface="+mn-cs"/>
            </a:rPr>
            <a:t>   theta0 = 0.90,     # Test/Reference Ratio</a:t>
          </a:r>
        </a:p>
        <a:p>
          <a:r>
            <a:rPr lang="en-CA" sz="1000" baseline="0">
              <a:solidFill>
                <a:srgbClr val="0070C0"/>
              </a:solidFill>
              <a:latin typeface="+mn-lt"/>
              <a:ea typeface="+mn-ea"/>
              <a:cs typeface="+mn-cs"/>
            </a:rPr>
            <a:t>   theta1 = 0.80,     # Lower BE Limit</a:t>
          </a:r>
        </a:p>
        <a:p>
          <a:r>
            <a:rPr lang="en-CA" sz="1000" baseline="0">
              <a:solidFill>
                <a:srgbClr val="0070C0"/>
              </a:solidFill>
              <a:latin typeface="+mn-lt"/>
              <a:ea typeface="+mn-ea"/>
              <a:cs typeface="+mn-cs"/>
            </a:rPr>
            <a:t>   theta2 = 1.25,     # Upper BE Limit</a:t>
          </a:r>
        </a:p>
        <a:p>
          <a:r>
            <a:rPr lang="en-CA" sz="1000" baseline="0">
              <a:solidFill>
                <a:srgbClr val="0070C0"/>
              </a:solidFill>
              <a:latin typeface="+mn-lt"/>
              <a:ea typeface="+mn-ea"/>
              <a:cs typeface="+mn-cs"/>
            </a:rPr>
            <a:t>   CV = IntraCV,      # Replace IntraCV with the actual number</a:t>
          </a:r>
        </a:p>
        <a:p>
          <a:r>
            <a:rPr lang="en-CA" sz="1000" baseline="0">
              <a:solidFill>
                <a:srgbClr val="0070C0"/>
              </a:solidFill>
              <a:latin typeface="+mn-lt"/>
              <a:ea typeface="+mn-ea"/>
              <a:cs typeface="+mn-cs"/>
            </a:rPr>
            <a:t>   design = "2x2x4",  # "2x3x3", "2x2x4", "2x2x3", "2x4x4", "2x4x2" (TRT x SEQ x PER)</a:t>
          </a:r>
        </a:p>
        <a:p>
          <a:r>
            <a:rPr lang="en-CA" sz="1000" baseline="0">
              <a:solidFill>
                <a:srgbClr val="0070C0"/>
              </a:solidFill>
              <a:latin typeface="+mn-lt"/>
              <a:ea typeface="+mn-ea"/>
              <a:cs typeface="+mn-cs"/>
            </a:rPr>
            <a:t>   details = TRUE,    # Show regulatory settings, iterations</a:t>
          </a:r>
        </a:p>
        <a:p>
          <a:r>
            <a:rPr lang="en-CA" sz="1000" baseline="0">
              <a:solidFill>
                <a:srgbClr val="0070C0"/>
              </a:solidFill>
              <a:latin typeface="+mn-lt"/>
              <a:ea typeface="+mn-ea"/>
              <a:cs typeface="+mn-cs"/>
            </a:rPr>
            <a:t>   regulator = "HC"   # choose "HC" or "EMA"</a:t>
          </a:r>
        </a:p>
        <a:p>
          <a:r>
            <a:rPr lang="en-CA" sz="1000" baseline="0">
              <a:solidFill>
                <a:srgbClr val="0070C0"/>
              </a:solidFill>
              <a:latin typeface="+mn-lt"/>
              <a:ea typeface="+mn-ea"/>
              <a:cs typeface="+mn-cs"/>
            </a:rPr>
            <a:t>)</a:t>
          </a:r>
        </a:p>
        <a:p>
          <a:r>
            <a:rPr lang="en-CA" sz="1000" baseline="0">
              <a:solidFill>
                <a:sysClr val="windowText" lastClr="000000"/>
              </a:solidFill>
              <a:latin typeface="+mn-lt"/>
              <a:ea typeface="+mn-ea"/>
              <a:cs typeface="+mn-cs"/>
            </a:rPr>
            <a:t>CV above can be given as a vector of CVwT and CVwR, to perform a sample size based on pilot data where they are estimated for both formulations. e.g.:</a:t>
          </a:r>
        </a:p>
        <a:p>
          <a:r>
            <a:rPr lang="en-CA" sz="1000">
              <a:solidFill>
                <a:srgbClr val="0070C0"/>
              </a:solidFill>
            </a:rPr>
            <a:t>CV &lt;- 0.4</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 print = FALSE</a:t>
          </a:r>
        </a:p>
        <a:p>
          <a:r>
            <a:rPr lang="en-CA" sz="1000">
              <a:solidFill>
                <a:srgbClr val="0070C0"/>
              </a:solidFill>
            </a:rPr>
            <a:t>)[["Sample size"]]</a:t>
          </a:r>
        </a:p>
        <a:p>
          <a:br>
            <a:rPr lang="en-CA" sz="1000">
              <a:solidFill>
                <a:srgbClr val="0070C0"/>
              </a:solidFill>
            </a:rPr>
          </a:br>
          <a:r>
            <a:rPr lang="en-CA" sz="1000">
              <a:solidFill>
                <a:srgbClr val="0070C0"/>
              </a:solidFill>
            </a:rPr>
            <a:t>CV &lt;- CVp2CV(CV, ratio = 0.75) # split based the variance ratio (T ‘better’ than R)</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a:t>
          </a:r>
        </a:p>
        <a:p>
          <a:r>
            <a:rPr lang="en-CA" sz="1000">
              <a:solidFill>
                <a:srgbClr val="0070C0"/>
              </a:solidFill>
            </a:rPr>
            <a:t>   print = FALSE</a:t>
          </a:r>
        </a:p>
        <a:p>
          <a:r>
            <a:rPr lang="en-CA" sz="1000">
              <a:solidFill>
                <a:srgbClr val="0070C0"/>
              </a:solidFill>
            </a:rPr>
            <a:t>)[["Sample size"]]</a:t>
          </a:r>
        </a:p>
        <a:p>
          <a:endParaRPr lang="en-CA" sz="1000" baseline="0">
            <a:solidFill>
              <a:srgbClr val="0070C0"/>
            </a:solidFill>
            <a:latin typeface="+mn-lt"/>
            <a:ea typeface="+mn-ea"/>
            <a:cs typeface="+mn-cs"/>
          </a:endParaRPr>
        </a:p>
        <a:p>
          <a:r>
            <a:rPr lang="en-CA" sz="1000" b="1" baseline="0">
              <a:solidFill>
                <a:schemeClr val="dk1"/>
              </a:solidFill>
              <a:latin typeface="+mn-lt"/>
              <a:ea typeface="+mn-ea"/>
              <a:cs typeface="+mn-cs"/>
            </a:rPr>
            <a:t>For the HVDs (FDA) use </a:t>
          </a:r>
          <a:r>
            <a:rPr lang="en-US" sz="1000" b="1" baseline="0">
              <a:solidFill>
                <a:schemeClr val="dk1"/>
              </a:solidFill>
              <a:latin typeface="+mn-lt"/>
              <a:ea typeface="+mn-ea"/>
              <a:cs typeface="+mn-cs"/>
            </a:rPr>
            <a:t>sampleN.</a:t>
          </a:r>
          <a:r>
            <a:rPr lang="en-US" sz="1100" b="1" i="0">
              <a:solidFill>
                <a:schemeClr val="dk1"/>
              </a:solidFill>
              <a:effectLst/>
              <a:latin typeface="+mn-lt"/>
              <a:ea typeface="+mn-ea"/>
              <a:cs typeface="+mn-cs"/>
            </a:rPr>
            <a:t>RSABE()</a:t>
          </a:r>
          <a:r>
            <a:rPr lang="en-US" sz="1100" b="0" i="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library(PowerTOST)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sampleN.RSABE(</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design = "2x2x4"        # design="2x2x4", "2x3x3"</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en-CA" sz="1000" baseline="0">
            <a:solidFill>
              <a:srgbClr val="0070C0"/>
            </a:solidFill>
            <a:latin typeface="+mn-lt"/>
            <a:ea typeface="+mn-ea"/>
            <a:cs typeface="+mn-cs"/>
          </a:endParaRPr>
        </a:p>
        <a:p>
          <a:r>
            <a:rPr lang="en-CA" sz="1100" b="1">
              <a:solidFill>
                <a:schemeClr val="dk1"/>
              </a:solidFill>
              <a:effectLst/>
              <a:latin typeface="+mn-lt"/>
              <a:ea typeface="+mn-ea"/>
              <a:cs typeface="+mn-cs"/>
            </a:rPr>
            <a:t>For</a:t>
          </a:r>
          <a:r>
            <a:rPr lang="en-CA" sz="1100" b="1" baseline="0">
              <a:solidFill>
                <a:schemeClr val="dk1"/>
              </a:solidFill>
              <a:effectLst/>
              <a:latin typeface="+mn-lt"/>
              <a:ea typeface="+mn-ea"/>
              <a:cs typeface="+mn-cs"/>
            </a:rPr>
            <a:t> NTID Reference-Scaled Sample Size Estimation (FDA)</a:t>
          </a:r>
          <a:r>
            <a:rPr lang="en-CA" sz="1100" baseline="0">
              <a:solidFill>
                <a:schemeClr val="dk1"/>
              </a:solidFill>
              <a:effectLst/>
              <a:latin typeface="+mn-lt"/>
              <a:ea typeface="+mn-ea"/>
              <a:cs typeface="+mn-cs"/>
            </a:rPr>
            <a:t>, consult PowerTOST in R-Project, using the following commands: (e.g.)</a:t>
          </a:r>
          <a:endParaRPr lang="en-CA" sz="1000">
            <a:effectLst/>
          </a:endParaRP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sampleN.NTIDFDA(CV = 0.1, theta0 = 0.975, targetpower = 0.8)</a:t>
          </a:r>
        </a:p>
        <a:p>
          <a:r>
            <a:rPr lang="en-CA" sz="1000" baseline="0">
              <a:solidFill>
                <a:srgbClr val="0070C0"/>
              </a:solidFill>
              <a:latin typeface="+mn-lt"/>
              <a:ea typeface="+mn-ea"/>
              <a:cs typeface="+mn-cs"/>
            </a:rPr>
            <a:t>#theta0 is the expected T/R Ratio</a:t>
          </a:r>
        </a:p>
        <a:p>
          <a:r>
            <a:rPr lang="en-CA" sz="1100" b="1" baseline="0">
              <a:solidFill>
                <a:schemeClr val="dk1"/>
              </a:solidFill>
              <a:effectLst/>
              <a:latin typeface="+mn-lt"/>
              <a:ea typeface="+mn-ea"/>
              <a:cs typeface="+mn-cs"/>
            </a:rPr>
            <a:t>For more information and updates consult:</a:t>
          </a:r>
          <a:endParaRPr lang="en-CA" sz="1000" b="1">
            <a:effectLst/>
          </a:endParaRPr>
        </a:p>
        <a:p>
          <a:r>
            <a:rPr lang="en-CA" sz="1100" b="0" i="0">
              <a:solidFill>
                <a:schemeClr val="dk1"/>
              </a:solidFill>
              <a:effectLst/>
              <a:latin typeface="+mn-lt"/>
              <a:ea typeface="+mn-ea"/>
              <a:cs typeface="+mn-cs"/>
            </a:rPr>
            <a:t>https://CRAN.R-project.org/package=PowerTOST</a:t>
          </a:r>
          <a:endParaRPr lang="en-CA">
            <a:effectLst/>
          </a:endParaRPr>
        </a:p>
        <a:p>
          <a:r>
            <a:rPr lang="en-CA" sz="1100">
              <a:solidFill>
                <a:schemeClr val="dk1"/>
              </a:solidFill>
              <a:effectLst/>
              <a:latin typeface="+mn-lt"/>
              <a:ea typeface="+mn-ea"/>
              <a:cs typeface="+mn-cs"/>
            </a:rPr>
            <a:t>for more details.</a:t>
          </a:r>
          <a:endParaRPr lang="en-CA" sz="1000">
            <a:effectLst/>
          </a:endParaRPr>
        </a:p>
        <a:p>
          <a:r>
            <a:rPr lang="en-CA" sz="11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100" baseline="0">
              <a:solidFill>
                <a:schemeClr val="dk1"/>
              </a:solidFill>
              <a:effectLst/>
              <a:latin typeface="+mn-lt"/>
              <a:ea typeface="+mn-ea"/>
              <a:cs typeface="+mn-cs"/>
            </a:rPr>
            <a:t>https://github.com/Detlew/PowerTOST</a:t>
          </a:r>
        </a:p>
        <a:p>
          <a:endParaRPr lang="en-CA" sz="1000">
            <a:effectLst/>
          </a:endParaRPr>
        </a:p>
        <a:p>
          <a:r>
            <a:rPr lang="en-CA" sz="1100">
              <a:solidFill>
                <a:schemeClr val="dk1"/>
              </a:solidFill>
              <a:effectLst/>
              <a:latin typeface="+mn-lt"/>
              <a:ea typeface="+mn-ea"/>
              <a:cs typeface="+mn-cs"/>
            </a:rPr>
            <a:t>With</a:t>
          </a:r>
          <a:r>
            <a:rPr lang="en-CA" sz="1100" baseline="0">
              <a:solidFill>
                <a:schemeClr val="dk1"/>
              </a:solidFill>
              <a:effectLst/>
              <a:latin typeface="+mn-lt"/>
              <a:ea typeface="+mn-ea"/>
              <a:cs typeface="+mn-cs"/>
            </a:rPr>
            <a:t> warm regards and thanks to Helmut Sch</a:t>
          </a:r>
          <a:r>
            <a:rPr lang="en-CA" sz="1100" b="0" i="0">
              <a:solidFill>
                <a:schemeClr val="dk1"/>
              </a:solidFill>
              <a:effectLst/>
              <a:latin typeface="+mn-lt"/>
              <a:ea typeface="+mn-ea"/>
              <a:cs typeface="+mn-cs"/>
            </a:rPr>
            <a:t>üt</a:t>
          </a:r>
          <a:r>
            <a:rPr lang="en-CA" sz="1100" baseline="0">
              <a:solidFill>
                <a:schemeClr val="dk1"/>
              </a:solidFill>
              <a:effectLst/>
              <a:latin typeface="+mn-lt"/>
              <a:ea typeface="+mn-ea"/>
              <a:cs typeface="+mn-cs"/>
            </a:rPr>
            <a:t>z!</a:t>
          </a:r>
          <a:endParaRPr lang="en-CA" sz="10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342900</xdr:colOff>
      <xdr:row>14</xdr:row>
      <xdr:rowOff>99060</xdr:rowOff>
    </xdr:from>
    <xdr:to>
      <xdr:col>15</xdr:col>
      <xdr:colOff>251460</xdr:colOff>
      <xdr:row>28</xdr:row>
      <xdr:rowOff>53340</xdr:rowOff>
    </xdr:to>
    <xdr:pic>
      <xdr:nvPicPr>
        <xdr:cNvPr id="30314" name="Picture 10">
          <a:extLst>
            <a:ext uri="{FF2B5EF4-FFF2-40B4-BE49-F238E27FC236}">
              <a16:creationId xmlns:a16="http://schemas.microsoft.com/office/drawing/2014/main" id="{00000000-0008-0000-0A00-00006A7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5160" y="2819400"/>
          <a:ext cx="3657600" cy="24079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61</xdr:row>
      <xdr:rowOff>38100</xdr:rowOff>
    </xdr:from>
    <xdr:to>
      <xdr:col>5</xdr:col>
      <xdr:colOff>60960</xdr:colOff>
      <xdr:row>74</xdr:row>
      <xdr:rowOff>137160</xdr:rowOff>
    </xdr:to>
    <xdr:pic>
      <xdr:nvPicPr>
        <xdr:cNvPr id="30315" name="Picture 27">
          <a:extLst>
            <a:ext uri="{FF2B5EF4-FFF2-40B4-BE49-F238E27FC236}">
              <a16:creationId xmlns:a16="http://schemas.microsoft.com/office/drawing/2014/main" id="{00000000-0008-0000-0A00-00006B7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11071860"/>
          <a:ext cx="3855720" cy="22783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53</xdr:row>
      <xdr:rowOff>106680</xdr:rowOff>
    </xdr:from>
    <xdr:to>
      <xdr:col>8</xdr:col>
      <xdr:colOff>182880</xdr:colOff>
      <xdr:row>55</xdr:row>
      <xdr:rowOff>60960</xdr:rowOff>
    </xdr:to>
    <xdr:pic>
      <xdr:nvPicPr>
        <xdr:cNvPr id="30316" name="Picture 31">
          <a:extLst>
            <a:ext uri="{FF2B5EF4-FFF2-40B4-BE49-F238E27FC236}">
              <a16:creationId xmlns:a16="http://schemas.microsoft.com/office/drawing/2014/main" id="{00000000-0008-0000-0A00-00006C7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91840" y="9753600"/>
          <a:ext cx="2918460" cy="2895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403860</xdr:colOff>
      <xdr:row>50</xdr:row>
      <xdr:rowOff>167640</xdr:rowOff>
    </xdr:from>
    <xdr:to>
      <xdr:col>5</xdr:col>
      <xdr:colOff>563880</xdr:colOff>
      <xdr:row>54</xdr:row>
      <xdr:rowOff>38100</xdr:rowOff>
    </xdr:to>
    <xdr:pic>
      <xdr:nvPicPr>
        <xdr:cNvPr id="30317" name="Picture 32">
          <a:extLst>
            <a:ext uri="{FF2B5EF4-FFF2-40B4-BE49-F238E27FC236}">
              <a16:creationId xmlns:a16="http://schemas.microsoft.com/office/drawing/2014/main" id="{00000000-0008-0000-0A00-00006D7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07080" y="9296400"/>
          <a:ext cx="1409700" cy="5562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49</xdr:row>
      <xdr:rowOff>99060</xdr:rowOff>
    </xdr:from>
    <xdr:to>
      <xdr:col>6</xdr:col>
      <xdr:colOff>472440</xdr:colOff>
      <xdr:row>50</xdr:row>
      <xdr:rowOff>152400</xdr:rowOff>
    </xdr:to>
    <xdr:pic>
      <xdr:nvPicPr>
        <xdr:cNvPr id="30318" name="Picture 33">
          <a:extLst>
            <a:ext uri="{FF2B5EF4-FFF2-40B4-BE49-F238E27FC236}">
              <a16:creationId xmlns:a16="http://schemas.microsoft.com/office/drawing/2014/main" id="{00000000-0008-0000-0A00-00006E7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91840" y="9052560"/>
          <a:ext cx="195834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99060</xdr:colOff>
      <xdr:row>86</xdr:row>
      <xdr:rowOff>76200</xdr:rowOff>
    </xdr:from>
    <xdr:to>
      <xdr:col>4</xdr:col>
      <xdr:colOff>220980</xdr:colOff>
      <xdr:row>104</xdr:row>
      <xdr:rowOff>76200</xdr:rowOff>
    </xdr:to>
    <xdr:pic>
      <xdr:nvPicPr>
        <xdr:cNvPr id="30319" name="Picture 50">
          <a:extLst>
            <a:ext uri="{FF2B5EF4-FFF2-40B4-BE49-F238E27FC236}">
              <a16:creationId xmlns:a16="http://schemas.microsoft.com/office/drawing/2014/main" id="{00000000-0008-0000-0A00-00006F7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49580" y="15476220"/>
          <a:ext cx="3299460" cy="30175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38100</xdr:colOff>
      <xdr:row>158</xdr:row>
      <xdr:rowOff>144780</xdr:rowOff>
    </xdr:from>
    <xdr:to>
      <xdr:col>5</xdr:col>
      <xdr:colOff>251460</xdr:colOff>
      <xdr:row>174</xdr:row>
      <xdr:rowOff>99060</xdr:rowOff>
    </xdr:to>
    <xdr:pic>
      <xdr:nvPicPr>
        <xdr:cNvPr id="30320" name="Picture 69">
          <a:extLst>
            <a:ext uri="{FF2B5EF4-FFF2-40B4-BE49-F238E27FC236}">
              <a16:creationId xmlns:a16="http://schemas.microsoft.com/office/drawing/2014/main" id="{00000000-0008-0000-0A00-0000707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8620" y="28003500"/>
          <a:ext cx="4015740" cy="26365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289560</xdr:colOff>
      <xdr:row>119</xdr:row>
      <xdr:rowOff>7620</xdr:rowOff>
    </xdr:from>
    <xdr:to>
      <xdr:col>12</xdr:col>
      <xdr:colOff>403860</xdr:colOff>
      <xdr:row>136</xdr:row>
      <xdr:rowOff>99060</xdr:rowOff>
    </xdr:to>
    <xdr:pic>
      <xdr:nvPicPr>
        <xdr:cNvPr id="30321" name="Picture 122">
          <a:extLst>
            <a:ext uri="{FF2B5EF4-FFF2-40B4-BE49-F238E27FC236}">
              <a16:creationId xmlns:a16="http://schemas.microsoft.com/office/drawing/2014/main" id="{00000000-0008-0000-0A00-0000717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7620" y="21137880"/>
          <a:ext cx="5113020" cy="2941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289560</xdr:colOff>
      <xdr:row>120</xdr:row>
      <xdr:rowOff>45720</xdr:rowOff>
    </xdr:from>
    <xdr:to>
      <xdr:col>4</xdr:col>
      <xdr:colOff>182880</xdr:colOff>
      <xdr:row>136</xdr:row>
      <xdr:rowOff>91440</xdr:rowOff>
    </xdr:to>
    <xdr:pic>
      <xdr:nvPicPr>
        <xdr:cNvPr id="30322" name="Picture 123">
          <a:extLst>
            <a:ext uri="{FF2B5EF4-FFF2-40B4-BE49-F238E27FC236}">
              <a16:creationId xmlns:a16="http://schemas.microsoft.com/office/drawing/2014/main" id="{00000000-0008-0000-0A00-00007276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9560" y="21343620"/>
          <a:ext cx="3421380" cy="27279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411480</xdr:colOff>
      <xdr:row>137</xdr:row>
      <xdr:rowOff>7620</xdr:rowOff>
    </xdr:from>
    <xdr:to>
      <xdr:col>7</xdr:col>
      <xdr:colOff>38100</xdr:colOff>
      <xdr:row>142</xdr:row>
      <xdr:rowOff>22860</xdr:rowOff>
    </xdr:to>
    <xdr:pic>
      <xdr:nvPicPr>
        <xdr:cNvPr id="30323" name="Picture 151">
          <a:extLst>
            <a:ext uri="{FF2B5EF4-FFF2-40B4-BE49-F238E27FC236}">
              <a16:creationId xmlns:a16="http://schemas.microsoft.com/office/drawing/2014/main" id="{00000000-0008-0000-0A00-00007376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2000" y="24155400"/>
          <a:ext cx="4678680" cy="8534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563880</xdr:colOff>
      <xdr:row>85</xdr:row>
      <xdr:rowOff>190500</xdr:rowOff>
    </xdr:from>
    <xdr:to>
      <xdr:col>13</xdr:col>
      <xdr:colOff>7620</xdr:colOff>
      <xdr:row>94</xdr:row>
      <xdr:rowOff>99060</xdr:rowOff>
    </xdr:to>
    <xdr:pic>
      <xdr:nvPicPr>
        <xdr:cNvPr id="30324" name="Picture 173">
          <a:extLst>
            <a:ext uri="{FF2B5EF4-FFF2-40B4-BE49-F238E27FC236}">
              <a16:creationId xmlns:a16="http://schemas.microsoft.com/office/drawing/2014/main" id="{00000000-0008-0000-0A00-00007476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091940" y="15369540"/>
          <a:ext cx="5067300" cy="14706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159</xdr:row>
      <xdr:rowOff>0</xdr:rowOff>
    </xdr:from>
    <xdr:to>
      <xdr:col>13</xdr:col>
      <xdr:colOff>495300</xdr:colOff>
      <xdr:row>168</xdr:row>
      <xdr:rowOff>137160</xdr:rowOff>
    </xdr:to>
    <xdr:pic>
      <xdr:nvPicPr>
        <xdr:cNvPr id="30325" name="Picture 174">
          <a:extLst>
            <a:ext uri="{FF2B5EF4-FFF2-40B4-BE49-F238E27FC236}">
              <a16:creationId xmlns:a16="http://schemas.microsoft.com/office/drawing/2014/main" id="{00000000-0008-0000-0A00-00007576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77740" y="28026360"/>
          <a:ext cx="4869180" cy="16459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579120</xdr:colOff>
      <xdr:row>39</xdr:row>
      <xdr:rowOff>7620</xdr:rowOff>
    </xdr:from>
    <xdr:to>
      <xdr:col>10</xdr:col>
      <xdr:colOff>487680</xdr:colOff>
      <xdr:row>46</xdr:row>
      <xdr:rowOff>76200</xdr:rowOff>
    </xdr:to>
    <xdr:pic>
      <xdr:nvPicPr>
        <xdr:cNvPr id="30326" name="Picture 175">
          <a:extLst>
            <a:ext uri="{FF2B5EF4-FFF2-40B4-BE49-F238E27FC236}">
              <a16:creationId xmlns:a16="http://schemas.microsoft.com/office/drawing/2014/main" id="{00000000-0008-0000-0A00-00007676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732020" y="7124700"/>
          <a:ext cx="3032760"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19050</xdr:colOff>
          <xdr:row>30</xdr:row>
          <xdr:rowOff>38100</xdr:rowOff>
        </xdr:from>
        <xdr:to>
          <xdr:col>5</xdr:col>
          <xdr:colOff>114300</xdr:colOff>
          <xdr:row>33</xdr:row>
          <xdr:rowOff>133350</xdr:rowOff>
        </xdr:to>
        <xdr:sp macro="" textlink="">
          <xdr:nvSpPr>
            <xdr:cNvPr id="29697" name="Object 1"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3</xdr:col>
      <xdr:colOff>350520</xdr:colOff>
      <xdr:row>7</xdr:row>
      <xdr:rowOff>76200</xdr:rowOff>
    </xdr:from>
    <xdr:to>
      <xdr:col>8</xdr:col>
      <xdr:colOff>220980</xdr:colOff>
      <xdr:row>11</xdr:row>
      <xdr:rowOff>76200</xdr:rowOff>
    </xdr:to>
    <xdr:pic>
      <xdr:nvPicPr>
        <xdr:cNvPr id="21865" name="Picture 10">
          <a:extLst>
            <a:ext uri="{FF2B5EF4-FFF2-40B4-BE49-F238E27FC236}">
              <a16:creationId xmlns:a16="http://schemas.microsoft.com/office/drawing/2014/main" id="{00000000-0008-0000-0B00-0000695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6540" y="1470660"/>
          <a:ext cx="2994660" cy="678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37</xdr:row>
      <xdr:rowOff>7620</xdr:rowOff>
    </xdr:from>
    <xdr:to>
      <xdr:col>13</xdr:col>
      <xdr:colOff>335280</xdr:colOff>
      <xdr:row>40</xdr:row>
      <xdr:rowOff>91440</xdr:rowOff>
    </xdr:to>
    <xdr:pic>
      <xdr:nvPicPr>
        <xdr:cNvPr id="21866" name="Picture 18">
          <a:extLst>
            <a:ext uri="{FF2B5EF4-FFF2-40B4-BE49-F238E27FC236}">
              <a16:creationId xmlns:a16="http://schemas.microsoft.com/office/drawing/2014/main" id="{00000000-0008-0000-0B00-00006A5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6606540"/>
          <a:ext cx="8671560" cy="586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26</xdr:row>
      <xdr:rowOff>0</xdr:rowOff>
    </xdr:from>
    <xdr:to>
      <xdr:col>13</xdr:col>
      <xdr:colOff>358140</xdr:colOff>
      <xdr:row>36</xdr:row>
      <xdr:rowOff>38100</xdr:rowOff>
    </xdr:to>
    <xdr:pic>
      <xdr:nvPicPr>
        <xdr:cNvPr id="21867" name="Picture 19">
          <a:extLst>
            <a:ext uri="{FF2B5EF4-FFF2-40B4-BE49-F238E27FC236}">
              <a16:creationId xmlns:a16="http://schemas.microsoft.com/office/drawing/2014/main" id="{00000000-0008-0000-0B00-00006B55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671060"/>
          <a:ext cx="8702040" cy="1798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40</xdr:row>
      <xdr:rowOff>38100</xdr:rowOff>
    </xdr:from>
    <xdr:to>
      <xdr:col>13</xdr:col>
      <xdr:colOff>358140</xdr:colOff>
      <xdr:row>50</xdr:row>
      <xdr:rowOff>144780</xdr:rowOff>
    </xdr:to>
    <xdr:pic>
      <xdr:nvPicPr>
        <xdr:cNvPr id="21868" name="Picture 20">
          <a:extLst>
            <a:ext uri="{FF2B5EF4-FFF2-40B4-BE49-F238E27FC236}">
              <a16:creationId xmlns:a16="http://schemas.microsoft.com/office/drawing/2014/main" id="{00000000-0008-0000-0B00-00006C55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7139940"/>
          <a:ext cx="8702040" cy="1783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B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3</xdr:col>
      <xdr:colOff>487680</xdr:colOff>
      <xdr:row>7</xdr:row>
      <xdr:rowOff>91440</xdr:rowOff>
    </xdr:from>
    <xdr:to>
      <xdr:col>6</xdr:col>
      <xdr:colOff>358140</xdr:colOff>
      <xdr:row>11</xdr:row>
      <xdr:rowOff>91440</xdr:rowOff>
    </xdr:to>
    <xdr:pic>
      <xdr:nvPicPr>
        <xdr:cNvPr id="22705" name="Picture 5">
          <a:extLst>
            <a:ext uri="{FF2B5EF4-FFF2-40B4-BE49-F238E27FC236}">
              <a16:creationId xmlns:a16="http://schemas.microsoft.com/office/drawing/2014/main" id="{00000000-0008-0000-0C00-0000B15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33700" y="1478280"/>
          <a:ext cx="1744980" cy="7086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556260</xdr:colOff>
      <xdr:row>26</xdr:row>
      <xdr:rowOff>38100</xdr:rowOff>
    </xdr:from>
    <xdr:to>
      <xdr:col>13</xdr:col>
      <xdr:colOff>320040</xdr:colOff>
      <xdr:row>33</xdr:row>
      <xdr:rowOff>76200</xdr:rowOff>
    </xdr:to>
    <xdr:pic>
      <xdr:nvPicPr>
        <xdr:cNvPr id="22706" name="Picture 6">
          <a:extLst>
            <a:ext uri="{FF2B5EF4-FFF2-40B4-BE49-F238E27FC236}">
              <a16:creationId xmlns:a16="http://schemas.microsoft.com/office/drawing/2014/main" id="{00000000-0008-0000-0C00-0000B25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701540"/>
          <a:ext cx="8663940"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22</xdr:col>
      <xdr:colOff>7620</xdr:colOff>
      <xdr:row>0</xdr:row>
      <xdr:rowOff>91440</xdr:rowOff>
    </xdr:from>
    <xdr:to>
      <xdr:col>28</xdr:col>
      <xdr:colOff>289560</xdr:colOff>
      <xdr:row>3</xdr:row>
      <xdr:rowOff>38100</xdr:rowOff>
    </xdr:to>
    <xdr:pic>
      <xdr:nvPicPr>
        <xdr:cNvPr id="28091" name="Picture 8">
          <a:extLst>
            <a:ext uri="{FF2B5EF4-FFF2-40B4-BE49-F238E27FC236}">
              <a16:creationId xmlns:a16="http://schemas.microsoft.com/office/drawing/2014/main" id="{00000000-0008-0000-0D00-0000BB6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91440"/>
          <a:ext cx="403098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21</xdr:col>
      <xdr:colOff>556260</xdr:colOff>
      <xdr:row>3</xdr:row>
      <xdr:rowOff>137160</xdr:rowOff>
    </xdr:from>
    <xdr:to>
      <xdr:col>36</xdr:col>
      <xdr:colOff>381000</xdr:colOff>
      <xdr:row>8</xdr:row>
      <xdr:rowOff>45720</xdr:rowOff>
    </xdr:to>
    <xdr:pic>
      <xdr:nvPicPr>
        <xdr:cNvPr id="28092" name="Picture 9">
          <a:extLst>
            <a:ext uri="{FF2B5EF4-FFF2-40B4-BE49-F238E27FC236}">
              <a16:creationId xmlns:a16="http://schemas.microsoft.com/office/drawing/2014/main" id="{00000000-0008-0000-0D00-0000BC6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35200" y="800100"/>
          <a:ext cx="9197340" cy="8458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525780</xdr:colOff>
      <xdr:row>33</xdr:row>
      <xdr:rowOff>68580</xdr:rowOff>
    </xdr:from>
    <xdr:to>
      <xdr:col>25</xdr:col>
      <xdr:colOff>556260</xdr:colOff>
      <xdr:row>34</xdr:row>
      <xdr:rowOff>76200</xdr:rowOff>
    </xdr:to>
    <xdr:pic>
      <xdr:nvPicPr>
        <xdr:cNvPr id="28093" name="Picture 10">
          <a:extLst>
            <a:ext uri="{FF2B5EF4-FFF2-40B4-BE49-F238E27FC236}">
              <a16:creationId xmlns:a16="http://schemas.microsoft.com/office/drawing/2014/main" id="{00000000-0008-0000-0D00-0000BD6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04720" y="6057900"/>
          <a:ext cx="2529840" cy="1752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21</xdr:col>
      <xdr:colOff>510540</xdr:colOff>
      <xdr:row>9</xdr:row>
      <xdr:rowOff>30480</xdr:rowOff>
    </xdr:from>
    <xdr:to>
      <xdr:col>37</xdr:col>
      <xdr:colOff>533400</xdr:colOff>
      <xdr:row>31</xdr:row>
      <xdr:rowOff>99060</xdr:rowOff>
    </xdr:to>
    <xdr:pic>
      <xdr:nvPicPr>
        <xdr:cNvPr id="28094" name="Picture 11">
          <a:extLst>
            <a:ext uri="{FF2B5EF4-FFF2-40B4-BE49-F238E27FC236}">
              <a16:creationId xmlns:a16="http://schemas.microsoft.com/office/drawing/2014/main" id="{00000000-0008-0000-0D00-0000BE6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889480" y="1798320"/>
          <a:ext cx="10020300" cy="3954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30</xdr:row>
      <xdr:rowOff>99060</xdr:rowOff>
    </xdr:from>
    <xdr:to>
      <xdr:col>16</xdr:col>
      <xdr:colOff>160020</xdr:colOff>
      <xdr:row>37</xdr:row>
      <xdr:rowOff>76200</xdr:rowOff>
    </xdr:to>
    <xdr:pic>
      <xdr:nvPicPr>
        <xdr:cNvPr id="28095" name="Picture 17">
          <a:extLst>
            <a:ext uri="{FF2B5EF4-FFF2-40B4-BE49-F238E27FC236}">
              <a16:creationId xmlns:a16="http://schemas.microsoft.com/office/drawing/2014/main" id="{00000000-0008-0000-0D00-0000BF6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585460"/>
          <a:ext cx="11064240" cy="11506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D00-000001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6</xdr:col>
      <xdr:colOff>7620</xdr:colOff>
      <xdr:row>10</xdr:row>
      <xdr:rowOff>38100</xdr:rowOff>
    </xdr:to>
    <xdr:pic>
      <xdr:nvPicPr>
        <xdr:cNvPr id="23811" name="Picture 1">
          <a:extLst>
            <a:ext uri="{FF2B5EF4-FFF2-40B4-BE49-F238E27FC236}">
              <a16:creationId xmlns:a16="http://schemas.microsoft.com/office/drawing/2014/main" id="{00000000-0008-0000-0E00-0000035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1150620"/>
          <a:ext cx="3230880" cy="7086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617220</xdr:colOff>
      <xdr:row>24</xdr:row>
      <xdr:rowOff>99060</xdr:rowOff>
    </xdr:from>
    <xdr:to>
      <xdr:col>12</xdr:col>
      <xdr:colOff>563880</xdr:colOff>
      <xdr:row>32</xdr:row>
      <xdr:rowOff>68580</xdr:rowOff>
    </xdr:to>
    <xdr:pic>
      <xdr:nvPicPr>
        <xdr:cNvPr id="23812" name="Picture 2">
          <a:extLst>
            <a:ext uri="{FF2B5EF4-FFF2-40B4-BE49-F238E27FC236}">
              <a16:creationId xmlns:a16="http://schemas.microsoft.com/office/drawing/2014/main" id="{00000000-0008-0000-0E00-0000045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358640"/>
          <a:ext cx="7536180" cy="13106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44</xdr:row>
      <xdr:rowOff>144780</xdr:rowOff>
    </xdr:from>
    <xdr:to>
      <xdr:col>7</xdr:col>
      <xdr:colOff>441960</xdr:colOff>
      <xdr:row>48</xdr:row>
      <xdr:rowOff>160020</xdr:rowOff>
    </xdr:to>
    <xdr:pic>
      <xdr:nvPicPr>
        <xdr:cNvPr id="23813" name="Picture 3">
          <a:extLst>
            <a:ext uri="{FF2B5EF4-FFF2-40B4-BE49-F238E27FC236}">
              <a16:creationId xmlns:a16="http://schemas.microsoft.com/office/drawing/2014/main" id="{00000000-0008-0000-0E00-0000055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7848600"/>
          <a:ext cx="4290060" cy="685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fda.gov/ohrms/dockets/ac/04/briefing/4034B1_07_Bioequivalence%20Requirments-Draft.pdf" TargetMode="External"/><Relationship Id="rId3" Type="http://schemas.openxmlformats.org/officeDocument/2006/relationships/hyperlink" Target="http://www.fda.gov/ohrms/dockets/ac/06/slides/2006-4241s2_5.ppt" TargetMode="External"/><Relationship Id="rId7" Type="http://schemas.openxmlformats.org/officeDocument/2006/relationships/hyperlink" Target="http://www.fda.gov/cder/Guidance/3616fnl.pdf" TargetMode="External"/><Relationship Id="rId2" Type="http://schemas.openxmlformats.org/officeDocument/2006/relationships/hyperlink" Target="http://www.springerlink.com/content/u503p62056413677/fulltext.pdf" TargetMode="External"/><Relationship Id="rId1" Type="http://schemas.openxmlformats.org/officeDocument/2006/relationships/hyperlink" Target="mailto:d.dubins@utoronto.ca" TargetMode="External"/><Relationship Id="rId6" Type="http://schemas.openxmlformats.org/officeDocument/2006/relationships/hyperlink" Target="http://bebac.at/news/2006-10-06.htm" TargetMode="External"/><Relationship Id="rId11" Type="http://schemas.openxmlformats.org/officeDocument/2006/relationships/drawing" Target="../drawings/drawing1.xml"/><Relationship Id="rId5" Type="http://schemas.openxmlformats.org/officeDocument/2006/relationships/hyperlink" Target="http://www.fda.gov/ohrms/dockets/ac/06/slides/2006-4241s2_4.ppt" TargetMode="External"/><Relationship Id="rId10" Type="http://schemas.openxmlformats.org/officeDocument/2006/relationships/printerSettings" Target="../printerSettings/printerSettings1.bin"/><Relationship Id="rId4" Type="http://schemas.openxmlformats.org/officeDocument/2006/relationships/hyperlink" Target="http://www.fda.gov/ohrms/dockets/ac/06/slides/2006-4241s2_3.ppt" TargetMode="External"/><Relationship Id="rId9" Type="http://schemas.openxmlformats.org/officeDocument/2006/relationships/hyperlink" Target="https://bebac.at/articles/Sample-Size-Estimation-for-Equivalence-Studies-in-a-Parallel-Design.htm"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3.vml"/><Relationship Id="rId7" Type="http://schemas.openxmlformats.org/officeDocument/2006/relationships/ctrlProp" Target="../ctrlProps/ctrlProp1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 Id="rId9" Type="http://schemas.openxmlformats.org/officeDocument/2006/relationships/comments" Target="../comments3.xml"/></Relationships>
</file>

<file path=xl/worksheets/_rels/sheet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ctrlProp" Target="../ctrlProps/ctrlProp26.xml"/><Relationship Id="rId7" Type="http://schemas.openxmlformats.org/officeDocument/2006/relationships/ctrlProp" Target="../ctrlProps/ctrlProp30.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5.xml"/><Relationship Id="rId3" Type="http://schemas.openxmlformats.org/officeDocument/2006/relationships/vmlDrawing" Target="../drawings/vmlDrawing7.vml"/><Relationship Id="rId7" Type="http://schemas.openxmlformats.org/officeDocument/2006/relationships/ctrlProp" Target="../ctrlProps/ctrlProp34.xml"/><Relationship Id="rId2" Type="http://schemas.openxmlformats.org/officeDocument/2006/relationships/drawing" Target="../drawings/drawing8.xml"/><Relationship Id="rId1" Type="http://schemas.openxmlformats.org/officeDocument/2006/relationships/printerSettings" Target="../printerSettings/printerSettings5.bin"/><Relationship Id="rId6" Type="http://schemas.openxmlformats.org/officeDocument/2006/relationships/ctrlProp" Target="../ctrlProps/ctrlProp33.xml"/><Relationship Id="rId11" Type="http://schemas.openxmlformats.org/officeDocument/2006/relationships/comments" Target="../comments7.xml"/><Relationship Id="rId5" Type="http://schemas.openxmlformats.org/officeDocument/2006/relationships/ctrlProp" Target="../ctrlProps/ctrlProp32.xml"/><Relationship Id="rId10" Type="http://schemas.openxmlformats.org/officeDocument/2006/relationships/ctrlProp" Target="../ctrlProps/ctrlProp37.xml"/><Relationship Id="rId4" Type="http://schemas.openxmlformats.org/officeDocument/2006/relationships/ctrlProp" Target="../ctrlProps/ctrlProp31.xml"/><Relationship Id="rId9" Type="http://schemas.openxmlformats.org/officeDocument/2006/relationships/ctrlProp" Target="../ctrlProps/ctrlProp3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ctrlProp" Target="../ctrlProps/ctrlProp38.xml"/><Relationship Id="rId7" Type="http://schemas.openxmlformats.org/officeDocument/2006/relationships/ctrlProp" Target="../ctrlProps/ctrlProp42.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41.xml"/><Relationship Id="rId5" Type="http://schemas.openxmlformats.org/officeDocument/2006/relationships/ctrlProp" Target="../ctrlProps/ctrlProp40.xml"/><Relationship Id="rId10" Type="http://schemas.openxmlformats.org/officeDocument/2006/relationships/comments" Target="../comments8.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49.xml"/><Relationship Id="rId3" Type="http://schemas.openxmlformats.org/officeDocument/2006/relationships/vmlDrawing" Target="../drawings/vmlDrawing9.vml"/><Relationship Id="rId7" Type="http://schemas.openxmlformats.org/officeDocument/2006/relationships/ctrlProp" Target="../ctrlProps/ctrlProp48.xml"/><Relationship Id="rId12" Type="http://schemas.openxmlformats.org/officeDocument/2006/relationships/comments" Target="../comments9.xml"/><Relationship Id="rId2" Type="http://schemas.openxmlformats.org/officeDocument/2006/relationships/drawing" Target="../drawings/drawing10.xml"/><Relationship Id="rId1" Type="http://schemas.openxmlformats.org/officeDocument/2006/relationships/printerSettings" Target="../printerSettings/printerSettings6.bin"/><Relationship Id="rId6" Type="http://schemas.openxmlformats.org/officeDocument/2006/relationships/ctrlProp" Target="../ctrlProps/ctrlProp47.xml"/><Relationship Id="rId11" Type="http://schemas.openxmlformats.org/officeDocument/2006/relationships/ctrlProp" Target="../ctrlProps/ctrlProp52.xml"/><Relationship Id="rId5" Type="http://schemas.openxmlformats.org/officeDocument/2006/relationships/ctrlProp" Target="../ctrlProps/ctrlProp46.xml"/><Relationship Id="rId10" Type="http://schemas.openxmlformats.org/officeDocument/2006/relationships/ctrlProp" Target="../ctrlProps/ctrlProp51.xml"/><Relationship Id="rId4" Type="http://schemas.openxmlformats.org/officeDocument/2006/relationships/ctrlProp" Target="../ctrlProps/ctrlProp45.xml"/><Relationship Id="rId9" Type="http://schemas.openxmlformats.org/officeDocument/2006/relationships/ctrlProp" Target="../ctrlProps/ctrlProp50.xml"/></Relationships>
</file>

<file path=xl/worksheets/_rels/sheet11.xml.rels><?xml version="1.0" encoding="UTF-8" standalone="yes"?>
<Relationships xmlns="http://schemas.openxmlformats.org/package/2006/relationships"><Relationship Id="rId8" Type="http://schemas.openxmlformats.org/officeDocument/2006/relationships/hyperlink" Target="http://www.springerlink.com/content/u503p62056413677/fulltext.pdf" TargetMode="External"/><Relationship Id="rId13" Type="http://schemas.openxmlformats.org/officeDocument/2006/relationships/drawing" Target="../drawings/drawing11.xml"/><Relationship Id="rId3" Type="http://schemas.openxmlformats.org/officeDocument/2006/relationships/hyperlink" Target="http://bebac.at/news/2006-10-06.htm" TargetMode="External"/><Relationship Id="rId7" Type="http://schemas.openxmlformats.org/officeDocument/2006/relationships/hyperlink" Target="http://www.springerlink.com/content/u503p62056413677/fulltext.pdf" TargetMode="External"/><Relationship Id="rId12" Type="http://schemas.openxmlformats.org/officeDocument/2006/relationships/hyperlink" Target="http://www.fda.gov/ohrms/dockets/ac/04/briefing/4034B1_07_Bioequivalence%20Requirments-Draft.pdf" TargetMode="External"/><Relationship Id="rId2" Type="http://schemas.openxmlformats.org/officeDocument/2006/relationships/hyperlink" Target="http://www.fda.gov/ohrms/dockets/ac/06/slides/2006-4241s2_3.ppt" TargetMode="External"/><Relationship Id="rId16" Type="http://schemas.openxmlformats.org/officeDocument/2006/relationships/image" Target="../media/image45.emf"/><Relationship Id="rId1" Type="http://schemas.openxmlformats.org/officeDocument/2006/relationships/hyperlink" Target="http://www.fda.gov/ohrms/dockets/ac/06/slides/2006-4241s2_4.ppt" TargetMode="External"/><Relationship Id="rId6" Type="http://schemas.openxmlformats.org/officeDocument/2006/relationships/hyperlink" Target="http://www.springerlink.com/content/u503p62056413677/fulltext.pdf" TargetMode="External"/><Relationship Id="rId11" Type="http://schemas.openxmlformats.org/officeDocument/2006/relationships/hyperlink" Target="http://www.fda.gov/ohrms/dockets/ac/04/briefing/4034B1_07_Bioequivalence%20Requirments-Draft.pdf" TargetMode="External"/><Relationship Id="rId5" Type="http://schemas.openxmlformats.org/officeDocument/2006/relationships/hyperlink" Target="http://www.fda.gov/ohrms/dockets/ac/06/slides/2006-4241s2_5.ppt" TargetMode="External"/><Relationship Id="rId15" Type="http://schemas.openxmlformats.org/officeDocument/2006/relationships/oleObject" Target="../embeddings/oleObject1.bin"/><Relationship Id="rId10" Type="http://schemas.openxmlformats.org/officeDocument/2006/relationships/hyperlink" Target="http://www.springerlink.com/content/u503p62056413677/fulltext.pdf" TargetMode="External"/><Relationship Id="rId4" Type="http://schemas.openxmlformats.org/officeDocument/2006/relationships/hyperlink" Target="http://www.springerlink.com/content/u503p62056413677/fulltext.pdf" TargetMode="External"/><Relationship Id="rId9" Type="http://schemas.openxmlformats.org/officeDocument/2006/relationships/hyperlink" Target="http://www.fda.gov/cder/Guidance/3616fnl.pdf" TargetMode="External"/><Relationship Id="rId14"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1.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2.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3.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2:I45"/>
  <sheetViews>
    <sheetView tabSelected="1" zoomScale="115" zoomScaleNormal="115" workbookViewId="0">
      <selection activeCell="C8" sqref="C8"/>
    </sheetView>
  </sheetViews>
  <sheetFormatPr defaultColWidth="9.140625" defaultRowHeight="12.75"/>
  <cols>
    <col min="1" max="1" width="5.140625" style="66" customWidth="1"/>
    <col min="2" max="2" width="10.42578125" style="66" customWidth="1"/>
    <col min="3" max="16384" width="9.140625" style="66"/>
  </cols>
  <sheetData>
    <row r="2" spans="2:9" ht="20.25">
      <c r="C2" s="67" t="s">
        <v>243</v>
      </c>
      <c r="I2" s="68" t="s">
        <v>242</v>
      </c>
    </row>
    <row r="3" spans="2:9" ht="20.25">
      <c r="C3" s="67" t="s">
        <v>244</v>
      </c>
    </row>
    <row r="4" spans="2:9">
      <c r="B4" s="69" t="s">
        <v>80</v>
      </c>
    </row>
    <row r="6" spans="2:9">
      <c r="B6" s="70" t="s">
        <v>233</v>
      </c>
    </row>
    <row r="8" spans="2:9">
      <c r="B8" s="71"/>
    </row>
    <row r="9" spans="2:9">
      <c r="B9" s="72"/>
    </row>
    <row r="10" spans="2:9">
      <c r="B10" s="73"/>
    </row>
    <row r="11" spans="2:9">
      <c r="B11" s="73"/>
    </row>
    <row r="12" spans="2:9">
      <c r="B12" s="73"/>
    </row>
    <row r="28" spans="2:9">
      <c r="B28" s="74" t="s">
        <v>89</v>
      </c>
    </row>
    <row r="29" spans="2:9">
      <c r="B29" s="75" t="s">
        <v>196</v>
      </c>
    </row>
    <row r="30" spans="2:9" ht="22.5" customHeight="1">
      <c r="B30" s="77" t="s">
        <v>130</v>
      </c>
      <c r="C30" s="77"/>
      <c r="D30" s="77"/>
      <c r="E30" s="77"/>
      <c r="F30" s="77"/>
      <c r="G30" s="77"/>
      <c r="H30" s="77"/>
      <c r="I30" s="77"/>
    </row>
    <row r="31" spans="2:9">
      <c r="B31" s="76" t="s">
        <v>144</v>
      </c>
    </row>
    <row r="32" spans="2:9">
      <c r="B32" s="76" t="s">
        <v>147</v>
      </c>
    </row>
    <row r="33" spans="2:2">
      <c r="B33" s="76" t="s">
        <v>137</v>
      </c>
    </row>
    <row r="34" spans="2:2">
      <c r="B34" s="76" t="s">
        <v>136</v>
      </c>
    </row>
    <row r="35" spans="2:2">
      <c r="B35" s="76" t="s">
        <v>141</v>
      </c>
    </row>
    <row r="36" spans="2:2">
      <c r="B36" s="76" t="s">
        <v>178</v>
      </c>
    </row>
    <row r="37" spans="2:2">
      <c r="B37" s="76" t="s">
        <v>199</v>
      </c>
    </row>
    <row r="38" spans="2:2">
      <c r="B38" s="76" t="s">
        <v>245</v>
      </c>
    </row>
    <row r="40" spans="2:2">
      <c r="B40" s="75" t="s">
        <v>201</v>
      </c>
    </row>
    <row r="41" spans="2:2">
      <c r="B41" s="75" t="s">
        <v>202</v>
      </c>
    </row>
    <row r="42" spans="2:2">
      <c r="B42" s="75" t="s">
        <v>203</v>
      </c>
    </row>
    <row r="43" spans="2:2">
      <c r="B43" s="75" t="s">
        <v>131</v>
      </c>
    </row>
    <row r="44" spans="2:2">
      <c r="B44" s="75" t="s">
        <v>204</v>
      </c>
    </row>
    <row r="45" spans="2:2">
      <c r="B45" s="76" t="s">
        <v>195</v>
      </c>
    </row>
  </sheetData>
  <mergeCells count="1">
    <mergeCell ref="B30:I30"/>
  </mergeCells>
  <phoneticPr fontId="2" type="noConversion"/>
  <hyperlinks>
    <hyperlink ref="B45" r:id="rId1" xr:uid="{00000000-0004-0000-0000-000000000000}"/>
    <hyperlink ref="B31" r:id="rId2" xr:uid="{00000000-0004-0000-0000-000001000000}"/>
    <hyperlink ref="B32" r:id="rId3" xr:uid="{00000000-0004-0000-0000-000002000000}"/>
    <hyperlink ref="B33" r:id="rId4" xr:uid="{00000000-0004-0000-0000-000003000000}"/>
    <hyperlink ref="B34" r:id="rId5" xr:uid="{00000000-0004-0000-0000-000004000000}"/>
    <hyperlink ref="B35" r:id="rId6" xr:uid="{00000000-0004-0000-0000-000005000000}"/>
    <hyperlink ref="B36" r:id="rId7" xr:uid="{00000000-0004-0000-0000-000006000000}"/>
    <hyperlink ref="B37" r:id="rId8" xr:uid="{00000000-0004-0000-0000-000007000000}"/>
    <hyperlink ref="B38" r:id="rId9" location="fn9" xr:uid="{805EED3E-2BDF-47BA-9BD3-7927F32CCE7E}"/>
  </hyperlinks>
  <pageMargins left="0.75" right="0.75" top="1" bottom="1" header="0.5" footer="0.5"/>
  <pageSetup orientation="portrait" horizontalDpi="4294967293" r:id="rId10"/>
  <headerFooter alignWithMargins="0"/>
  <drawing r:id="rId1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F66"/>
  <sheetViews>
    <sheetView zoomScale="96" zoomScaleNormal="96" workbookViewId="0">
      <selection activeCell="C2" sqref="C2"/>
    </sheetView>
  </sheetViews>
  <sheetFormatPr defaultColWidth="9.140625" defaultRowHeight="12.75"/>
  <cols>
    <col min="1" max="1" width="5.140625" style="1" customWidth="1"/>
    <col min="2" max="2" width="22.42578125" style="1" customWidth="1"/>
    <col min="3" max="20" width="9.140625" style="1"/>
    <col min="21" max="21" width="9.140625" style="52"/>
    <col min="22" max="23" width="12.28515625" style="52" bestFit="1" customWidth="1"/>
    <col min="24" max="30" width="9.140625" style="52"/>
    <col min="31" max="32" width="9.140625" style="51"/>
    <col min="33" max="16384" width="9.140625" style="1"/>
  </cols>
  <sheetData>
    <row r="1" spans="2:31" ht="27" thickBot="1">
      <c r="B1" s="17" t="s">
        <v>68</v>
      </c>
      <c r="E1" s="9" t="s">
        <v>122</v>
      </c>
    </row>
    <row r="2" spans="2:31" ht="13.5" thickBot="1">
      <c r="B2" s="1" t="s">
        <v>1</v>
      </c>
      <c r="C2" s="2">
        <v>0.9</v>
      </c>
      <c r="D2" s="1" t="s">
        <v>21</v>
      </c>
    </row>
    <row r="3" spans="2:31" ht="16.5" thickBot="1">
      <c r="B3" s="1" t="s">
        <v>22</v>
      </c>
      <c r="C3" s="3">
        <v>1</v>
      </c>
      <c r="D3" s="1" t="s">
        <v>23</v>
      </c>
    </row>
    <row r="4" spans="2:31" ht="13.5" thickBot="1">
      <c r="B4" s="8" t="s">
        <v>59</v>
      </c>
      <c r="C4" s="18">
        <v>0.05</v>
      </c>
      <c r="D4" s="1" t="s">
        <v>67</v>
      </c>
    </row>
    <row r="5" spans="2:31" ht="13.5" thickBot="1">
      <c r="B5" s="8" t="s">
        <v>18</v>
      </c>
      <c r="C5" s="3">
        <v>40</v>
      </c>
      <c r="D5" s="1" t="s">
        <v>19</v>
      </c>
      <c r="U5" s="52" t="s">
        <v>56</v>
      </c>
    </row>
    <row r="6" spans="2:31" ht="16.5" thickBot="1">
      <c r="B6" s="1" t="s">
        <v>17</v>
      </c>
      <c r="C6" s="3">
        <v>8</v>
      </c>
      <c r="D6" s="1" t="s">
        <v>24</v>
      </c>
      <c r="U6" s="52">
        <v>2</v>
      </c>
    </row>
    <row r="7" spans="2:31" ht="13.5" thickBot="1">
      <c r="C7" s="4"/>
    </row>
    <row r="8" spans="2:31" ht="13.5" thickBot="1">
      <c r="B8" s="12" t="s">
        <v>118</v>
      </c>
      <c r="C8" s="11">
        <f>C6/C5</f>
        <v>0.2</v>
      </c>
    </row>
    <row r="10" spans="2:31">
      <c r="B10" s="8" t="s">
        <v>18</v>
      </c>
      <c r="C10" s="1">
        <f>C5</f>
        <v>40</v>
      </c>
      <c r="V10" s="52" t="s">
        <v>212</v>
      </c>
      <c r="W10" s="52" t="s">
        <v>210</v>
      </c>
      <c r="X10" s="52" t="s">
        <v>213</v>
      </c>
      <c r="Y10" s="52" t="s">
        <v>211</v>
      </c>
      <c r="AA10" s="52" t="s">
        <v>224</v>
      </c>
      <c r="AB10" s="52" t="s">
        <v>225</v>
      </c>
    </row>
    <row r="11" spans="2:31" ht="15.75">
      <c r="B11" s="1" t="s">
        <v>60</v>
      </c>
      <c r="C11" s="7">
        <v>527</v>
      </c>
      <c r="U11" s="52" t="s">
        <v>206</v>
      </c>
      <c r="V11" s="55">
        <f>4*C5</f>
        <v>160</v>
      </c>
      <c r="W11" s="52">
        <f>$C$5</f>
        <v>40</v>
      </c>
      <c r="X11" s="52">
        <f>W11/SQRT(C20)</f>
        <v>1.7424273674761284</v>
      </c>
      <c r="Y11" s="52">
        <f>TINV($C$4*2,$C$20-1)*X11</f>
        <v>2.8710945679140898</v>
      </c>
      <c r="AA11" s="52">
        <f>V12+4*W12</f>
        <v>328</v>
      </c>
      <c r="AB11" s="52">
        <f>AA11/33</f>
        <v>9.9393939393939394</v>
      </c>
    </row>
    <row r="12" spans="2:31" ht="15.75">
      <c r="B12" s="1" t="s">
        <v>61</v>
      </c>
      <c r="C12" s="1">
        <f>C11*(C3+1)-2</f>
        <v>1052</v>
      </c>
      <c r="U12" s="52" t="s">
        <v>207</v>
      </c>
      <c r="V12" s="55">
        <f>V11+C6</f>
        <v>168</v>
      </c>
      <c r="W12" s="52">
        <f>$C$5</f>
        <v>40</v>
      </c>
      <c r="X12" s="52">
        <f>W12/SQRT(D20)</f>
        <v>1.7424273674761284</v>
      </c>
      <c r="Y12" s="52">
        <f>TINV($C$4*2,$D$20-1)*X12</f>
        <v>2.8710945679140898</v>
      </c>
    </row>
    <row r="13" spans="2:31" ht="15.75">
      <c r="B13" s="1" t="s">
        <v>62</v>
      </c>
      <c r="C13" s="1">
        <f>TINV(C4,C12)</f>
        <v>1.9622215477763136</v>
      </c>
      <c r="Y13" s="52" t="b">
        <v>1</v>
      </c>
      <c r="AC13" s="52" t="b">
        <v>0</v>
      </c>
    </row>
    <row r="14" spans="2:31">
      <c r="B14" s="1" t="s">
        <v>4</v>
      </c>
      <c r="C14" s="1">
        <f>SQRT((C3*C11*C6^2)/((C3+1)*C10^2))</f>
        <v>3.246536616149585</v>
      </c>
      <c r="U14" s="52" t="s">
        <v>205</v>
      </c>
      <c r="V14" s="52" t="s">
        <v>208</v>
      </c>
      <c r="W14" s="52" t="s">
        <v>209</v>
      </c>
      <c r="Y14" s="55" t="s">
        <v>220</v>
      </c>
      <c r="AC14" s="55" t="s">
        <v>222</v>
      </c>
    </row>
    <row r="15" spans="2:31">
      <c r="U15" s="52">
        <v>0</v>
      </c>
      <c r="V15" s="52">
        <f>_xlfn.NORM.DIST($U15,$V$11,$C$5,FALSE)</f>
        <v>3.3457556441221339E-6</v>
      </c>
      <c r="W15" s="52">
        <f>_xlfn.NORM.DIST($U15,$V$12,$C$5,FALSE)</f>
        <v>1.4735766939134965E-6</v>
      </c>
      <c r="Y15" s="52" t="s">
        <v>217</v>
      </c>
      <c r="Z15" s="52" t="s">
        <v>214</v>
      </c>
      <c r="AA15" s="52" t="s">
        <v>215</v>
      </c>
      <c r="AC15" s="52" t="s">
        <v>217</v>
      </c>
      <c r="AD15" s="52" t="s">
        <v>214</v>
      </c>
      <c r="AE15" s="51" t="s">
        <v>215</v>
      </c>
    </row>
    <row r="16" spans="2:31">
      <c r="U16" s="52">
        <f>U15+$AB$11</f>
        <v>9.9393939393939394</v>
      </c>
      <c r="V16" s="52">
        <f t="shared" ref="V16:V47" si="0">_xlfn.NORM.DIST($U16,$V$11,$C$5,FALSE)</f>
        <v>8.7649394011783917E-6</v>
      </c>
      <c r="W16" s="52">
        <f t="shared" ref="W16:W47" si="1">_xlfn.NORM.DIST($U16,$V$12,$C$5,FALSE)</f>
        <v>4.0570518897450162E-6</v>
      </c>
      <c r="Y16" s="52" t="s">
        <v>216</v>
      </c>
      <c r="Z16" s="52">
        <f>$V$11-$W$11</f>
        <v>120</v>
      </c>
      <c r="AA16" s="52">
        <v>0</v>
      </c>
      <c r="AC16" s="52" t="s">
        <v>216</v>
      </c>
      <c r="AD16" s="52">
        <f>$V$11-$Y$11</f>
        <v>157.1289054320859</v>
      </c>
      <c r="AE16" s="51">
        <v>0</v>
      </c>
    </row>
    <row r="17" spans="2:31">
      <c r="B17" s="1" t="s">
        <v>6</v>
      </c>
      <c r="C17" s="1">
        <f>NCt(C13,C12,C14)</f>
        <v>9.9639668978869542E-2</v>
      </c>
      <c r="U17" s="52">
        <f t="shared" ref="U17:U47" si="2">U16+$AB$11</f>
        <v>19.878787878787879</v>
      </c>
      <c r="V17" s="52">
        <f t="shared" si="0"/>
        <v>2.1586797882267536E-5</v>
      </c>
      <c r="W17" s="52">
        <f t="shared" si="1"/>
        <v>1.0501056362603924E-5</v>
      </c>
      <c r="Y17" s="52" t="s">
        <v>218</v>
      </c>
      <c r="Z17" s="52">
        <f>Z16</f>
        <v>120</v>
      </c>
      <c r="AA17" s="52">
        <f>IF(Y13,MAX($V$15:$V$47),0)</f>
        <v>9.9706267351264838E-3</v>
      </c>
      <c r="AC17" s="52" t="s">
        <v>218</v>
      </c>
      <c r="AD17" s="52">
        <f>AD16</f>
        <v>157.1289054320859</v>
      </c>
      <c r="AE17" s="51">
        <f>IF(AC13,MAX($V$15:$V$47),0)</f>
        <v>0</v>
      </c>
    </row>
    <row r="18" spans="2:31">
      <c r="B18" s="1" t="s">
        <v>58</v>
      </c>
      <c r="C18" s="1">
        <f>1-C17</f>
        <v>0.90036033102113044</v>
      </c>
      <c r="E18" s="5"/>
      <c r="U18" s="52">
        <f t="shared" si="2"/>
        <v>29.81818181818182</v>
      </c>
      <c r="V18" s="52">
        <f t="shared" si="0"/>
        <v>4.9981828671086098E-5</v>
      </c>
      <c r="W18" s="52">
        <f t="shared" si="1"/>
        <v>2.5552890002204227E-5</v>
      </c>
      <c r="Y18" s="52" t="s">
        <v>219</v>
      </c>
      <c r="Z18" s="52" t="s">
        <v>214</v>
      </c>
      <c r="AA18" s="52" t="s">
        <v>215</v>
      </c>
      <c r="AC18" s="52" t="s">
        <v>219</v>
      </c>
      <c r="AD18" s="52" t="s">
        <v>214</v>
      </c>
      <c r="AE18" s="51" t="s">
        <v>215</v>
      </c>
    </row>
    <row r="19" spans="2:31" ht="14.25">
      <c r="C19" s="16" t="s">
        <v>63</v>
      </c>
      <c r="D19" s="16" t="s">
        <v>64</v>
      </c>
      <c r="E19" s="16" t="s">
        <v>66</v>
      </c>
      <c r="U19" s="52">
        <f t="shared" si="2"/>
        <v>39.757575757575758</v>
      </c>
      <c r="V19" s="52">
        <f t="shared" si="0"/>
        <v>1.0879793853904708E-4</v>
      </c>
      <c r="W19" s="52">
        <f t="shared" si="1"/>
        <v>5.8456346720510549E-5</v>
      </c>
      <c r="Y19" s="52" t="s">
        <v>216</v>
      </c>
      <c r="Z19" s="52">
        <f>$V$11+$W$11</f>
        <v>200</v>
      </c>
      <c r="AA19" s="52">
        <v>0</v>
      </c>
      <c r="AC19" s="52" t="s">
        <v>216</v>
      </c>
      <c r="AD19" s="52">
        <f>$V$11+$Y$11</f>
        <v>162.8710945679141</v>
      </c>
      <c r="AE19" s="51">
        <v>0</v>
      </c>
    </row>
    <row r="20" spans="2:31">
      <c r="B20" s="1" t="s">
        <v>11</v>
      </c>
      <c r="C20" s="1">
        <f>CEILING(C11,1)</f>
        <v>527</v>
      </c>
      <c r="D20" s="1">
        <f>C20*C3</f>
        <v>527</v>
      </c>
      <c r="E20" s="1">
        <f>C20+D20</f>
        <v>1054</v>
      </c>
      <c r="U20" s="52">
        <f t="shared" si="2"/>
        <v>49.696969696969695</v>
      </c>
      <c r="V20" s="52">
        <f t="shared" si="0"/>
        <v>2.2264543783540088E-4</v>
      </c>
      <c r="W20" s="52">
        <f t="shared" si="1"/>
        <v>1.2572102811928031E-4</v>
      </c>
      <c r="Y20" s="52" t="s">
        <v>218</v>
      </c>
      <c r="Z20" s="52">
        <f>Z19</f>
        <v>200</v>
      </c>
      <c r="AA20" s="52">
        <f>AA17</f>
        <v>9.9706267351264838E-3</v>
      </c>
      <c r="AC20" s="52" t="s">
        <v>218</v>
      </c>
      <c r="AD20" s="52">
        <f>AD19</f>
        <v>162.8710945679141</v>
      </c>
      <c r="AE20" s="51">
        <f>AE17</f>
        <v>0</v>
      </c>
    </row>
    <row r="21" spans="2:31">
      <c r="U21" s="52">
        <f t="shared" si="2"/>
        <v>59.636363636363633</v>
      </c>
      <c r="V21" s="52">
        <f t="shared" si="0"/>
        <v>4.2834287111349645E-4</v>
      </c>
      <c r="W21" s="52">
        <f t="shared" si="1"/>
        <v>2.5419604341562314E-4</v>
      </c>
    </row>
    <row r="22" spans="2:31">
      <c r="U22" s="52">
        <f t="shared" si="2"/>
        <v>69.575757575757578</v>
      </c>
      <c r="V22" s="52">
        <f t="shared" si="0"/>
        <v>7.7473628189698312E-4</v>
      </c>
      <c r="W22" s="52">
        <f t="shared" si="1"/>
        <v>4.8318590587977155E-4</v>
      </c>
      <c r="Y22" s="55" t="s">
        <v>221</v>
      </c>
      <c r="AC22" s="55" t="s">
        <v>223</v>
      </c>
    </row>
    <row r="23" spans="2:31">
      <c r="U23" s="52">
        <f t="shared" si="2"/>
        <v>79.515151515151516</v>
      </c>
      <c r="V23" s="52">
        <f t="shared" si="0"/>
        <v>1.3173490285471054E-3</v>
      </c>
      <c r="W23" s="52">
        <f t="shared" si="1"/>
        <v>8.6346420391826431E-4</v>
      </c>
      <c r="Y23" s="52" t="s">
        <v>217</v>
      </c>
      <c r="Z23" s="52" t="s">
        <v>214</v>
      </c>
      <c r="AA23" s="52" t="s">
        <v>215</v>
      </c>
      <c r="AC23" s="52" t="s">
        <v>217</v>
      </c>
      <c r="AD23" s="52" t="s">
        <v>214</v>
      </c>
      <c r="AE23" s="51" t="s">
        <v>215</v>
      </c>
    </row>
    <row r="24" spans="2:31">
      <c r="U24" s="52">
        <f t="shared" si="2"/>
        <v>89.454545454545453</v>
      </c>
      <c r="V24" s="52">
        <f t="shared" si="0"/>
        <v>2.1058742047565713E-3</v>
      </c>
      <c r="W24" s="52">
        <f t="shared" si="1"/>
        <v>1.4506379241390895E-3</v>
      </c>
      <c r="Y24" s="52" t="s">
        <v>216</v>
      </c>
      <c r="Z24" s="52">
        <f>$V$12-$W$12</f>
        <v>128</v>
      </c>
      <c r="AA24" s="52">
        <v>0</v>
      </c>
      <c r="AC24" s="52" t="s">
        <v>216</v>
      </c>
      <c r="AD24" s="52">
        <f>$V$12-$Y$12</f>
        <v>165.1289054320859</v>
      </c>
      <c r="AE24" s="51">
        <v>0</v>
      </c>
    </row>
    <row r="25" spans="2:31" ht="20.25" customHeight="1">
      <c r="B25" s="44" t="s">
        <v>229</v>
      </c>
      <c r="C25" s="1">
        <f>16*C5^2/C6^2</f>
        <v>400</v>
      </c>
      <c r="D25" s="44" t="s">
        <v>230</v>
      </c>
      <c r="U25" s="52">
        <f t="shared" si="2"/>
        <v>99.393939393939391</v>
      </c>
      <c r="V25" s="52">
        <f t="shared" si="0"/>
        <v>3.164817002251043E-3</v>
      </c>
      <c r="W25" s="52">
        <f t="shared" si="1"/>
        <v>2.2911753328812823E-3</v>
      </c>
      <c r="Y25" s="52" t="s">
        <v>218</v>
      </c>
      <c r="Z25" s="52">
        <f>Z24</f>
        <v>128</v>
      </c>
      <c r="AA25" s="52">
        <f>IF(Y13,MAX($W$15:$W$47),0)</f>
        <v>9.9706267351264838E-3</v>
      </c>
      <c r="AC25" s="52" t="s">
        <v>218</v>
      </c>
      <c r="AD25" s="52">
        <f>AD24</f>
        <v>165.1289054320859</v>
      </c>
      <c r="AE25" s="51">
        <f>IF(AC13,MAX($W$15:$W$47),0)</f>
        <v>0</v>
      </c>
    </row>
    <row r="26" spans="2:31">
      <c r="U26" s="52">
        <f t="shared" si="2"/>
        <v>109.33333333333333</v>
      </c>
      <c r="V26" s="52">
        <f t="shared" si="0"/>
        <v>4.4714604123635123E-3</v>
      </c>
      <c r="W26" s="52">
        <f t="shared" si="1"/>
        <v>3.4020620603069508E-3</v>
      </c>
      <c r="Y26" s="52" t="s">
        <v>219</v>
      </c>
      <c r="Z26" s="52" t="s">
        <v>214</v>
      </c>
      <c r="AA26" s="52" t="s">
        <v>215</v>
      </c>
      <c r="AC26" s="52" t="s">
        <v>219</v>
      </c>
      <c r="AD26" s="52" t="s">
        <v>214</v>
      </c>
      <c r="AE26" s="51" t="s">
        <v>215</v>
      </c>
    </row>
    <row r="27" spans="2:31">
      <c r="U27" s="52">
        <f t="shared" si="2"/>
        <v>119.27272727272727</v>
      </c>
      <c r="V27" s="52">
        <f t="shared" si="0"/>
        <v>5.9392934840752573E-3</v>
      </c>
      <c r="W27" s="52">
        <f t="shared" si="1"/>
        <v>4.749093798530557E-3</v>
      </c>
      <c r="Y27" s="52" t="s">
        <v>216</v>
      </c>
      <c r="Z27" s="52">
        <f>$V$12+$W$12</f>
        <v>208</v>
      </c>
      <c r="AA27" s="52">
        <v>0</v>
      </c>
      <c r="AC27" s="52" t="s">
        <v>216</v>
      </c>
      <c r="AD27" s="52">
        <f>$V$12+$Y$12</f>
        <v>170.8710945679141</v>
      </c>
      <c r="AE27" s="51">
        <v>0</v>
      </c>
    </row>
    <row r="28" spans="2:31">
      <c r="U28" s="52">
        <f t="shared" si="2"/>
        <v>129.21212121212122</v>
      </c>
      <c r="V28" s="52">
        <f t="shared" si="0"/>
        <v>7.4165988722577278E-3</v>
      </c>
      <c r="W28" s="52">
        <f t="shared" si="1"/>
        <v>6.2325227407400525E-3</v>
      </c>
      <c r="Y28" s="52" t="s">
        <v>218</v>
      </c>
      <c r="Z28" s="52">
        <f>Z27</f>
        <v>208</v>
      </c>
      <c r="AA28" s="52">
        <f>AA25</f>
        <v>9.9706267351264838E-3</v>
      </c>
      <c r="AC28" s="52" t="s">
        <v>218</v>
      </c>
      <c r="AD28" s="52">
        <f>AD27</f>
        <v>170.8710945679141</v>
      </c>
      <c r="AE28" s="51">
        <f>AE25</f>
        <v>0</v>
      </c>
    </row>
    <row r="29" spans="2:31">
      <c r="U29" s="52">
        <f t="shared" si="2"/>
        <v>139.15151515151516</v>
      </c>
      <c r="V29" s="52">
        <f t="shared" si="0"/>
        <v>8.7068167558675656E-3</v>
      </c>
      <c r="W29" s="52">
        <f t="shared" si="1"/>
        <v>7.6895620381677134E-3</v>
      </c>
      <c r="Y29" s="52" t="b">
        <v>1</v>
      </c>
    </row>
    <row r="30" spans="2:31">
      <c r="U30" s="52">
        <f t="shared" si="2"/>
        <v>149.09090909090909</v>
      </c>
      <c r="V30" s="52">
        <f t="shared" si="0"/>
        <v>9.6094521114314744E-3</v>
      </c>
      <c r="W30" s="52">
        <f t="shared" si="1"/>
        <v>8.9191598458717939E-3</v>
      </c>
      <c r="Y30" s="55" t="s">
        <v>226</v>
      </c>
    </row>
    <row r="31" spans="2:31">
      <c r="U31" s="52">
        <f t="shared" si="2"/>
        <v>159.03030303030303</v>
      </c>
      <c r="V31" s="52">
        <f t="shared" si="0"/>
        <v>9.9706267351264838E-3</v>
      </c>
      <c r="W31" s="52">
        <f t="shared" si="1"/>
        <v>9.7259245972099086E-3</v>
      </c>
      <c r="Y31" s="52" t="s">
        <v>217</v>
      </c>
      <c r="Z31" s="52" t="s">
        <v>214</v>
      </c>
      <c r="AA31" s="52" t="s">
        <v>215</v>
      </c>
    </row>
    <row r="32" spans="2:31">
      <c r="U32" s="52">
        <f t="shared" si="2"/>
        <v>168.96969696969697</v>
      </c>
      <c r="V32" s="52">
        <f t="shared" si="0"/>
        <v>9.7259245972099086E-3</v>
      </c>
      <c r="W32" s="52">
        <f t="shared" si="1"/>
        <v>9.9706267351264838E-3</v>
      </c>
      <c r="Y32" s="52" t="s">
        <v>216</v>
      </c>
      <c r="Z32" s="52">
        <f>$V$12-$C$6</f>
        <v>160</v>
      </c>
      <c r="AA32" s="52">
        <v>0</v>
      </c>
    </row>
    <row r="33" spans="2:27">
      <c r="U33" s="52">
        <f t="shared" si="2"/>
        <v>178.90909090909091</v>
      </c>
      <c r="V33" s="52">
        <f t="shared" si="0"/>
        <v>8.9191598458717939E-3</v>
      </c>
      <c r="W33" s="52">
        <f t="shared" si="1"/>
        <v>9.6094521114314744E-3</v>
      </c>
      <c r="Y33" s="52" t="s">
        <v>218</v>
      </c>
      <c r="Z33" s="52">
        <f>Z32</f>
        <v>160</v>
      </c>
      <c r="AA33" s="52">
        <f>IF($Y$29,MAX($V$15:$W$47),0)</f>
        <v>9.9706267351264838E-3</v>
      </c>
    </row>
    <row r="34" spans="2:27">
      <c r="U34" s="52">
        <f t="shared" si="2"/>
        <v>188.84848484848484</v>
      </c>
      <c r="V34" s="52">
        <f t="shared" si="0"/>
        <v>7.6895620381677134E-3</v>
      </c>
      <c r="W34" s="52">
        <f t="shared" si="1"/>
        <v>8.7068167558675656E-3</v>
      </c>
      <c r="Y34" s="52" t="s">
        <v>219</v>
      </c>
      <c r="Z34" s="52" t="s">
        <v>214</v>
      </c>
      <c r="AA34" s="52" t="s">
        <v>215</v>
      </c>
    </row>
    <row r="35" spans="2:27">
      <c r="U35" s="52">
        <f t="shared" si="2"/>
        <v>198.78787878787878</v>
      </c>
      <c r="V35" s="52">
        <f t="shared" si="0"/>
        <v>6.2325227407400525E-3</v>
      </c>
      <c r="W35" s="52">
        <f t="shared" si="1"/>
        <v>7.4165988722577278E-3</v>
      </c>
      <c r="Y35" s="52" t="s">
        <v>216</v>
      </c>
      <c r="Z35" s="52">
        <f>$V$12</f>
        <v>168</v>
      </c>
      <c r="AA35" s="52">
        <v>0</v>
      </c>
    </row>
    <row r="36" spans="2:27">
      <c r="D36" s="9" t="s">
        <v>81</v>
      </c>
      <c r="U36" s="52">
        <f t="shared" si="2"/>
        <v>208.72727272727272</v>
      </c>
      <c r="V36" s="52">
        <f t="shared" si="0"/>
        <v>4.7490937985305588E-3</v>
      </c>
      <c r="W36" s="52">
        <f t="shared" si="1"/>
        <v>5.939293484075259E-3</v>
      </c>
      <c r="Y36" s="52" t="s">
        <v>218</v>
      </c>
      <c r="Z36" s="52">
        <f>Z35</f>
        <v>168</v>
      </c>
      <c r="AA36" s="52">
        <f>AA33</f>
        <v>9.9706267351264838E-3</v>
      </c>
    </row>
    <row r="37" spans="2:27" ht="18">
      <c r="B37" s="28" t="s">
        <v>123</v>
      </c>
      <c r="U37" s="52">
        <f t="shared" si="2"/>
        <v>218.66666666666666</v>
      </c>
      <c r="V37" s="52">
        <f t="shared" si="0"/>
        <v>3.402062060306953E-3</v>
      </c>
      <c r="W37" s="52">
        <f t="shared" si="1"/>
        <v>4.4714604123635149E-3</v>
      </c>
    </row>
    <row r="38" spans="2:27">
      <c r="U38" s="52">
        <f t="shared" si="2"/>
        <v>228.60606060606059</v>
      </c>
      <c r="V38" s="52">
        <f t="shared" si="0"/>
        <v>2.2911753328812845E-3</v>
      </c>
      <c r="W38" s="52">
        <f t="shared" si="1"/>
        <v>3.164817002251043E-3</v>
      </c>
    </row>
    <row r="39" spans="2:27">
      <c r="U39" s="52">
        <f t="shared" si="2"/>
        <v>238.54545454545453</v>
      </c>
      <c r="V39" s="52">
        <f t="shared" si="0"/>
        <v>1.4506379241390902E-3</v>
      </c>
      <c r="W39" s="52">
        <f t="shared" si="1"/>
        <v>2.105874204756573E-3</v>
      </c>
    </row>
    <row r="40" spans="2:27">
      <c r="U40" s="52">
        <f t="shared" si="2"/>
        <v>248.48484848484847</v>
      </c>
      <c r="V40" s="52">
        <f t="shared" si="0"/>
        <v>8.6346420391826431E-4</v>
      </c>
      <c r="W40" s="52">
        <f t="shared" si="1"/>
        <v>1.3173490285471065E-3</v>
      </c>
    </row>
    <row r="41" spans="2:27">
      <c r="U41" s="52">
        <f t="shared" si="2"/>
        <v>258.42424242424244</v>
      </c>
      <c r="V41" s="52">
        <f t="shared" si="0"/>
        <v>4.8318590587977084E-4</v>
      </c>
      <c r="W41" s="52">
        <f t="shared" si="1"/>
        <v>7.7473628189698312E-4</v>
      </c>
    </row>
    <row r="42" spans="2:27">
      <c r="U42" s="52">
        <f t="shared" si="2"/>
        <v>268.36363636363637</v>
      </c>
      <c r="V42" s="52">
        <f t="shared" si="0"/>
        <v>2.5419604341562314E-4</v>
      </c>
      <c r="W42" s="52">
        <f t="shared" si="1"/>
        <v>4.2834287111349645E-4</v>
      </c>
    </row>
    <row r="43" spans="2:27">
      <c r="U43" s="52">
        <f t="shared" si="2"/>
        <v>278.30303030303031</v>
      </c>
      <c r="V43" s="52">
        <f t="shared" si="0"/>
        <v>1.2572102811928031E-4</v>
      </c>
      <c r="W43" s="52">
        <f t="shared" si="1"/>
        <v>2.2264543783540088E-4</v>
      </c>
    </row>
    <row r="44" spans="2:27">
      <c r="U44" s="52">
        <f t="shared" si="2"/>
        <v>288.24242424242425</v>
      </c>
      <c r="V44" s="52">
        <f t="shared" si="0"/>
        <v>5.8456346720510549E-5</v>
      </c>
      <c r="W44" s="52">
        <f t="shared" si="1"/>
        <v>1.0879793853904708E-4</v>
      </c>
    </row>
    <row r="45" spans="2:27">
      <c r="U45" s="52">
        <f t="shared" si="2"/>
        <v>298.18181818181819</v>
      </c>
      <c r="V45" s="52">
        <f t="shared" si="0"/>
        <v>2.5552890002204227E-5</v>
      </c>
      <c r="W45" s="52">
        <f t="shared" si="1"/>
        <v>4.9981828671086098E-5</v>
      </c>
    </row>
    <row r="46" spans="2:27">
      <c r="U46" s="52">
        <f t="shared" si="2"/>
        <v>308.12121212121212</v>
      </c>
      <c r="V46" s="52">
        <f t="shared" si="0"/>
        <v>1.0501056362603924E-5</v>
      </c>
      <c r="W46" s="52">
        <f t="shared" si="1"/>
        <v>2.1586797882267536E-5</v>
      </c>
    </row>
    <row r="47" spans="2:27">
      <c r="U47" s="52">
        <f t="shared" si="2"/>
        <v>318.06060606060606</v>
      </c>
      <c r="V47" s="52">
        <f t="shared" si="0"/>
        <v>4.0570518897450162E-6</v>
      </c>
      <c r="W47" s="52">
        <f t="shared" si="1"/>
        <v>8.7649394011783917E-6</v>
      </c>
    </row>
    <row r="48" spans="2:27">
      <c r="G48" s="6"/>
    </row>
    <row r="49" spans="7:7">
      <c r="G49" s="6"/>
    </row>
    <row r="50" spans="7:7">
      <c r="G50" s="6"/>
    </row>
    <row r="51" spans="7:7">
      <c r="G51" s="6"/>
    </row>
    <row r="66" spans="2:2">
      <c r="B66" s="9" t="s">
        <v>125</v>
      </c>
    </row>
  </sheetData>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SS_Probt">
                <anchor moveWithCells="1" sizeWithCells="1">
                  <from>
                    <xdr:col>1</xdr:col>
                    <xdr:colOff>95250</xdr:colOff>
                    <xdr:row>21</xdr:row>
                    <xdr:rowOff>76200</xdr:rowOff>
                  </from>
                  <to>
                    <xdr:col>2</xdr:col>
                    <xdr:colOff>514350</xdr:colOff>
                    <xdr:row>23</xdr:row>
                    <xdr:rowOff>19050</xdr:rowOff>
                  </to>
                </anchor>
              </controlPr>
            </control>
          </mc:Choice>
        </mc:AlternateContent>
        <mc:AlternateContent xmlns:mc="http://schemas.openxmlformats.org/markup-compatibility/2006">
          <mc:Choice Requires="x14">
            <control shapeId="11273" r:id="rId5" name="Button 9">
              <controlPr defaultSize="0" print="0" autoFill="0" autoPict="0" macro="[0]!SS_Boss">
                <anchor moveWithCells="1" sizeWithCells="1">
                  <from>
                    <xdr:col>2</xdr:col>
                    <xdr:colOff>590550</xdr:colOff>
                    <xdr:row>21</xdr:row>
                    <xdr:rowOff>76200</xdr:rowOff>
                  </from>
                  <to>
                    <xdr:col>4</xdr:col>
                    <xdr:colOff>209550</xdr:colOff>
                    <xdr:row>23</xdr:row>
                    <xdr:rowOff>19050</xdr:rowOff>
                  </to>
                </anchor>
              </controlPr>
            </control>
          </mc:Choice>
        </mc:AlternateContent>
        <mc:AlternateContent xmlns:mc="http://schemas.openxmlformats.org/markup-compatibility/2006">
          <mc:Choice Requires="x14">
            <control shapeId="11276" r:id="rId6" name="Check Box 12">
              <controlPr defaultSize="0" autoFill="0" autoLine="0" autoPict="0">
                <anchor moveWithCells="1">
                  <from>
                    <xdr:col>11</xdr:col>
                    <xdr:colOff>476250</xdr:colOff>
                    <xdr:row>7</xdr:row>
                    <xdr:rowOff>95250</xdr:rowOff>
                  </from>
                  <to>
                    <xdr:col>13</xdr:col>
                    <xdr:colOff>19050</xdr:colOff>
                    <xdr:row>8</xdr:row>
                    <xdr:rowOff>133350</xdr:rowOff>
                  </to>
                </anchor>
              </controlPr>
            </control>
          </mc:Choice>
        </mc:AlternateContent>
        <mc:AlternateContent xmlns:mc="http://schemas.openxmlformats.org/markup-compatibility/2006">
          <mc:Choice Requires="x14">
            <control shapeId="11277" r:id="rId7" name="Check Box 13">
              <controlPr defaultSize="0" autoFill="0" autoLine="0" autoPict="0">
                <anchor moveWithCells="1">
                  <from>
                    <xdr:col>11</xdr:col>
                    <xdr:colOff>476250</xdr:colOff>
                    <xdr:row>8</xdr:row>
                    <xdr:rowOff>133350</xdr:rowOff>
                  </from>
                  <to>
                    <xdr:col>13</xdr:col>
                    <xdr:colOff>19050</xdr:colOff>
                    <xdr:row>10</xdr:row>
                    <xdr:rowOff>9525</xdr:rowOff>
                  </to>
                </anchor>
              </controlPr>
            </control>
          </mc:Choice>
        </mc:AlternateContent>
        <mc:AlternateContent xmlns:mc="http://schemas.openxmlformats.org/markup-compatibility/2006">
          <mc:Choice Requires="x14">
            <control shapeId="11278" r:id="rId8" name="Check Box 14">
              <controlPr defaultSize="0" autoFill="0" autoLine="0" autoPict="0">
                <anchor moveWithCells="1">
                  <from>
                    <xdr:col>11</xdr:col>
                    <xdr:colOff>476250</xdr:colOff>
                    <xdr:row>10</xdr:row>
                    <xdr:rowOff>9525</xdr:rowOff>
                  </from>
                  <to>
                    <xdr:col>13</xdr:col>
                    <xdr:colOff>19050</xdr:colOff>
                    <xdr:row>11</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E53"/>
  <sheetViews>
    <sheetView zoomScaleNormal="100" workbookViewId="0">
      <selection activeCell="C2" sqref="C2"/>
    </sheetView>
  </sheetViews>
  <sheetFormatPr defaultColWidth="9.140625" defaultRowHeight="12.75"/>
  <cols>
    <col min="1" max="1" width="5.140625" style="1" customWidth="1"/>
    <col min="2" max="2" width="21.42578125" style="1" customWidth="1"/>
    <col min="3" max="3" width="9.140625" style="1"/>
    <col min="4" max="4" width="9.28515625" style="1" customWidth="1"/>
    <col min="5" max="16384" width="9.140625" style="1"/>
  </cols>
  <sheetData>
    <row r="1" spans="2:31" ht="27" thickBot="1">
      <c r="B1" s="17" t="s">
        <v>69</v>
      </c>
      <c r="F1" s="9" t="s">
        <v>122</v>
      </c>
    </row>
    <row r="2" spans="2:31" ht="13.5" thickBot="1">
      <c r="B2" s="1" t="s">
        <v>1</v>
      </c>
      <c r="C2" s="2">
        <v>0.9</v>
      </c>
      <c r="D2" s="1" t="s">
        <v>21</v>
      </c>
    </row>
    <row r="3" spans="2:31" ht="13.5" thickBot="1">
      <c r="C3" s="10"/>
    </row>
    <row r="4" spans="2:31" ht="13.5" thickBot="1">
      <c r="B4" s="8" t="s">
        <v>59</v>
      </c>
      <c r="C4" s="2">
        <v>0.05</v>
      </c>
      <c r="D4" s="1" t="s">
        <v>20</v>
      </c>
    </row>
    <row r="5" spans="2:31" ht="16.5" thickBot="1">
      <c r="B5" s="8" t="s">
        <v>26</v>
      </c>
      <c r="C5" s="3">
        <v>20</v>
      </c>
      <c r="D5" s="1" t="s">
        <v>117</v>
      </c>
      <c r="U5" s="1" t="s">
        <v>56</v>
      </c>
    </row>
    <row r="6" spans="2:31" ht="16.5" thickBot="1">
      <c r="B6" s="1" t="s">
        <v>17</v>
      </c>
      <c r="C6" s="3">
        <v>10</v>
      </c>
      <c r="D6" s="1" t="s">
        <v>24</v>
      </c>
      <c r="U6" s="1">
        <v>1</v>
      </c>
    </row>
    <row r="7" spans="2:31" ht="13.5" thickBot="1">
      <c r="C7" s="4"/>
    </row>
    <row r="8" spans="2:31" ht="16.5" thickBot="1">
      <c r="B8" s="12" t="s">
        <v>119</v>
      </c>
      <c r="C8" s="11">
        <f>C6/C5</f>
        <v>0.5</v>
      </c>
    </row>
    <row r="10" spans="2:31" ht="16.5" thickBot="1">
      <c r="B10" s="8" t="s">
        <v>26</v>
      </c>
      <c r="C10" s="1">
        <f>C5</f>
        <v>20</v>
      </c>
      <c r="V10" s="44" t="s">
        <v>212</v>
      </c>
      <c r="W10" s="44" t="s">
        <v>210</v>
      </c>
      <c r="X10" s="44" t="s">
        <v>213</v>
      </c>
      <c r="Y10" s="44" t="s">
        <v>211</v>
      </c>
      <c r="AA10" s="44" t="s">
        <v>224</v>
      </c>
      <c r="AB10" s="44" t="s">
        <v>225</v>
      </c>
    </row>
    <row r="11" spans="2:31" ht="13.5" thickBot="1">
      <c r="B11" s="1" t="s">
        <v>0</v>
      </c>
      <c r="C11" s="7">
        <v>87</v>
      </c>
      <c r="U11" s="44" t="s">
        <v>206</v>
      </c>
      <c r="V11" s="30">
        <f>4*C5</f>
        <v>80</v>
      </c>
      <c r="W11" s="1">
        <f>$C$5</f>
        <v>20</v>
      </c>
      <c r="X11" s="1">
        <f>W11/SQRT(C20)</f>
        <v>2.1442250696755893</v>
      </c>
      <c r="Y11" s="1">
        <f>TINV($C$4*2,$C$20-2)*X11</f>
        <v>3.5658001893923177</v>
      </c>
      <c r="AA11" s="1">
        <f>V12+4*W12</f>
        <v>170</v>
      </c>
      <c r="AB11" s="1">
        <f>AA11/33</f>
        <v>5.1515151515151514</v>
      </c>
    </row>
    <row r="12" spans="2:31" ht="13.5" thickBot="1">
      <c r="B12" s="1" t="s">
        <v>2</v>
      </c>
      <c r="C12" s="1">
        <f>C11*(C3+1)-2</f>
        <v>85</v>
      </c>
      <c r="U12" s="44" t="s">
        <v>207</v>
      </c>
      <c r="V12" s="30">
        <f>V11+C6</f>
        <v>90</v>
      </c>
      <c r="W12" s="1">
        <f>$C$5</f>
        <v>20</v>
      </c>
      <c r="X12" s="1">
        <f>W12/SQRT(C20)</f>
        <v>2.1442250696755893</v>
      </c>
      <c r="Y12" s="1">
        <f>TINV($C$4*2,$C$20-2)*X12</f>
        <v>3.5658001893923177</v>
      </c>
    </row>
    <row r="13" spans="2:31">
      <c r="B13" s="1" t="s">
        <v>13</v>
      </c>
      <c r="C13" s="1">
        <f>TINV(C4,C12)</f>
        <v>1.9882679074772251</v>
      </c>
      <c r="Y13" s="1" t="b">
        <v>1</v>
      </c>
      <c r="AC13" s="1" t="b">
        <v>0</v>
      </c>
    </row>
    <row r="14" spans="2:31">
      <c r="B14" s="1" t="s">
        <v>4</v>
      </c>
      <c r="C14" s="1">
        <f>SQRT((C11*C6^2)/(2*C10^2))</f>
        <v>3.2977264895682299</v>
      </c>
      <c r="U14" s="44" t="s">
        <v>205</v>
      </c>
      <c r="V14" s="44" t="s">
        <v>208</v>
      </c>
      <c r="W14" s="44" t="s">
        <v>209</v>
      </c>
      <c r="Y14" s="9" t="s">
        <v>220</v>
      </c>
      <c r="AC14" s="9" t="s">
        <v>222</v>
      </c>
    </row>
    <row r="15" spans="2:31">
      <c r="U15" s="1">
        <v>0</v>
      </c>
      <c r="V15" s="1">
        <f>_xlfn.NORM.DIST($U15,$V$11,$C$5,FALSE)</f>
        <v>6.6915112882442679E-6</v>
      </c>
      <c r="W15" s="1">
        <f>_xlfn.NORM.DIST($U15,$V$12,$C$5,FALSE)</f>
        <v>7.9918705534527388E-7</v>
      </c>
      <c r="Y15" s="44" t="s">
        <v>217</v>
      </c>
      <c r="Z15" s="44" t="s">
        <v>214</v>
      </c>
      <c r="AA15" s="44" t="s">
        <v>215</v>
      </c>
      <c r="AC15" s="44" t="s">
        <v>217</v>
      </c>
      <c r="AD15" s="44" t="s">
        <v>214</v>
      </c>
      <c r="AE15" s="44" t="s">
        <v>215</v>
      </c>
    </row>
    <row r="16" spans="2:31">
      <c r="U16" s="1">
        <f>U15+$AB$11</f>
        <v>5.1515151515151514</v>
      </c>
      <c r="V16" s="1">
        <f t="shared" ref="V16:V47" si="0">_xlfn.NORM.DIST($U16,$V$11,$C$5,FALSE)</f>
        <v>1.8137291925126829E-5</v>
      </c>
      <c r="W16" s="1">
        <f t="shared" ref="W16:W47" si="1">_xlfn.NORM.DIST($U16,$V$12,$C$5,FALSE)</f>
        <v>2.4639309576665516E-6</v>
      </c>
      <c r="Y16" s="44" t="s">
        <v>216</v>
      </c>
      <c r="Z16" s="1">
        <f>$V$11-$W$11</f>
        <v>60</v>
      </c>
      <c r="AA16" s="1">
        <v>0</v>
      </c>
      <c r="AC16" s="44" t="s">
        <v>216</v>
      </c>
      <c r="AD16" s="1">
        <f>$V$11-$Y$11</f>
        <v>76.43419981060768</v>
      </c>
      <c r="AE16" s="1">
        <v>0</v>
      </c>
    </row>
    <row r="17" spans="2:31">
      <c r="B17" s="1" t="s">
        <v>6</v>
      </c>
      <c r="C17" s="1">
        <f>NCt(C13,C12,C14)</f>
        <v>9.6752570214362524E-2</v>
      </c>
      <c r="U17" s="1">
        <f t="shared" ref="U17:U47" si="2">U16+$AB$11</f>
        <v>10.303030303030303</v>
      </c>
      <c r="V17" s="1">
        <f t="shared" si="0"/>
        <v>4.6005238481148204E-5</v>
      </c>
      <c r="W17" s="1">
        <f t="shared" si="1"/>
        <v>7.1087827569616206E-6</v>
      </c>
      <c r="Y17" s="44" t="s">
        <v>218</v>
      </c>
      <c r="Z17" s="1">
        <f>Z16</f>
        <v>60</v>
      </c>
      <c r="AA17" s="1">
        <f>IF(Y13,MAX($V$15:$V$47),0)</f>
        <v>1.980111566953164E-2</v>
      </c>
      <c r="AC17" s="44" t="s">
        <v>218</v>
      </c>
      <c r="AD17" s="1">
        <f>AD16</f>
        <v>76.43419981060768</v>
      </c>
      <c r="AE17" s="1">
        <f>IF(AC13,MAX($V$15:$V$47),0)</f>
        <v>0</v>
      </c>
    </row>
    <row r="18" spans="2:31">
      <c r="B18" s="1" t="s">
        <v>58</v>
      </c>
      <c r="C18" s="1">
        <f>1-C17</f>
        <v>0.90324742978563743</v>
      </c>
      <c r="E18" s="5"/>
      <c r="U18" s="1">
        <f t="shared" si="2"/>
        <v>15.454545454545453</v>
      </c>
      <c r="V18" s="1">
        <f t="shared" si="0"/>
        <v>1.0920153534047619E-4</v>
      </c>
      <c r="W18" s="1">
        <f t="shared" si="1"/>
        <v>1.9193252010472316E-5</v>
      </c>
      <c r="Y18" s="44" t="s">
        <v>219</v>
      </c>
      <c r="Z18" s="44" t="s">
        <v>214</v>
      </c>
      <c r="AA18" s="44" t="s">
        <v>215</v>
      </c>
      <c r="AC18" s="44" t="s">
        <v>219</v>
      </c>
      <c r="AD18" s="44" t="s">
        <v>214</v>
      </c>
      <c r="AE18" s="44" t="s">
        <v>215</v>
      </c>
    </row>
    <row r="19" spans="2:31">
      <c r="C19" s="9"/>
      <c r="D19" s="9"/>
      <c r="U19" s="1">
        <f t="shared" si="2"/>
        <v>20.606060606060606</v>
      </c>
      <c r="V19" s="1">
        <f t="shared" si="0"/>
        <v>2.4256984882431001E-4</v>
      </c>
      <c r="W19" s="1">
        <f t="shared" si="1"/>
        <v>4.8494055355597541E-5</v>
      </c>
      <c r="Y19" s="44" t="s">
        <v>216</v>
      </c>
      <c r="Z19" s="1">
        <f>$V$11+$W$11</f>
        <v>100</v>
      </c>
      <c r="AA19" s="1">
        <v>0</v>
      </c>
      <c r="AC19" s="44" t="s">
        <v>216</v>
      </c>
      <c r="AD19" s="1">
        <f>$V$11+$Y$11</f>
        <v>83.56580018939232</v>
      </c>
      <c r="AE19" s="1">
        <v>0</v>
      </c>
    </row>
    <row r="20" spans="2:31">
      <c r="B20" s="1" t="s">
        <v>11</v>
      </c>
      <c r="C20" s="1">
        <f>CEILING(C11,1)</f>
        <v>87</v>
      </c>
      <c r="D20" s="1" t="s">
        <v>25</v>
      </c>
      <c r="U20" s="1">
        <f t="shared" si="2"/>
        <v>25.757575757575758</v>
      </c>
      <c r="V20" s="1">
        <f t="shared" si="0"/>
        <v>5.0423327922236841E-4</v>
      </c>
      <c r="W20" s="1">
        <f t="shared" si="1"/>
        <v>1.146608236109952E-4</v>
      </c>
      <c r="Y20" s="44" t="s">
        <v>218</v>
      </c>
      <c r="Z20" s="1">
        <f>Z19</f>
        <v>100</v>
      </c>
      <c r="AA20" s="1">
        <f>AA17</f>
        <v>1.980111566953164E-2</v>
      </c>
      <c r="AC20" s="44" t="s">
        <v>218</v>
      </c>
      <c r="AD20" s="1">
        <f>AD19</f>
        <v>83.56580018939232</v>
      </c>
      <c r="AE20" s="1">
        <f>AE17</f>
        <v>0</v>
      </c>
    </row>
    <row r="21" spans="2:31">
      <c r="U21" s="1">
        <f t="shared" si="2"/>
        <v>30.90909090909091</v>
      </c>
      <c r="V21" s="1">
        <f t="shared" si="0"/>
        <v>9.8087306428737029E-4</v>
      </c>
      <c r="W21" s="1">
        <f t="shared" si="1"/>
        <v>2.5370453191218693E-4</v>
      </c>
    </row>
    <row r="22" spans="2:31">
      <c r="U22" s="1">
        <f t="shared" si="2"/>
        <v>36.060606060606062</v>
      </c>
      <c r="V22" s="1">
        <f t="shared" si="0"/>
        <v>1.7855858122449049E-3</v>
      </c>
      <c r="W22" s="1">
        <f t="shared" si="1"/>
        <v>5.2532492610751064E-4</v>
      </c>
      <c r="Y22" s="9" t="s">
        <v>221</v>
      </c>
      <c r="AC22" s="9" t="s">
        <v>223</v>
      </c>
    </row>
    <row r="23" spans="2:31">
      <c r="U23" s="1">
        <f t="shared" si="2"/>
        <v>41.212121212121211</v>
      </c>
      <c r="V23" s="1">
        <f t="shared" si="0"/>
        <v>3.0418322453447957E-3</v>
      </c>
      <c r="W23" s="1">
        <f t="shared" si="1"/>
        <v>1.0179217781743333E-3</v>
      </c>
      <c r="Y23" s="44" t="s">
        <v>217</v>
      </c>
      <c r="Z23" s="44" t="s">
        <v>214</v>
      </c>
      <c r="AA23" s="44" t="s">
        <v>215</v>
      </c>
      <c r="AC23" s="44" t="s">
        <v>217</v>
      </c>
      <c r="AD23" s="44" t="s">
        <v>214</v>
      </c>
      <c r="AE23" s="44" t="s">
        <v>215</v>
      </c>
    </row>
    <row r="24" spans="2:31">
      <c r="U24" s="1">
        <f t="shared" si="2"/>
        <v>46.36363636363636</v>
      </c>
      <c r="V24" s="1">
        <f t="shared" si="0"/>
        <v>4.8492704641696274E-3</v>
      </c>
      <c r="W24" s="1">
        <f t="shared" si="1"/>
        <v>1.8458118041464293E-3</v>
      </c>
      <c r="Y24" s="44" t="s">
        <v>216</v>
      </c>
      <c r="Z24" s="1">
        <f>$V$12-$W$12</f>
        <v>70</v>
      </c>
      <c r="AA24" s="1">
        <v>0</v>
      </c>
      <c r="AC24" s="44" t="s">
        <v>216</v>
      </c>
      <c r="AD24" s="1">
        <f>$V$12-$Y$12</f>
        <v>86.43419981060768</v>
      </c>
      <c r="AE24" s="1">
        <v>0</v>
      </c>
    </row>
    <row r="25" spans="2:31">
      <c r="U25" s="1">
        <f t="shared" si="2"/>
        <v>51.515151515151508</v>
      </c>
      <c r="V25" s="1">
        <f t="shared" si="0"/>
        <v>7.2344275216876253E-3</v>
      </c>
      <c r="W25" s="1">
        <f t="shared" si="1"/>
        <v>3.1321824144568463E-3</v>
      </c>
      <c r="Y25" s="44" t="s">
        <v>218</v>
      </c>
      <c r="Z25" s="1">
        <f>Z24</f>
        <v>70</v>
      </c>
      <c r="AA25" s="1">
        <f>IF(Y13,MAX($W$15:$W$47),0)</f>
        <v>1.980111566953164E-2</v>
      </c>
      <c r="AC25" s="44" t="s">
        <v>218</v>
      </c>
      <c r="AD25" s="1">
        <f>AD24</f>
        <v>86.43419981060768</v>
      </c>
      <c r="AE25" s="1">
        <f>IF(AC13,MAX($W$15:$W$47),0)</f>
        <v>0</v>
      </c>
    </row>
    <row r="26" spans="2:31">
      <c r="U26" s="1">
        <f t="shared" si="2"/>
        <v>56.666666666666657</v>
      </c>
      <c r="V26" s="1">
        <f t="shared" si="0"/>
        <v>1.0099934277702938E-2</v>
      </c>
      <c r="W26" s="1">
        <f t="shared" si="1"/>
        <v>4.97385693963743E-3</v>
      </c>
      <c r="Y26" s="44" t="s">
        <v>219</v>
      </c>
      <c r="Z26" s="44" t="s">
        <v>214</v>
      </c>
      <c r="AA26" s="44" t="s">
        <v>215</v>
      </c>
      <c r="AC26" s="44" t="s">
        <v>219</v>
      </c>
      <c r="AD26" s="44" t="s">
        <v>214</v>
      </c>
      <c r="AE26" s="44" t="s">
        <v>215</v>
      </c>
    </row>
    <row r="27" spans="2:31" ht="20.25" customHeight="1">
      <c r="U27" s="1">
        <f t="shared" si="2"/>
        <v>61.818181818181806</v>
      </c>
      <c r="V27" s="1">
        <f t="shared" si="0"/>
        <v>1.3195308262186492E-2</v>
      </c>
      <c r="W27" s="1">
        <f t="shared" si="1"/>
        <v>7.391390501822824E-3</v>
      </c>
      <c r="Y27" s="44" t="s">
        <v>216</v>
      </c>
      <c r="Z27" s="1">
        <f>$V$12+$W$12</f>
        <v>110</v>
      </c>
      <c r="AA27" s="1">
        <v>0</v>
      </c>
      <c r="AC27" s="44" t="s">
        <v>216</v>
      </c>
      <c r="AD27" s="1">
        <f>$V$12+$Y$12</f>
        <v>93.56580018939232</v>
      </c>
      <c r="AE27" s="1">
        <v>0</v>
      </c>
    </row>
    <row r="28" spans="2:31">
      <c r="U28" s="1">
        <f t="shared" si="2"/>
        <v>66.969696969696955</v>
      </c>
      <c r="V28" s="1">
        <f t="shared" si="0"/>
        <v>1.6132703352552596E-2</v>
      </c>
      <c r="W28" s="1">
        <f t="shared" si="1"/>
        <v>1.0278875841821104E-2</v>
      </c>
      <c r="Y28" s="44" t="s">
        <v>218</v>
      </c>
      <c r="Z28" s="1">
        <f>Z27</f>
        <v>110</v>
      </c>
      <c r="AA28" s="1">
        <f>AA25</f>
        <v>1.980111566953164E-2</v>
      </c>
      <c r="AC28" s="44" t="s">
        <v>218</v>
      </c>
      <c r="AD28" s="1">
        <f>AD27</f>
        <v>93.56580018939232</v>
      </c>
      <c r="AE28" s="1">
        <f>AE25</f>
        <v>0</v>
      </c>
    </row>
    <row r="29" spans="2:31">
      <c r="U29" s="1">
        <f t="shared" si="2"/>
        <v>72.12121212121211</v>
      </c>
      <c r="V29" s="1">
        <f t="shared" si="0"/>
        <v>1.8457860980984869E-2</v>
      </c>
      <c r="W29" s="1">
        <f t="shared" si="1"/>
        <v>1.3376783801223832E-2</v>
      </c>
      <c r="Y29" s="1" t="b">
        <v>1</v>
      </c>
    </row>
    <row r="30" spans="2:31">
      <c r="U30" s="1">
        <f t="shared" si="2"/>
        <v>77.272727272727266</v>
      </c>
      <c r="V30" s="1">
        <f t="shared" si="0"/>
        <v>1.9762514802646215E-2</v>
      </c>
      <c r="W30" s="1">
        <f t="shared" si="1"/>
        <v>1.62908749718845E-2</v>
      </c>
      <c r="Y30" s="9" t="s">
        <v>226</v>
      </c>
    </row>
    <row r="31" spans="2:31">
      <c r="U31" s="1">
        <f t="shared" si="2"/>
        <v>82.424242424242422</v>
      </c>
      <c r="V31" s="1">
        <f t="shared" si="0"/>
        <v>1.980111566953164E-2</v>
      </c>
      <c r="W31" s="1">
        <f t="shared" si="1"/>
        <v>1.8566230084060359E-2</v>
      </c>
      <c r="Y31" s="44" t="s">
        <v>217</v>
      </c>
      <c r="Z31" s="44" t="s">
        <v>214</v>
      </c>
      <c r="AA31" s="44" t="s">
        <v>215</v>
      </c>
    </row>
    <row r="32" spans="2:31">
      <c r="U32" s="1">
        <f t="shared" si="2"/>
        <v>87.575757575757578</v>
      </c>
      <c r="V32" s="1">
        <f t="shared" si="0"/>
        <v>1.8566230084060359E-2</v>
      </c>
      <c r="W32" s="1">
        <f t="shared" si="1"/>
        <v>1.980111566953164E-2</v>
      </c>
      <c r="Y32" s="44" t="s">
        <v>216</v>
      </c>
      <c r="Z32" s="1">
        <f>V11</f>
        <v>80</v>
      </c>
      <c r="AA32" s="1">
        <v>0</v>
      </c>
    </row>
    <row r="33" spans="2:27">
      <c r="U33" s="1">
        <f t="shared" si="2"/>
        <v>92.727272727272734</v>
      </c>
      <c r="V33" s="1">
        <f t="shared" si="0"/>
        <v>1.62908749718845E-2</v>
      </c>
      <c r="W33" s="1">
        <f t="shared" si="1"/>
        <v>1.9762514802646215E-2</v>
      </c>
      <c r="Y33" s="44" t="s">
        <v>218</v>
      </c>
      <c r="Z33" s="1">
        <f>Z32</f>
        <v>80</v>
      </c>
      <c r="AA33" s="1">
        <f>IF($Y$29,MAX($V$15:$W$47),0)</f>
        <v>1.980111566953164E-2</v>
      </c>
    </row>
    <row r="34" spans="2:27" ht="18">
      <c r="B34" s="28" t="s">
        <v>123</v>
      </c>
      <c r="D34" s="9" t="s">
        <v>81</v>
      </c>
      <c r="U34" s="1">
        <f t="shared" si="2"/>
        <v>97.87878787878789</v>
      </c>
      <c r="V34" s="1">
        <f t="shared" si="0"/>
        <v>1.3376783801223832E-2</v>
      </c>
      <c r="W34" s="1">
        <f t="shared" si="1"/>
        <v>1.8457860980984869E-2</v>
      </c>
      <c r="Y34" s="44" t="s">
        <v>219</v>
      </c>
      <c r="Z34" s="44" t="s">
        <v>214</v>
      </c>
      <c r="AA34" s="44" t="s">
        <v>215</v>
      </c>
    </row>
    <row r="35" spans="2:27">
      <c r="U35" s="1">
        <f t="shared" si="2"/>
        <v>103.03030303030305</v>
      </c>
      <c r="V35" s="1">
        <f t="shared" si="0"/>
        <v>1.0278875841821104E-2</v>
      </c>
      <c r="W35" s="1">
        <f t="shared" si="1"/>
        <v>1.6132703352552596E-2</v>
      </c>
      <c r="Y35" s="44" t="s">
        <v>216</v>
      </c>
      <c r="Z35" s="1">
        <f>V12</f>
        <v>90</v>
      </c>
      <c r="AA35" s="1">
        <v>0</v>
      </c>
    </row>
    <row r="36" spans="2:27">
      <c r="U36" s="1">
        <f t="shared" si="2"/>
        <v>108.1818181818182</v>
      </c>
      <c r="V36" s="1">
        <f t="shared" si="0"/>
        <v>7.3913905018228197E-3</v>
      </c>
      <c r="W36" s="1">
        <f t="shared" si="1"/>
        <v>1.3195308262186491E-2</v>
      </c>
      <c r="Y36" s="44" t="s">
        <v>218</v>
      </c>
      <c r="Z36" s="1">
        <f>Z35</f>
        <v>90</v>
      </c>
      <c r="AA36" s="1">
        <f>AA33</f>
        <v>1.980111566953164E-2</v>
      </c>
    </row>
    <row r="37" spans="2:27">
      <c r="U37" s="1">
        <f t="shared" si="2"/>
        <v>113.33333333333336</v>
      </c>
      <c r="V37" s="1">
        <f t="shared" si="0"/>
        <v>4.9738569396374247E-3</v>
      </c>
      <c r="W37" s="1">
        <f t="shared" si="1"/>
        <v>1.0099934277702931E-2</v>
      </c>
    </row>
    <row r="38" spans="2:27">
      <c r="U38" s="1">
        <f t="shared" si="2"/>
        <v>118.48484848484851</v>
      </c>
      <c r="V38" s="1">
        <f t="shared" si="0"/>
        <v>3.1321824144568407E-3</v>
      </c>
      <c r="W38" s="1">
        <f t="shared" si="1"/>
        <v>7.234427521687614E-3</v>
      </c>
    </row>
    <row r="39" spans="2:27">
      <c r="U39" s="1">
        <f t="shared" si="2"/>
        <v>123.63636363636367</v>
      </c>
      <c r="V39" s="1">
        <f t="shared" si="0"/>
        <v>1.8458118041464236E-3</v>
      </c>
      <c r="W39" s="1">
        <f t="shared" si="1"/>
        <v>4.8492704641696152E-3</v>
      </c>
    </row>
    <row r="40" spans="2:27">
      <c r="U40" s="1">
        <f t="shared" si="2"/>
        <v>128.78787878787881</v>
      </c>
      <c r="V40" s="1">
        <f t="shared" si="0"/>
        <v>1.0179217781743309E-3</v>
      </c>
      <c r="W40" s="1">
        <f t="shared" si="1"/>
        <v>3.04183224534479E-3</v>
      </c>
    </row>
    <row r="41" spans="2:27">
      <c r="U41" s="1">
        <f t="shared" si="2"/>
        <v>133.93939393939397</v>
      </c>
      <c r="V41" s="1">
        <f t="shared" si="0"/>
        <v>5.253249261075088E-4</v>
      </c>
      <c r="W41" s="1">
        <f t="shared" si="1"/>
        <v>1.7855858122448995E-3</v>
      </c>
    </row>
    <row r="42" spans="2:27">
      <c r="U42" s="1">
        <f t="shared" si="2"/>
        <v>139.09090909090912</v>
      </c>
      <c r="V42" s="1">
        <f t="shared" si="0"/>
        <v>2.5370453191218579E-4</v>
      </c>
      <c r="W42" s="1">
        <f t="shared" si="1"/>
        <v>9.8087306428736726E-4</v>
      </c>
    </row>
    <row r="43" spans="2:27">
      <c r="U43" s="1">
        <f t="shared" si="2"/>
        <v>144.24242424242428</v>
      </c>
      <c r="V43" s="1">
        <f t="shared" si="0"/>
        <v>1.1466082361099477E-4</v>
      </c>
      <c r="W43" s="1">
        <f t="shared" si="1"/>
        <v>5.0423327922236591E-4</v>
      </c>
    </row>
    <row r="44" spans="2:27">
      <c r="U44" s="1">
        <f t="shared" si="2"/>
        <v>149.39393939393943</v>
      </c>
      <c r="V44" s="1">
        <f t="shared" si="0"/>
        <v>4.8494055355597236E-5</v>
      </c>
      <c r="W44" s="1">
        <f t="shared" si="1"/>
        <v>2.4256984882430871E-4</v>
      </c>
    </row>
    <row r="45" spans="2:27">
      <c r="B45" s="9" t="s">
        <v>125</v>
      </c>
      <c r="U45" s="1">
        <f t="shared" si="2"/>
        <v>154.54545454545459</v>
      </c>
      <c r="V45" s="1">
        <f t="shared" si="0"/>
        <v>1.919325201047218E-5</v>
      </c>
      <c r="W45" s="1">
        <f t="shared" si="1"/>
        <v>1.092015353404756E-4</v>
      </c>
    </row>
    <row r="46" spans="2:27">
      <c r="B46" s="9" t="s">
        <v>124</v>
      </c>
      <c r="U46" s="1">
        <f t="shared" si="2"/>
        <v>159.69696969696975</v>
      </c>
      <c r="V46" s="1">
        <f t="shared" si="0"/>
        <v>7.1087827569615689E-6</v>
      </c>
      <c r="W46" s="1">
        <f t="shared" si="1"/>
        <v>4.600523848114792E-5</v>
      </c>
    </row>
    <row r="47" spans="2:27">
      <c r="U47" s="1">
        <f t="shared" si="2"/>
        <v>164.8484848484849</v>
      </c>
      <c r="V47" s="1">
        <f t="shared" si="0"/>
        <v>2.4639309576665207E-6</v>
      </c>
      <c r="W47" s="1">
        <f t="shared" si="1"/>
        <v>1.8137291925126636E-5</v>
      </c>
    </row>
    <row r="52" spans="7:7">
      <c r="G52" s="6"/>
    </row>
    <row r="53" spans="7:7">
      <c r="G53" s="6"/>
    </row>
  </sheetData>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S_Probt">
                <anchor moveWithCells="1" sizeWithCells="1">
                  <from>
                    <xdr:col>1</xdr:col>
                    <xdr:colOff>95250</xdr:colOff>
                    <xdr:row>21</xdr:row>
                    <xdr:rowOff>76200</xdr:rowOff>
                  </from>
                  <to>
                    <xdr:col>2</xdr:col>
                    <xdr:colOff>514350</xdr:colOff>
                    <xdr:row>23</xdr:row>
                    <xdr:rowOff>19050</xdr:rowOff>
                  </to>
                </anchor>
              </controlPr>
            </control>
          </mc:Choice>
        </mc:AlternateContent>
        <mc:AlternateContent xmlns:mc="http://schemas.openxmlformats.org/markup-compatibility/2006">
          <mc:Choice Requires="x14">
            <control shapeId="12300" r:id="rId5" name="Button 12">
              <controlPr defaultSize="0" print="0" autoFill="0" autoPict="0" macro="[0]!SS_Boss">
                <anchor moveWithCells="1" sizeWithCells="1">
                  <from>
                    <xdr:col>2</xdr:col>
                    <xdr:colOff>590550</xdr:colOff>
                    <xdr:row>21</xdr:row>
                    <xdr:rowOff>76200</xdr:rowOff>
                  </from>
                  <to>
                    <xdr:col>4</xdr:col>
                    <xdr:colOff>209550</xdr:colOff>
                    <xdr:row>23</xdr:row>
                    <xdr:rowOff>19050</xdr:rowOff>
                  </to>
                </anchor>
              </controlPr>
            </control>
          </mc:Choice>
        </mc:AlternateContent>
        <mc:AlternateContent xmlns:mc="http://schemas.openxmlformats.org/markup-compatibility/2006">
          <mc:Choice Requires="x14">
            <control shapeId="12304" r:id="rId6" name="Check Box 16">
              <controlPr defaultSize="0" autoFill="0" autoLine="0" autoPict="0">
                <anchor moveWithCells="1">
                  <from>
                    <xdr:col>10</xdr:col>
                    <xdr:colOff>552450</xdr:colOff>
                    <xdr:row>7</xdr:row>
                    <xdr:rowOff>19050</xdr:rowOff>
                  </from>
                  <to>
                    <xdr:col>12</xdr:col>
                    <xdr:colOff>76200</xdr:colOff>
                    <xdr:row>8</xdr:row>
                    <xdr:rowOff>38100</xdr:rowOff>
                  </to>
                </anchor>
              </controlPr>
            </control>
          </mc:Choice>
        </mc:AlternateContent>
        <mc:AlternateContent xmlns:mc="http://schemas.openxmlformats.org/markup-compatibility/2006">
          <mc:Choice Requires="x14">
            <control shapeId="12305" r:id="rId7" name="Check Box 17">
              <controlPr defaultSize="0" autoFill="0" autoLine="0" autoPict="0">
                <anchor moveWithCells="1">
                  <from>
                    <xdr:col>10</xdr:col>
                    <xdr:colOff>552450</xdr:colOff>
                    <xdr:row>8</xdr:row>
                    <xdr:rowOff>38100</xdr:rowOff>
                  </from>
                  <to>
                    <xdr:col>12</xdr:col>
                    <xdr:colOff>76200</xdr:colOff>
                    <xdr:row>9</xdr:row>
                    <xdr:rowOff>95250</xdr:rowOff>
                  </to>
                </anchor>
              </controlPr>
            </control>
          </mc:Choice>
        </mc:AlternateContent>
        <mc:AlternateContent xmlns:mc="http://schemas.openxmlformats.org/markup-compatibility/2006">
          <mc:Choice Requires="x14">
            <control shapeId="12306" r:id="rId8" name="Check Box 18">
              <controlPr defaultSize="0" autoFill="0" autoLine="0" autoPict="0">
                <anchor moveWithCells="1">
                  <from>
                    <xdr:col>10</xdr:col>
                    <xdr:colOff>552450</xdr:colOff>
                    <xdr:row>9</xdr:row>
                    <xdr:rowOff>95250</xdr:rowOff>
                  </from>
                  <to>
                    <xdr:col>12</xdr:col>
                    <xdr:colOff>76200</xdr:colOff>
                    <xdr:row>10</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AE64"/>
  <sheetViews>
    <sheetView zoomScaleNormal="100"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70</v>
      </c>
      <c r="E1" s="9" t="s">
        <v>122</v>
      </c>
    </row>
    <row r="2" spans="2:31" ht="13.5" thickBot="1">
      <c r="B2" s="1" t="s">
        <v>1</v>
      </c>
      <c r="C2" s="2">
        <v>0.9</v>
      </c>
      <c r="D2" s="1" t="s">
        <v>21</v>
      </c>
    </row>
    <row r="3" spans="2:31" ht="16.5" thickBot="1">
      <c r="B3" s="1" t="s">
        <v>22</v>
      </c>
      <c r="C3" s="3">
        <v>1</v>
      </c>
      <c r="D3" s="1" t="s">
        <v>23</v>
      </c>
    </row>
    <row r="4" spans="2:31" ht="13.5" thickBot="1">
      <c r="B4" s="8" t="s">
        <v>59</v>
      </c>
      <c r="C4" s="13">
        <v>2.5000000000000001E-2</v>
      </c>
      <c r="D4" s="1" t="s">
        <v>65</v>
      </c>
    </row>
    <row r="5" spans="2:31" ht="13.5" thickBot="1">
      <c r="B5" s="8" t="s">
        <v>18</v>
      </c>
      <c r="C5" s="3">
        <v>50</v>
      </c>
      <c r="D5" s="1" t="s">
        <v>19</v>
      </c>
      <c r="U5" s="1" t="s">
        <v>56</v>
      </c>
    </row>
    <row r="6" spans="2:31" ht="16.5" thickBot="1">
      <c r="B6" s="1" t="s">
        <v>17</v>
      </c>
      <c r="C6" s="3">
        <v>10</v>
      </c>
      <c r="D6" s="1" t="s">
        <v>28</v>
      </c>
      <c r="U6" s="1">
        <v>2</v>
      </c>
    </row>
    <row r="7" spans="2:31" ht="16.5" thickBot="1">
      <c r="B7" s="12" t="s">
        <v>5</v>
      </c>
      <c r="C7" s="3">
        <v>0</v>
      </c>
      <c r="D7" s="1" t="s">
        <v>57</v>
      </c>
      <c r="AC7" s="48" t="s">
        <v>231</v>
      </c>
    </row>
    <row r="8" spans="2:31" ht="13.5" thickBot="1">
      <c r="B8" s="12" t="s">
        <v>118</v>
      </c>
      <c r="C8" s="11">
        <f>C6/C5</f>
        <v>0.2</v>
      </c>
    </row>
    <row r="10" spans="2:31" ht="13.5" thickBot="1">
      <c r="B10" s="8" t="s">
        <v>18</v>
      </c>
      <c r="C10" s="1">
        <f>C5</f>
        <v>50</v>
      </c>
      <c r="V10" s="44" t="s">
        <v>212</v>
      </c>
      <c r="W10" s="44" t="s">
        <v>210</v>
      </c>
      <c r="X10" s="44" t="s">
        <v>213</v>
      </c>
      <c r="Y10" s="44" t="s">
        <v>211</v>
      </c>
      <c r="AA10" s="44" t="s">
        <v>224</v>
      </c>
      <c r="AB10" s="44" t="s">
        <v>225</v>
      </c>
    </row>
    <row r="11" spans="2:31" ht="13.5" thickBot="1">
      <c r="B11" s="1" t="s">
        <v>16</v>
      </c>
      <c r="C11" s="7">
        <v>651</v>
      </c>
      <c r="U11" s="44" t="s">
        <v>206</v>
      </c>
      <c r="V11" s="30">
        <f>4*C5</f>
        <v>200</v>
      </c>
      <c r="W11" s="1">
        <f>$C$5</f>
        <v>50</v>
      </c>
      <c r="X11" s="1">
        <f>W11/SQRT(C20)</f>
        <v>1.9596545041740514</v>
      </c>
      <c r="Y11" s="1">
        <f>TINV($C$4*2,$C$20-2)*X11</f>
        <v>3.8480284697903908</v>
      </c>
      <c r="AA11" s="1">
        <f>V12+4*W12</f>
        <v>400</v>
      </c>
      <c r="AB11" s="1">
        <f>AA11/33</f>
        <v>12.121212121212121</v>
      </c>
    </row>
    <row r="12" spans="2:31" ht="13.5" thickBot="1">
      <c r="B12" s="1" t="s">
        <v>15</v>
      </c>
      <c r="C12" s="1">
        <f>C11*(C3+1)-2</f>
        <v>1300</v>
      </c>
      <c r="U12" s="44" t="s">
        <v>207</v>
      </c>
      <c r="V12" s="30">
        <f>V11+C7</f>
        <v>200</v>
      </c>
      <c r="W12" s="1">
        <f>$C$5</f>
        <v>50</v>
      </c>
      <c r="X12" s="1">
        <f>W12/SQRT(C20)</f>
        <v>1.9596545041740514</v>
      </c>
      <c r="Y12" s="1">
        <f>TINV($C$4*2,$C$20-2)*X12</f>
        <v>3.8480284697903908</v>
      </c>
    </row>
    <row r="13" spans="2:31">
      <c r="B13" s="1" t="s">
        <v>27</v>
      </c>
      <c r="C13" s="1">
        <f>TINV(C4*2,C12)</f>
        <v>1.9617904798448025</v>
      </c>
      <c r="Y13" s="1" t="b">
        <v>1</v>
      </c>
      <c r="AC13" s="1" t="b">
        <v>0</v>
      </c>
    </row>
    <row r="14" spans="2:31">
      <c r="B14" s="1" t="s">
        <v>3</v>
      </c>
      <c r="C14" s="1">
        <f>(C7-C6)*SQRT(C3*C11)/SQRT((C3+1)*C10^2)</f>
        <v>-3.6083237105337429</v>
      </c>
      <c r="U14" s="44" t="s">
        <v>205</v>
      </c>
      <c r="V14" s="44" t="s">
        <v>208</v>
      </c>
      <c r="W14" s="44" t="s">
        <v>209</v>
      </c>
      <c r="Y14" s="9" t="s">
        <v>220</v>
      </c>
      <c r="AC14" s="9" t="s">
        <v>222</v>
      </c>
    </row>
    <row r="15" spans="2:31">
      <c r="B15" s="1" t="s">
        <v>4</v>
      </c>
      <c r="C15" s="1">
        <f>(C7+C6)*SQRT(C3*C11)/SQRT((C3+1)*C10^2)</f>
        <v>3.6083237105337429</v>
      </c>
      <c r="U15" s="1">
        <v>0</v>
      </c>
      <c r="V15" s="1">
        <f>_xlfn.NORM.DIST($U15,$V$11,$C$5,FALSE)</f>
        <v>2.6766045152977074E-6</v>
      </c>
      <c r="W15" s="1">
        <f>_xlfn.NORM.DIST($U15,$V$12,$C$5,FALSE)</f>
        <v>2.6766045152977074E-6</v>
      </c>
      <c r="Y15" s="44" t="s">
        <v>217</v>
      </c>
      <c r="Z15" s="44" t="s">
        <v>214</v>
      </c>
      <c r="AA15" s="44" t="s">
        <v>215</v>
      </c>
      <c r="AC15" s="44" t="s">
        <v>217</v>
      </c>
      <c r="AD15" s="44" t="s">
        <v>214</v>
      </c>
      <c r="AE15" s="44" t="s">
        <v>215</v>
      </c>
    </row>
    <row r="16" spans="2:31">
      <c r="B16" s="1" t="s">
        <v>7</v>
      </c>
      <c r="C16" s="1">
        <f>NCt(-C13,C12,C14)</f>
        <v>0.95008649124778599</v>
      </c>
      <c r="U16" s="1">
        <f>U15+$AB$11</f>
        <v>12.121212121212121</v>
      </c>
      <c r="V16" s="1">
        <f t="shared" ref="V16:V47" si="0">_xlfn.NORM.DIST($U16,$V$11,$C$5,FALSE)</f>
        <v>6.8541974591718509E-6</v>
      </c>
      <c r="W16" s="1">
        <f t="shared" ref="W16:W47" si="1">_xlfn.NORM.DIST($U16,$V$12,$C$5,FALSE)</f>
        <v>6.8541974591718509E-6</v>
      </c>
      <c r="Y16" s="44" t="s">
        <v>216</v>
      </c>
      <c r="Z16" s="1">
        <f>$V$11-$W$11</f>
        <v>150</v>
      </c>
      <c r="AA16" s="1">
        <v>0</v>
      </c>
      <c r="AC16" s="44" t="s">
        <v>216</v>
      </c>
      <c r="AD16" s="1">
        <f>$V$11-$Y$11</f>
        <v>196.15197153020961</v>
      </c>
      <c r="AE16" s="1">
        <v>0</v>
      </c>
    </row>
    <row r="17" spans="2:31">
      <c r="B17" s="1" t="s">
        <v>6</v>
      </c>
      <c r="C17" s="1">
        <f>NCt(C13,C12,C15)</f>
        <v>4.9913508752214023E-2</v>
      </c>
      <c r="U17" s="1">
        <f t="shared" ref="U17:U47" si="2">U16+$AB$11</f>
        <v>24.242424242424242</v>
      </c>
      <c r="V17" s="1">
        <f t="shared" si="0"/>
        <v>1.6550295093638804E-5</v>
      </c>
      <c r="W17" s="1">
        <f t="shared" si="1"/>
        <v>1.6550295093638804E-5</v>
      </c>
      <c r="Y17" s="44" t="s">
        <v>218</v>
      </c>
      <c r="Z17" s="1">
        <f>Z16</f>
        <v>150</v>
      </c>
      <c r="AA17" s="1">
        <f>IF(Y13,MAX($V$15:$V$47),0)</f>
        <v>7.9204462678126551E-3</v>
      </c>
      <c r="AC17" s="44" t="s">
        <v>218</v>
      </c>
      <c r="AD17" s="1">
        <f>AD16</f>
        <v>196.15197153020961</v>
      </c>
      <c r="AE17" s="1">
        <f>IF(AC13,MAX($V$15:$V$47),0)</f>
        <v>0</v>
      </c>
    </row>
    <row r="18" spans="2:31">
      <c r="B18" s="1" t="s">
        <v>58</v>
      </c>
      <c r="C18" s="1">
        <f>C16-C17</f>
        <v>0.90017298249557198</v>
      </c>
      <c r="E18" s="5"/>
      <c r="U18" s="1">
        <f t="shared" si="2"/>
        <v>36.36363636363636</v>
      </c>
      <c r="V18" s="1">
        <f t="shared" si="0"/>
        <v>3.7681796203076303E-5</v>
      </c>
      <c r="W18" s="1">
        <f t="shared" si="1"/>
        <v>3.7681796203076303E-5</v>
      </c>
      <c r="Y18" s="44" t="s">
        <v>219</v>
      </c>
      <c r="Z18" s="44" t="s">
        <v>214</v>
      </c>
      <c r="AA18" s="44" t="s">
        <v>215</v>
      </c>
      <c r="AC18" s="44" t="s">
        <v>219</v>
      </c>
      <c r="AD18" s="44" t="s">
        <v>214</v>
      </c>
      <c r="AE18" s="44" t="s">
        <v>215</v>
      </c>
    </row>
    <row r="19" spans="2:31" ht="14.25">
      <c r="C19" s="16" t="s">
        <v>63</v>
      </c>
      <c r="D19" s="16" t="s">
        <v>64</v>
      </c>
      <c r="E19" s="16" t="s">
        <v>66</v>
      </c>
      <c r="U19" s="1">
        <f t="shared" si="2"/>
        <v>48.484848484848484</v>
      </c>
      <c r="V19" s="1">
        <f t="shared" si="0"/>
        <v>8.0897327717729644E-5</v>
      </c>
      <c r="W19" s="1">
        <f t="shared" si="1"/>
        <v>8.0897327717729644E-5</v>
      </c>
      <c r="Y19" s="44" t="s">
        <v>216</v>
      </c>
      <c r="Z19" s="1">
        <f>$V$11+$W$11</f>
        <v>250</v>
      </c>
      <c r="AA19" s="1">
        <v>0</v>
      </c>
      <c r="AC19" s="44" t="s">
        <v>216</v>
      </c>
      <c r="AD19" s="1">
        <f>$V$11+$Y$11</f>
        <v>203.84802846979039</v>
      </c>
      <c r="AE19" s="1">
        <v>0</v>
      </c>
    </row>
    <row r="20" spans="2:31">
      <c r="B20" s="1" t="s">
        <v>11</v>
      </c>
      <c r="C20" s="1">
        <f>CEILING(C11,1)</f>
        <v>651</v>
      </c>
      <c r="D20" s="1">
        <f>C20*C3</f>
        <v>651</v>
      </c>
      <c r="E20" s="1">
        <f>C20+D20</f>
        <v>1302</v>
      </c>
      <c r="U20" s="1">
        <f t="shared" si="2"/>
        <v>60.606060606060609</v>
      </c>
      <c r="V20" s="1">
        <f t="shared" si="0"/>
        <v>1.6376213053574513E-4</v>
      </c>
      <c r="W20" s="1">
        <f t="shared" si="1"/>
        <v>1.6376213053574513E-4</v>
      </c>
      <c r="Y20" s="44" t="s">
        <v>218</v>
      </c>
      <c r="Z20" s="1">
        <f>Z19</f>
        <v>250</v>
      </c>
      <c r="AA20" s="1">
        <f>AA17</f>
        <v>7.9204462678126551E-3</v>
      </c>
      <c r="AC20" s="44" t="s">
        <v>218</v>
      </c>
      <c r="AD20" s="1">
        <f>AD19</f>
        <v>203.84802846979039</v>
      </c>
      <c r="AE20" s="1">
        <f>AE17</f>
        <v>0</v>
      </c>
    </row>
    <row r="21" spans="2:31">
      <c r="U21" s="1">
        <f t="shared" si="2"/>
        <v>72.727272727272734</v>
      </c>
      <c r="V21" s="1">
        <f t="shared" si="0"/>
        <v>3.1258598953711218E-4</v>
      </c>
      <c r="W21" s="1">
        <f t="shared" si="1"/>
        <v>3.1258598953711218E-4</v>
      </c>
    </row>
    <row r="22" spans="2:31">
      <c r="U22" s="1">
        <f t="shared" si="2"/>
        <v>84.848484848484858</v>
      </c>
      <c r="V22" s="1">
        <f t="shared" si="0"/>
        <v>5.6260328274556932E-4</v>
      </c>
      <c r="W22" s="1">
        <f t="shared" si="1"/>
        <v>5.6260328274556932E-4</v>
      </c>
      <c r="Y22" s="9" t="s">
        <v>221</v>
      </c>
      <c r="AC22" s="9" t="s">
        <v>223</v>
      </c>
    </row>
    <row r="23" spans="2:31">
      <c r="U23" s="1">
        <f t="shared" si="2"/>
        <v>96.969696969696983</v>
      </c>
      <c r="V23" s="1">
        <f t="shared" si="0"/>
        <v>9.5479852613707073E-4</v>
      </c>
      <c r="W23" s="1">
        <f t="shared" si="1"/>
        <v>9.5479852613707073E-4</v>
      </c>
      <c r="Y23" s="44" t="s">
        <v>217</v>
      </c>
      <c r="Z23" s="44" t="s">
        <v>214</v>
      </c>
      <c r="AA23" s="44" t="s">
        <v>215</v>
      </c>
      <c r="AC23" s="44" t="s">
        <v>217</v>
      </c>
      <c r="AD23" s="44" t="s">
        <v>214</v>
      </c>
      <c r="AE23" s="44" t="s">
        <v>215</v>
      </c>
    </row>
    <row r="24" spans="2:31">
      <c r="U24" s="1">
        <f t="shared" si="2"/>
        <v>109.09090909090911</v>
      </c>
      <c r="V24" s="1">
        <f t="shared" si="0"/>
        <v>1.5279105957013359E-3</v>
      </c>
      <c r="W24" s="1">
        <f t="shared" si="1"/>
        <v>1.5279105957013359E-3</v>
      </c>
      <c r="Y24" s="44" t="s">
        <v>216</v>
      </c>
      <c r="Z24" s="1">
        <f>$V$12-$W$12</f>
        <v>150</v>
      </c>
      <c r="AA24" s="1">
        <v>0</v>
      </c>
      <c r="AC24" s="44" t="s">
        <v>216</v>
      </c>
      <c r="AD24" s="1">
        <f>$V$12-$Y$12</f>
        <v>196.15197153020961</v>
      </c>
      <c r="AE24" s="1">
        <v>0</v>
      </c>
    </row>
    <row r="25" spans="2:31">
      <c r="U25" s="1">
        <f t="shared" si="2"/>
        <v>121.21212121212123</v>
      </c>
      <c r="V25" s="1">
        <f t="shared" si="0"/>
        <v>2.3054774036885169E-3</v>
      </c>
      <c r="W25" s="1">
        <f t="shared" si="1"/>
        <v>2.3054774036885169E-3</v>
      </c>
      <c r="Y25" s="44" t="s">
        <v>218</v>
      </c>
      <c r="Z25" s="1">
        <f>Z24</f>
        <v>150</v>
      </c>
      <c r="AA25" s="1">
        <f>IF(Y13,MAX($W$15:$W$47),0)</f>
        <v>7.9204462678126551E-3</v>
      </c>
      <c r="AC25" s="44" t="s">
        <v>218</v>
      </c>
      <c r="AD25" s="1">
        <f>AD24</f>
        <v>196.15197153020961</v>
      </c>
      <c r="AE25" s="1">
        <f>IF(AC13,MAX($W$15:$W$47),0)</f>
        <v>0</v>
      </c>
    </row>
    <row r="26" spans="2:31">
      <c r="U26" s="1">
        <f t="shared" si="2"/>
        <v>133.33333333333334</v>
      </c>
      <c r="V26" s="1">
        <f t="shared" si="0"/>
        <v>3.2802014935198738E-3</v>
      </c>
      <c r="W26" s="1">
        <f t="shared" si="1"/>
        <v>3.2802014935198738E-3</v>
      </c>
      <c r="Y26" s="44" t="s">
        <v>219</v>
      </c>
      <c r="Z26" s="44" t="s">
        <v>214</v>
      </c>
      <c r="AA26" s="44" t="s">
        <v>215</v>
      </c>
      <c r="AC26" s="44" t="s">
        <v>219</v>
      </c>
      <c r="AD26" s="44" t="s">
        <v>214</v>
      </c>
      <c r="AE26" s="44" t="s">
        <v>215</v>
      </c>
    </row>
    <row r="27" spans="2:31" ht="20.25" customHeight="1">
      <c r="U27" s="1">
        <f t="shared" si="2"/>
        <v>145.45454545454547</v>
      </c>
      <c r="V27" s="1">
        <f t="shared" si="0"/>
        <v>4.4006507073998157E-3</v>
      </c>
      <c r="W27" s="1">
        <f t="shared" si="1"/>
        <v>4.4006507073998157E-3</v>
      </c>
      <c r="Y27" s="44" t="s">
        <v>216</v>
      </c>
      <c r="Z27" s="1">
        <f>$V$12+$W$12</f>
        <v>250</v>
      </c>
      <c r="AA27" s="1">
        <v>0</v>
      </c>
      <c r="AC27" s="44" t="s">
        <v>216</v>
      </c>
      <c r="AD27" s="1">
        <f>$V$12+$Y$12</f>
        <v>203.84802846979039</v>
      </c>
      <c r="AE27" s="1">
        <v>0</v>
      </c>
    </row>
    <row r="28" spans="2:31" ht="20.25" customHeight="1">
      <c r="U28" s="1">
        <f t="shared" si="2"/>
        <v>157.57575757575759</v>
      </c>
      <c r="V28" s="1">
        <f t="shared" si="0"/>
        <v>5.5668561622342575E-3</v>
      </c>
      <c r="W28" s="1">
        <f t="shared" si="1"/>
        <v>5.5668561622342575E-3</v>
      </c>
      <c r="Y28" s="44" t="s">
        <v>218</v>
      </c>
      <c r="Z28" s="1">
        <f>Z27</f>
        <v>250</v>
      </c>
      <c r="AA28" s="1">
        <f>AA25</f>
        <v>7.9204462678126551E-3</v>
      </c>
      <c r="AC28" s="44" t="s">
        <v>218</v>
      </c>
      <c r="AD28" s="1">
        <f>AD27</f>
        <v>203.84802846979039</v>
      </c>
      <c r="AE28" s="1">
        <f>AE25</f>
        <v>0</v>
      </c>
    </row>
    <row r="29" spans="2:31" ht="20.25" customHeight="1">
      <c r="U29" s="1">
        <f t="shared" si="2"/>
        <v>169.69696969696972</v>
      </c>
      <c r="V29" s="1">
        <f t="shared" si="0"/>
        <v>6.6401795995001695E-3</v>
      </c>
      <c r="W29" s="1">
        <f t="shared" si="1"/>
        <v>6.6401795995001695E-3</v>
      </c>
      <c r="Y29" s="1" t="b">
        <v>1</v>
      </c>
    </row>
    <row r="30" spans="2:31" ht="20.25" customHeight="1">
      <c r="U30" s="1">
        <f t="shared" si="2"/>
        <v>181.81818181818184</v>
      </c>
      <c r="V30" s="1">
        <f t="shared" si="0"/>
        <v>7.4683794750795788E-3</v>
      </c>
      <c r="W30" s="1">
        <f t="shared" si="1"/>
        <v>7.4683794750795788E-3</v>
      </c>
      <c r="Y30" s="9" t="s">
        <v>226</v>
      </c>
      <c r="AC30" s="47"/>
    </row>
    <row r="31" spans="2:31" ht="20.25" customHeight="1">
      <c r="U31" s="1">
        <f t="shared" si="2"/>
        <v>193.93939393939397</v>
      </c>
      <c r="V31" s="1">
        <f t="shared" si="0"/>
        <v>7.9204462678126551E-3</v>
      </c>
      <c r="W31" s="1">
        <f t="shared" si="1"/>
        <v>7.9204462678126551E-3</v>
      </c>
      <c r="Y31" s="44" t="s">
        <v>217</v>
      </c>
      <c r="Z31" s="44" t="s">
        <v>214</v>
      </c>
      <c r="AA31" s="44" t="s">
        <v>215</v>
      </c>
      <c r="AC31" s="44"/>
      <c r="AD31" s="44"/>
      <c r="AE31" s="44"/>
    </row>
    <row r="32" spans="2:31" ht="20.25" customHeight="1">
      <c r="U32" s="1">
        <f t="shared" si="2"/>
        <v>206.06060606060609</v>
      </c>
      <c r="V32" s="1">
        <f t="shared" si="0"/>
        <v>7.9204462678126551E-3</v>
      </c>
      <c r="W32" s="1">
        <f t="shared" si="1"/>
        <v>7.9204462678126551E-3</v>
      </c>
      <c r="Y32" s="44" t="s">
        <v>216</v>
      </c>
      <c r="Z32" s="1">
        <f>AVERAGE($V$11,$V$12)-($C$6/2)</f>
        <v>195</v>
      </c>
      <c r="AA32" s="1">
        <v>0</v>
      </c>
      <c r="AC32" s="44"/>
    </row>
    <row r="33" spans="2:31" ht="20.25" customHeight="1">
      <c r="U33" s="1">
        <f t="shared" si="2"/>
        <v>218.18181818181822</v>
      </c>
      <c r="V33" s="1">
        <f t="shared" si="0"/>
        <v>7.4683794750795745E-3</v>
      </c>
      <c r="W33" s="1">
        <f t="shared" si="1"/>
        <v>7.4683794750795745E-3</v>
      </c>
      <c r="Y33" s="44" t="s">
        <v>218</v>
      </c>
      <c r="Z33" s="1">
        <f>Z32</f>
        <v>195</v>
      </c>
      <c r="AA33" s="1">
        <f>IF($Y$29,MAX($V$15:$W$47),0)</f>
        <v>7.9204462678126551E-3</v>
      </c>
      <c r="AC33" s="44"/>
    </row>
    <row r="34" spans="2:31" ht="20.25" customHeight="1">
      <c r="U34" s="1">
        <f t="shared" si="2"/>
        <v>230.30303030303034</v>
      </c>
      <c r="V34" s="1">
        <f t="shared" si="0"/>
        <v>6.6401795995001634E-3</v>
      </c>
      <c r="W34" s="1">
        <f t="shared" si="1"/>
        <v>6.6401795995001634E-3</v>
      </c>
      <c r="Y34" s="44" t="s">
        <v>219</v>
      </c>
      <c r="Z34" s="44" t="s">
        <v>214</v>
      </c>
      <c r="AA34" s="44" t="s">
        <v>215</v>
      </c>
      <c r="AC34" s="44"/>
      <c r="AD34" s="44"/>
      <c r="AE34" s="44"/>
    </row>
    <row r="35" spans="2:31" ht="20.25" customHeight="1">
      <c r="U35" s="1">
        <f t="shared" si="2"/>
        <v>242.42424242424246</v>
      </c>
      <c r="V35" s="1">
        <f t="shared" si="0"/>
        <v>5.5668561622342523E-3</v>
      </c>
      <c r="W35" s="1">
        <f t="shared" si="1"/>
        <v>5.5668561622342523E-3</v>
      </c>
      <c r="Y35" s="44" t="s">
        <v>216</v>
      </c>
      <c r="Z35" s="1">
        <f>AVERAGE($V$11,$V$12)+($C$6/2)</f>
        <v>205</v>
      </c>
      <c r="AA35" s="1">
        <v>0</v>
      </c>
      <c r="AC35" s="44"/>
    </row>
    <row r="36" spans="2:31" ht="20.25" customHeight="1">
      <c r="U36" s="1">
        <f t="shared" si="2"/>
        <v>254.54545454545459</v>
      </c>
      <c r="V36" s="1">
        <f t="shared" si="0"/>
        <v>4.4006507073998096E-3</v>
      </c>
      <c r="W36" s="1">
        <f t="shared" si="1"/>
        <v>4.4006507073998096E-3</v>
      </c>
      <c r="Y36" s="44" t="s">
        <v>218</v>
      </c>
      <c r="Z36" s="1">
        <f>Z35</f>
        <v>205</v>
      </c>
      <c r="AA36" s="1">
        <f>AA33</f>
        <v>7.9204462678126551E-3</v>
      </c>
      <c r="AC36" s="44"/>
    </row>
    <row r="37" spans="2:31" ht="20.25" customHeight="1">
      <c r="U37" s="1">
        <f t="shared" si="2"/>
        <v>266.66666666666669</v>
      </c>
      <c r="V37" s="1">
        <f t="shared" si="0"/>
        <v>3.2802014935198712E-3</v>
      </c>
      <c r="W37" s="1">
        <f t="shared" si="1"/>
        <v>3.2802014935198712E-3</v>
      </c>
    </row>
    <row r="38" spans="2:31">
      <c r="U38" s="1">
        <f t="shared" si="2"/>
        <v>278.78787878787881</v>
      </c>
      <c r="V38" s="1">
        <f t="shared" si="0"/>
        <v>2.3054774036885138E-3</v>
      </c>
      <c r="W38" s="1">
        <f t="shared" si="1"/>
        <v>2.3054774036885138E-3</v>
      </c>
    </row>
    <row r="39" spans="2:31">
      <c r="U39" s="1">
        <f t="shared" si="2"/>
        <v>290.90909090909093</v>
      </c>
      <c r="V39" s="1">
        <f t="shared" si="0"/>
        <v>1.527910595701333E-3</v>
      </c>
      <c r="W39" s="1">
        <f t="shared" si="1"/>
        <v>1.527910595701333E-3</v>
      </c>
    </row>
    <row r="40" spans="2:31">
      <c r="U40" s="1">
        <f t="shared" si="2"/>
        <v>303.03030303030306</v>
      </c>
      <c r="V40" s="1">
        <f t="shared" si="0"/>
        <v>9.5479852613706987E-4</v>
      </c>
      <c r="W40" s="1">
        <f t="shared" si="1"/>
        <v>9.5479852613706987E-4</v>
      </c>
    </row>
    <row r="41" spans="2:31">
      <c r="U41" s="1">
        <f t="shared" si="2"/>
        <v>315.15151515151518</v>
      </c>
      <c r="V41" s="1">
        <f t="shared" si="0"/>
        <v>5.6260328274556834E-4</v>
      </c>
      <c r="W41" s="1">
        <f t="shared" si="1"/>
        <v>5.6260328274556834E-4</v>
      </c>
    </row>
    <row r="42" spans="2:31">
      <c r="U42" s="1">
        <f t="shared" si="2"/>
        <v>327.27272727272731</v>
      </c>
      <c r="V42" s="1">
        <f t="shared" si="0"/>
        <v>3.1258598953711153E-4</v>
      </c>
      <c r="W42" s="1">
        <f t="shared" si="1"/>
        <v>3.1258598953711153E-4</v>
      </c>
    </row>
    <row r="43" spans="2:31" ht="18">
      <c r="B43" s="28" t="s">
        <v>123</v>
      </c>
      <c r="U43" s="1">
        <f t="shared" si="2"/>
        <v>339.39393939393943</v>
      </c>
      <c r="V43" s="1">
        <f t="shared" si="0"/>
        <v>1.637621305357447E-4</v>
      </c>
      <c r="W43" s="1">
        <f t="shared" si="1"/>
        <v>1.637621305357447E-4</v>
      </c>
    </row>
    <row r="44" spans="2:31">
      <c r="U44" s="1">
        <f t="shared" si="2"/>
        <v>351.51515151515156</v>
      </c>
      <c r="V44" s="1">
        <f t="shared" si="0"/>
        <v>8.0897327717729345E-5</v>
      </c>
      <c r="W44" s="1">
        <f t="shared" si="1"/>
        <v>8.0897327717729345E-5</v>
      </c>
    </row>
    <row r="45" spans="2:31">
      <c r="U45" s="1">
        <f t="shared" si="2"/>
        <v>363.63636363636368</v>
      </c>
      <c r="V45" s="1">
        <f t="shared" si="0"/>
        <v>3.768179620307614E-5</v>
      </c>
      <c r="W45" s="1">
        <f t="shared" si="1"/>
        <v>3.768179620307614E-5</v>
      </c>
    </row>
    <row r="46" spans="2:31">
      <c r="U46" s="1">
        <f t="shared" si="2"/>
        <v>375.75757575757581</v>
      </c>
      <c r="V46" s="1">
        <f t="shared" si="0"/>
        <v>1.6550295093638746E-5</v>
      </c>
      <c r="W46" s="1">
        <f t="shared" si="1"/>
        <v>1.6550295093638746E-5</v>
      </c>
    </row>
    <row r="47" spans="2:31">
      <c r="U47" s="1">
        <f t="shared" si="2"/>
        <v>387.87878787878793</v>
      </c>
      <c r="V47" s="1">
        <f t="shared" si="0"/>
        <v>6.8541974591718144E-6</v>
      </c>
      <c r="W47" s="1">
        <f t="shared" si="1"/>
        <v>6.8541974591718144E-6</v>
      </c>
    </row>
    <row r="60" spans="2:7">
      <c r="G60" s="6"/>
    </row>
    <row r="61" spans="2:7">
      <c r="G61" s="6"/>
    </row>
    <row r="62" spans="2:7">
      <c r="G62" s="6"/>
    </row>
    <row r="63" spans="2:7">
      <c r="G63" s="6"/>
    </row>
    <row r="64" spans="2:7">
      <c r="B64" s="9" t="s">
        <v>125</v>
      </c>
    </row>
  </sheetData>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SS_Probt">
                <anchor moveWithCells="1" sizeWithCells="1">
                  <from>
                    <xdr:col>1</xdr:col>
                    <xdr:colOff>95250</xdr:colOff>
                    <xdr:row>21</xdr:row>
                    <xdr:rowOff>76200</xdr:rowOff>
                  </from>
                  <to>
                    <xdr:col>2</xdr:col>
                    <xdr:colOff>533400</xdr:colOff>
                    <xdr:row>23</xdr:row>
                    <xdr:rowOff>19050</xdr:rowOff>
                  </to>
                </anchor>
              </controlPr>
            </control>
          </mc:Choice>
        </mc:AlternateContent>
        <mc:AlternateContent xmlns:mc="http://schemas.openxmlformats.org/markup-compatibility/2006">
          <mc:Choice Requires="x14">
            <control shapeId="15370" r:id="rId5" name="Button 10">
              <controlPr defaultSize="0" print="0" autoFill="0" autoPict="0" macro="[0]!SS_Boss">
                <anchor moveWithCells="1" sizeWithCells="1">
                  <from>
                    <xdr:col>2</xdr:col>
                    <xdr:colOff>609600</xdr:colOff>
                    <xdr:row>21</xdr:row>
                    <xdr:rowOff>76200</xdr:rowOff>
                  </from>
                  <to>
                    <xdr:col>4</xdr:col>
                    <xdr:colOff>0</xdr:colOff>
                    <xdr:row>23</xdr:row>
                    <xdr:rowOff>19050</xdr:rowOff>
                  </to>
                </anchor>
              </controlPr>
            </control>
          </mc:Choice>
        </mc:AlternateContent>
        <mc:AlternateContent xmlns:mc="http://schemas.openxmlformats.org/markup-compatibility/2006">
          <mc:Choice Requires="x14">
            <control shapeId="15376" r:id="rId6" name="Check Box 16">
              <controlPr defaultSize="0" autoFill="0" autoLine="0" autoPict="0">
                <anchor moveWithCells="1">
                  <from>
                    <xdr:col>11</xdr:col>
                    <xdr:colOff>323850</xdr:colOff>
                    <xdr:row>8</xdr:row>
                    <xdr:rowOff>114300</xdr:rowOff>
                  </from>
                  <to>
                    <xdr:col>12</xdr:col>
                    <xdr:colOff>476250</xdr:colOff>
                    <xdr:row>9</xdr:row>
                    <xdr:rowOff>171450</xdr:rowOff>
                  </to>
                </anchor>
              </controlPr>
            </control>
          </mc:Choice>
        </mc:AlternateContent>
        <mc:AlternateContent xmlns:mc="http://schemas.openxmlformats.org/markup-compatibility/2006">
          <mc:Choice Requires="x14">
            <control shapeId="15377" r:id="rId7" name="Check Box 17">
              <controlPr defaultSize="0" autoFill="0" autoLine="0" autoPict="0">
                <anchor moveWithCells="1">
                  <from>
                    <xdr:col>11</xdr:col>
                    <xdr:colOff>323850</xdr:colOff>
                    <xdr:row>9</xdr:row>
                    <xdr:rowOff>171450</xdr:rowOff>
                  </from>
                  <to>
                    <xdr:col>12</xdr:col>
                    <xdr:colOff>476250</xdr:colOff>
                    <xdr:row>11</xdr:row>
                    <xdr:rowOff>19050</xdr:rowOff>
                  </to>
                </anchor>
              </controlPr>
            </control>
          </mc:Choice>
        </mc:AlternateContent>
        <mc:AlternateContent xmlns:mc="http://schemas.openxmlformats.org/markup-compatibility/2006">
          <mc:Choice Requires="x14">
            <control shapeId="15378" r:id="rId8" name="Check Box 18">
              <controlPr defaultSize="0" autoFill="0" autoLine="0" autoPict="0">
                <anchor moveWithCells="1">
                  <from>
                    <xdr:col>11</xdr:col>
                    <xdr:colOff>323850</xdr:colOff>
                    <xdr:row>11</xdr:row>
                    <xdr:rowOff>19050</xdr:rowOff>
                  </from>
                  <to>
                    <xdr:col>12</xdr:col>
                    <xdr:colOff>476250</xdr:colOff>
                    <xdr:row>12</xdr:row>
                    <xdr:rowOff>57150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AE67"/>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71</v>
      </c>
      <c r="F1" s="9" t="s">
        <v>122</v>
      </c>
    </row>
    <row r="2" spans="2:31" ht="13.5" thickBot="1">
      <c r="B2" s="1" t="s">
        <v>1</v>
      </c>
      <c r="C2" s="2">
        <v>0.9</v>
      </c>
      <c r="D2" s="1" t="s">
        <v>21</v>
      </c>
    </row>
    <row r="3" spans="2:31" ht="13.5" thickBot="1">
      <c r="C3" s="10"/>
    </row>
    <row r="4" spans="2:31" ht="13.5" thickBot="1">
      <c r="B4" s="8" t="s">
        <v>59</v>
      </c>
      <c r="C4" s="13">
        <v>2.5000000000000001E-2</v>
      </c>
      <c r="D4" s="1" t="s">
        <v>65</v>
      </c>
    </row>
    <row r="5" spans="2:31" ht="16.5" thickBot="1">
      <c r="B5" s="8" t="s">
        <v>26</v>
      </c>
      <c r="C5" s="3">
        <v>20</v>
      </c>
      <c r="D5" s="1" t="s">
        <v>30</v>
      </c>
      <c r="U5" s="1" t="s">
        <v>56</v>
      </c>
    </row>
    <row r="6" spans="2:31" ht="16.5" thickBot="1">
      <c r="B6" s="1" t="s">
        <v>17</v>
      </c>
      <c r="C6" s="3">
        <v>10</v>
      </c>
      <c r="D6" s="1" t="s">
        <v>28</v>
      </c>
      <c r="U6" s="1">
        <v>1</v>
      </c>
    </row>
    <row r="7" spans="2:31" ht="16.5" thickBot="1">
      <c r="B7" s="12" t="s">
        <v>5</v>
      </c>
      <c r="C7" s="3">
        <v>2</v>
      </c>
      <c r="D7" s="1" t="s">
        <v>57</v>
      </c>
      <c r="I7" s="9" t="str">
        <f>IF(C7&gt;=C6,"WARNING: Expected mean difference higher than maximum allowable difference.","")</f>
        <v/>
      </c>
    </row>
    <row r="8" spans="2:31" ht="16.5" thickBot="1">
      <c r="B8" s="12" t="s">
        <v>119</v>
      </c>
      <c r="C8" s="11">
        <f>C6/C10</f>
        <v>0.5</v>
      </c>
    </row>
    <row r="10" spans="2:31" ht="16.5" thickBot="1">
      <c r="B10" s="8" t="s">
        <v>26</v>
      </c>
      <c r="C10" s="1">
        <f>C5</f>
        <v>20</v>
      </c>
      <c r="V10" s="44" t="s">
        <v>212</v>
      </c>
      <c r="W10" s="44" t="s">
        <v>210</v>
      </c>
      <c r="X10" s="44" t="s">
        <v>213</v>
      </c>
      <c r="Y10" s="44" t="s">
        <v>211</v>
      </c>
      <c r="AA10" s="44" t="s">
        <v>224</v>
      </c>
      <c r="AB10" s="44" t="s">
        <v>225</v>
      </c>
    </row>
    <row r="11" spans="2:31" ht="13.5" thickBot="1">
      <c r="B11" s="1" t="s">
        <v>0</v>
      </c>
      <c r="C11" s="7">
        <v>135</v>
      </c>
      <c r="U11" s="44" t="s">
        <v>206</v>
      </c>
      <c r="V11" s="30">
        <f>4*C5</f>
        <v>80</v>
      </c>
      <c r="W11" s="1">
        <f>$C$5</f>
        <v>20</v>
      </c>
      <c r="X11" s="1">
        <f>W11/SQRT(C20)</f>
        <v>1.7213259316477409</v>
      </c>
      <c r="Y11" s="1">
        <f>TINV($C$4*2,$C$20-2)*X11</f>
        <v>3.4047160158066507</v>
      </c>
      <c r="AA11" s="1">
        <f>V12+4*W12</f>
        <v>162</v>
      </c>
      <c r="AB11" s="1">
        <f>AA11/33</f>
        <v>4.9090909090909092</v>
      </c>
    </row>
    <row r="12" spans="2:31" ht="13.5" thickBot="1">
      <c r="B12" s="1" t="s">
        <v>2</v>
      </c>
      <c r="C12" s="1">
        <f>C11-2</f>
        <v>133</v>
      </c>
      <c r="U12" s="44" t="s">
        <v>207</v>
      </c>
      <c r="V12" s="30">
        <f>V11+C7</f>
        <v>82</v>
      </c>
      <c r="W12" s="1">
        <f>$C$5</f>
        <v>20</v>
      </c>
      <c r="X12" s="1">
        <f>W12/SQRT(C20)</f>
        <v>1.7213259316477409</v>
      </c>
      <c r="Y12" s="1">
        <f>TINV($C$4*2,$C$20-2)*X12</f>
        <v>3.4047160158066507</v>
      </c>
    </row>
    <row r="13" spans="2:31">
      <c r="B13" s="1" t="s">
        <v>8</v>
      </c>
      <c r="C13" s="1">
        <f>TINV(C4*2,C12)</f>
        <v>1.9779612641677238</v>
      </c>
      <c r="Y13" s="1" t="b">
        <v>1</v>
      </c>
      <c r="AC13" s="1" t="b">
        <v>0</v>
      </c>
    </row>
    <row r="14" spans="2:31">
      <c r="B14" s="1" t="s">
        <v>3</v>
      </c>
      <c r="C14" s="1">
        <f>(C7-C6)*SQRT(C11)/SQRT(2*C10^2)</f>
        <v>-3.2863353450309964</v>
      </c>
      <c r="U14" s="44" t="s">
        <v>205</v>
      </c>
      <c r="V14" s="44" t="s">
        <v>208</v>
      </c>
      <c r="W14" s="44" t="s">
        <v>209</v>
      </c>
      <c r="Y14" s="9" t="s">
        <v>220</v>
      </c>
      <c r="AC14" s="9" t="s">
        <v>222</v>
      </c>
    </row>
    <row r="15" spans="2:31">
      <c r="B15" s="1" t="s">
        <v>4</v>
      </c>
      <c r="C15" s="1">
        <f>(C7+C6)*SQRT(C11)/SQRT(2*C10^2)</f>
        <v>4.9295030175464944</v>
      </c>
      <c r="U15" s="1">
        <v>0</v>
      </c>
      <c r="V15" s="1">
        <f>_xlfn.NORM.DIST($U15,$V$11,$C$5,FALSE)</f>
        <v>6.6915112882442679E-6</v>
      </c>
      <c r="W15" s="1">
        <f>_xlfn.NORM.DIST($U15,$V$12,$C$5,FALSE)</f>
        <v>4.4630828588566459E-6</v>
      </c>
      <c r="Y15" s="44" t="s">
        <v>217</v>
      </c>
      <c r="Z15" s="44" t="s">
        <v>214</v>
      </c>
      <c r="AA15" s="44" t="s">
        <v>215</v>
      </c>
      <c r="AC15" s="44" t="s">
        <v>217</v>
      </c>
      <c r="AD15" s="44" t="s">
        <v>214</v>
      </c>
      <c r="AE15" s="44" t="s">
        <v>215</v>
      </c>
    </row>
    <row r="16" spans="2:31">
      <c r="B16" s="1" t="s">
        <v>7</v>
      </c>
      <c r="C16" s="1">
        <f>NCt(-C13,C12,C14)</f>
        <v>0.90363577370625436</v>
      </c>
      <c r="U16" s="1">
        <f>U15+$AB$11</f>
        <v>4.9090909090909092</v>
      </c>
      <c r="V16" s="1">
        <f t="shared" ref="V16:V47" si="0">_xlfn.NORM.DIST($U16,$V$11,$C$5,FALSE)</f>
        <v>1.7331644042574684E-5</v>
      </c>
      <c r="W16" s="1">
        <f t="shared" ref="W16:W47" si="1">_xlfn.NORM.DIST($U16,$V$12,$C$5,FALSE)</f>
        <v>1.1847056269290205E-5</v>
      </c>
      <c r="Y16" s="44" t="s">
        <v>216</v>
      </c>
      <c r="Z16" s="1">
        <f>$V$11-$W$11</f>
        <v>60</v>
      </c>
      <c r="AA16" s="1">
        <v>0</v>
      </c>
      <c r="AC16" s="44" t="s">
        <v>216</v>
      </c>
      <c r="AD16" s="1">
        <f>$V$11-$Y$11</f>
        <v>76.595283984193344</v>
      </c>
      <c r="AE16" s="1">
        <v>0</v>
      </c>
    </row>
    <row r="17" spans="2:31">
      <c r="B17" s="1" t="s">
        <v>6</v>
      </c>
      <c r="C17" s="1">
        <f>NCt(C13,C12,C15)</f>
        <v>1.6749300098533385E-3</v>
      </c>
      <c r="U17" s="1">
        <f t="shared" ref="U17:U47" si="2">U16+$AB$11</f>
        <v>9.8181818181818183</v>
      </c>
      <c r="V17" s="1">
        <f t="shared" si="0"/>
        <v>4.226588447591253E-5</v>
      </c>
      <c r="W17" s="1">
        <f t="shared" si="1"/>
        <v>2.9608786430913624E-5</v>
      </c>
      <c r="Y17" s="44" t="s">
        <v>218</v>
      </c>
      <c r="Z17" s="1">
        <f>Z16</f>
        <v>60</v>
      </c>
      <c r="AA17" s="1">
        <f>IF(Y13,MAX($V$15:$V$47),0)</f>
        <v>1.9894431016018829E-2</v>
      </c>
      <c r="AC17" s="44" t="s">
        <v>218</v>
      </c>
      <c r="AD17" s="1">
        <f>AD16</f>
        <v>76.595283984193344</v>
      </c>
      <c r="AE17" s="1">
        <f>IF(AC13,MAX($V$15:$V$47),0)</f>
        <v>0</v>
      </c>
    </row>
    <row r="18" spans="2:31">
      <c r="B18" s="1" t="s">
        <v>58</v>
      </c>
      <c r="C18" s="1">
        <f>C16-C17</f>
        <v>0.90196084369640106</v>
      </c>
      <c r="E18" s="5"/>
      <c r="U18" s="1">
        <f t="shared" si="2"/>
        <v>14.727272727272727</v>
      </c>
      <c r="V18" s="1">
        <f t="shared" si="0"/>
        <v>9.7045369327588643E-5</v>
      </c>
      <c r="W18" s="1">
        <f t="shared" si="1"/>
        <v>6.9673145586173971E-5</v>
      </c>
      <c r="Y18" s="44" t="s">
        <v>219</v>
      </c>
      <c r="Z18" s="44" t="s">
        <v>214</v>
      </c>
      <c r="AA18" s="44" t="s">
        <v>215</v>
      </c>
      <c r="AC18" s="44" t="s">
        <v>219</v>
      </c>
      <c r="AD18" s="44" t="s">
        <v>214</v>
      </c>
      <c r="AE18" s="44" t="s">
        <v>215</v>
      </c>
    </row>
    <row r="19" spans="2:31">
      <c r="C19" s="9"/>
      <c r="D19" s="9"/>
      <c r="U19" s="1">
        <f t="shared" si="2"/>
        <v>19.636363636363637</v>
      </c>
      <c r="V19" s="1">
        <f t="shared" si="0"/>
        <v>2.0979461060970466E-4</v>
      </c>
      <c r="W19" s="1">
        <f t="shared" si="1"/>
        <v>1.5436359491898969E-4</v>
      </c>
      <c r="Y19" s="44" t="s">
        <v>216</v>
      </c>
      <c r="Z19" s="1">
        <f>$V$11+$W$11</f>
        <v>100</v>
      </c>
      <c r="AA19" s="1">
        <v>0</v>
      </c>
      <c r="AC19" s="44" t="s">
        <v>216</v>
      </c>
      <c r="AD19" s="1">
        <f>$V$11+$Y$11</f>
        <v>83.404716015806656</v>
      </c>
      <c r="AE19" s="1">
        <v>0</v>
      </c>
    </row>
    <row r="20" spans="2:31">
      <c r="B20" s="1" t="s">
        <v>11</v>
      </c>
      <c r="C20" s="1">
        <f>CEILING(C11,1)</f>
        <v>135</v>
      </c>
      <c r="U20" s="1">
        <f t="shared" si="2"/>
        <v>24.545454545454547</v>
      </c>
      <c r="V20" s="1">
        <f t="shared" si="0"/>
        <v>4.2702027167173346E-4</v>
      </c>
      <c r="W20" s="1">
        <f t="shared" si="1"/>
        <v>3.2200232289244282E-4</v>
      </c>
      <c r="Y20" s="44" t="s">
        <v>218</v>
      </c>
      <c r="Z20" s="1">
        <f>Z19</f>
        <v>100</v>
      </c>
      <c r="AA20" s="1">
        <f>AA17</f>
        <v>1.9894431016018829E-2</v>
      </c>
      <c r="AC20" s="44" t="s">
        <v>218</v>
      </c>
      <c r="AD20" s="1">
        <f>AD19</f>
        <v>83.404716015806656</v>
      </c>
      <c r="AE20" s="1">
        <f>AE17</f>
        <v>0</v>
      </c>
    </row>
    <row r="21" spans="2:31">
      <c r="U21" s="1">
        <f t="shared" si="2"/>
        <v>29.454545454545457</v>
      </c>
      <c r="V21" s="1">
        <f t="shared" si="0"/>
        <v>8.1834665642959705E-4</v>
      </c>
      <c r="W21" s="1">
        <f t="shared" si="1"/>
        <v>6.3242318049964768E-4</v>
      </c>
    </row>
    <row r="22" spans="2:31">
      <c r="U22" s="1">
        <f t="shared" si="2"/>
        <v>34.363636363636367</v>
      </c>
      <c r="V22" s="1">
        <f t="shared" si="0"/>
        <v>1.4765929376495469E-3</v>
      </c>
      <c r="W22" s="1">
        <f t="shared" si="1"/>
        <v>1.1694757209192461E-3</v>
      </c>
      <c r="Y22" s="9" t="s">
        <v>221</v>
      </c>
      <c r="AC22" s="9" t="s">
        <v>223</v>
      </c>
    </row>
    <row r="23" spans="2:31">
      <c r="U23" s="1">
        <f t="shared" si="2"/>
        <v>39.272727272727273</v>
      </c>
      <c r="V23" s="1">
        <f t="shared" si="0"/>
        <v>2.5085277881360035E-3</v>
      </c>
      <c r="W23" s="1">
        <f t="shared" si="1"/>
        <v>2.0361477785416481E-3</v>
      </c>
      <c r="Y23" s="44" t="s">
        <v>217</v>
      </c>
      <c r="Z23" s="44" t="s">
        <v>214</v>
      </c>
      <c r="AA23" s="44" t="s">
        <v>215</v>
      </c>
      <c r="AC23" s="44" t="s">
        <v>217</v>
      </c>
      <c r="AD23" s="44" t="s">
        <v>214</v>
      </c>
      <c r="AE23" s="44" t="s">
        <v>215</v>
      </c>
    </row>
    <row r="24" spans="2:31">
      <c r="U24" s="1">
        <f t="shared" si="2"/>
        <v>44.18181818181818</v>
      </c>
      <c r="V24" s="1">
        <f t="shared" si="0"/>
        <v>4.0124690951094319E-3</v>
      </c>
      <c r="W24" s="1">
        <f t="shared" si="1"/>
        <v>3.3378132506082709E-3</v>
      </c>
      <c r="Y24" s="44" t="s">
        <v>216</v>
      </c>
      <c r="Z24" s="1">
        <f>$V$12-$W$12</f>
        <v>62</v>
      </c>
      <c r="AA24" s="1">
        <v>0</v>
      </c>
      <c r="AC24" s="44" t="s">
        <v>216</v>
      </c>
      <c r="AD24" s="1">
        <f>$V$12-$Y$12</f>
        <v>78.595283984193344</v>
      </c>
      <c r="AE24" s="1">
        <v>0</v>
      </c>
    </row>
    <row r="25" spans="2:31">
      <c r="U25" s="1">
        <f t="shared" si="2"/>
        <v>49.090909090909086</v>
      </c>
      <c r="V25" s="1">
        <f t="shared" si="0"/>
        <v>6.0428127835749435E-3</v>
      </c>
      <c r="W25" s="1">
        <f t="shared" si="1"/>
        <v>5.1516865249837916E-3</v>
      </c>
      <c r="Y25" s="44" t="s">
        <v>218</v>
      </c>
      <c r="Z25" s="1">
        <f>Z24</f>
        <v>62</v>
      </c>
      <c r="AA25" s="1">
        <f>IF(Y13,MAX($W$15:$W$47),0)</f>
        <v>1.9894431016018833E-2</v>
      </c>
      <c r="AC25" s="44" t="s">
        <v>218</v>
      </c>
      <c r="AD25" s="1">
        <f>AD24</f>
        <v>78.595283984193344</v>
      </c>
      <c r="AE25" s="1">
        <f>IF(AC13,MAX($W$15:$W$47),0)</f>
        <v>0</v>
      </c>
    </row>
    <row r="26" spans="2:31">
      <c r="U26" s="1">
        <f t="shared" si="2"/>
        <v>53.999999999999993</v>
      </c>
      <c r="V26" s="1">
        <f t="shared" si="0"/>
        <v>8.5684296023903657E-3</v>
      </c>
      <c r="W26" s="1">
        <f t="shared" si="1"/>
        <v>7.4863732817872387E-3</v>
      </c>
      <c r="Y26" s="44" t="s">
        <v>219</v>
      </c>
      <c r="Z26" s="44" t="s">
        <v>214</v>
      </c>
      <c r="AA26" s="44" t="s">
        <v>215</v>
      </c>
      <c r="AC26" s="44" t="s">
        <v>219</v>
      </c>
      <c r="AD26" s="44" t="s">
        <v>214</v>
      </c>
      <c r="AE26" s="44" t="s">
        <v>215</v>
      </c>
    </row>
    <row r="27" spans="2:31">
      <c r="U27" s="1">
        <f t="shared" si="2"/>
        <v>58.909090909090899</v>
      </c>
      <c r="V27" s="1">
        <f t="shared" si="0"/>
        <v>1.1439261324980412E-2</v>
      </c>
      <c r="W27" s="1">
        <f t="shared" si="1"/>
        <v>1.0243023799262131E-2</v>
      </c>
      <c r="Y27" s="44" t="s">
        <v>216</v>
      </c>
      <c r="Z27" s="1">
        <f>$V$12+$W$12</f>
        <v>102</v>
      </c>
      <c r="AA27" s="1">
        <v>0</v>
      </c>
      <c r="AC27" s="44" t="s">
        <v>216</v>
      </c>
      <c r="AD27" s="1">
        <f>$V$12+$Y$12</f>
        <v>85.404716015806656</v>
      </c>
      <c r="AE27" s="1">
        <v>0</v>
      </c>
    </row>
    <row r="28" spans="2:31">
      <c r="U28" s="1">
        <f t="shared" si="2"/>
        <v>63.818181818181806</v>
      </c>
      <c r="V28" s="1">
        <f t="shared" si="0"/>
        <v>1.4379023204720835E-2</v>
      </c>
      <c r="W28" s="1">
        <f t="shared" si="1"/>
        <v>1.3195308262186492E-2</v>
      </c>
      <c r="Y28" s="44" t="s">
        <v>218</v>
      </c>
      <c r="Z28" s="1">
        <f>Z27</f>
        <v>102</v>
      </c>
      <c r="AA28" s="1">
        <f>AA25</f>
        <v>1.9894431016018833E-2</v>
      </c>
      <c r="AC28" s="44" t="s">
        <v>218</v>
      </c>
      <c r="AD28" s="1">
        <f>AD27</f>
        <v>85.404716015806656</v>
      </c>
      <c r="AE28" s="1">
        <f>AE25</f>
        <v>0</v>
      </c>
    </row>
    <row r="29" spans="2:31">
      <c r="U29" s="1">
        <f t="shared" si="2"/>
        <v>68.72727272727272</v>
      </c>
      <c r="V29" s="1">
        <f t="shared" si="0"/>
        <v>1.7017487588748541E-2</v>
      </c>
      <c r="W29" s="1">
        <f t="shared" si="1"/>
        <v>1.6004626883487746E-2</v>
      </c>
      <c r="Y29" s="1" t="b">
        <v>1</v>
      </c>
    </row>
    <row r="30" spans="2:31">
      <c r="U30" s="1">
        <f t="shared" si="2"/>
        <v>73.636363636363626</v>
      </c>
      <c r="V30" s="1">
        <f t="shared" si="0"/>
        <v>1.8962524515457917E-2</v>
      </c>
      <c r="W30" s="1">
        <f t="shared" si="1"/>
        <v>1.8277055140371003E-2</v>
      </c>
      <c r="Y30" s="9" t="s">
        <v>226</v>
      </c>
    </row>
    <row r="31" spans="2:31">
      <c r="U31" s="1">
        <f t="shared" si="2"/>
        <v>78.545454545454533</v>
      </c>
      <c r="V31" s="1">
        <f t="shared" si="0"/>
        <v>1.9894431016018829E-2</v>
      </c>
      <c r="W31" s="1">
        <f t="shared" si="1"/>
        <v>1.9651764227432034E-2</v>
      </c>
      <c r="Y31" s="44" t="s">
        <v>217</v>
      </c>
      <c r="Z31" s="44" t="s">
        <v>214</v>
      </c>
      <c r="AA31" s="44" t="s">
        <v>215</v>
      </c>
    </row>
    <row r="32" spans="2:31">
      <c r="U32" s="1">
        <f t="shared" si="2"/>
        <v>83.454545454545439</v>
      </c>
      <c r="V32" s="1">
        <f t="shared" si="0"/>
        <v>1.9651764227432034E-2</v>
      </c>
      <c r="W32" s="1">
        <f t="shared" si="1"/>
        <v>1.9894431016018833E-2</v>
      </c>
      <c r="Y32" s="44" t="s">
        <v>216</v>
      </c>
      <c r="Z32" s="1">
        <f>AVERAGE($V$11,$V$12)-($C$6/2)</f>
        <v>76</v>
      </c>
      <c r="AA32" s="1">
        <v>0</v>
      </c>
    </row>
    <row r="33" spans="2:27">
      <c r="U33" s="1">
        <f t="shared" si="2"/>
        <v>88.363636363636346</v>
      </c>
      <c r="V33" s="1">
        <f t="shared" si="0"/>
        <v>1.8277055140371014E-2</v>
      </c>
      <c r="W33" s="1">
        <f t="shared" si="1"/>
        <v>1.8962524515457924E-2</v>
      </c>
      <c r="Y33" s="44" t="s">
        <v>218</v>
      </c>
      <c r="Z33" s="1">
        <f>Z32</f>
        <v>76</v>
      </c>
      <c r="AA33" s="1">
        <f>IF($Y$29,MAX($V$15:$W$47),0)</f>
        <v>1.9894431016018833E-2</v>
      </c>
    </row>
    <row r="34" spans="2:27">
      <c r="U34" s="1">
        <f t="shared" si="2"/>
        <v>93.272727272727252</v>
      </c>
      <c r="V34" s="1">
        <f t="shared" si="0"/>
        <v>1.6004626883487763E-2</v>
      </c>
      <c r="W34" s="1">
        <f t="shared" si="1"/>
        <v>1.7017487588748555E-2</v>
      </c>
      <c r="Y34" s="44" t="s">
        <v>219</v>
      </c>
      <c r="Z34" s="44" t="s">
        <v>214</v>
      </c>
      <c r="AA34" s="44" t="s">
        <v>215</v>
      </c>
    </row>
    <row r="35" spans="2:27">
      <c r="U35" s="1">
        <f t="shared" si="2"/>
        <v>98.181818181818159</v>
      </c>
      <c r="V35" s="1">
        <f t="shared" si="0"/>
        <v>1.3195308262186515E-2</v>
      </c>
      <c r="W35" s="1">
        <f t="shared" si="1"/>
        <v>1.4379023204720856E-2</v>
      </c>
      <c r="Y35" s="44" t="s">
        <v>216</v>
      </c>
      <c r="Z35" s="1">
        <f>AVERAGE($V$11,$V$12)+($C$6/2)</f>
        <v>86</v>
      </c>
      <c r="AA35" s="1">
        <v>0</v>
      </c>
    </row>
    <row r="36" spans="2:27">
      <c r="U36" s="1">
        <f t="shared" si="2"/>
        <v>103.09090909090907</v>
      </c>
      <c r="V36" s="1">
        <f t="shared" si="0"/>
        <v>1.024302379926215E-2</v>
      </c>
      <c r="W36" s="1">
        <f t="shared" si="1"/>
        <v>1.1439261324980434E-2</v>
      </c>
      <c r="Y36" s="44" t="s">
        <v>218</v>
      </c>
      <c r="Z36" s="1">
        <f>Z35</f>
        <v>86</v>
      </c>
      <c r="AA36" s="1">
        <f>AA33</f>
        <v>1.9894431016018833E-2</v>
      </c>
    </row>
    <row r="37" spans="2:27">
      <c r="U37" s="1">
        <f t="shared" si="2"/>
        <v>107.99999999999997</v>
      </c>
      <c r="V37" s="1">
        <f t="shared" si="0"/>
        <v>7.4863732817872586E-3</v>
      </c>
      <c r="W37" s="1">
        <f t="shared" si="1"/>
        <v>8.5684296023903848E-3</v>
      </c>
    </row>
    <row r="38" spans="2:27">
      <c r="U38" s="1">
        <f t="shared" si="2"/>
        <v>112.90909090909088</v>
      </c>
      <c r="V38" s="1">
        <f t="shared" si="0"/>
        <v>5.1516865249838055E-3</v>
      </c>
      <c r="W38" s="1">
        <f t="shared" si="1"/>
        <v>6.0428127835749608E-3</v>
      </c>
    </row>
    <row r="39" spans="2:27">
      <c r="U39" s="1">
        <f t="shared" si="2"/>
        <v>117.81818181818178</v>
      </c>
      <c r="V39" s="1">
        <f t="shared" si="0"/>
        <v>3.3378132506082818E-3</v>
      </c>
      <c r="W39" s="1">
        <f t="shared" si="1"/>
        <v>4.0124690951094449E-3</v>
      </c>
    </row>
    <row r="40" spans="2:27">
      <c r="U40" s="1">
        <f t="shared" si="2"/>
        <v>122.72727272727269</v>
      </c>
      <c r="V40" s="1">
        <f t="shared" si="0"/>
        <v>2.0361477785416551E-3</v>
      </c>
      <c r="W40" s="1">
        <f t="shared" si="1"/>
        <v>2.5085277881360122E-3</v>
      </c>
    </row>
    <row r="41" spans="2:27" ht="20.25" customHeight="1">
      <c r="U41" s="1">
        <f t="shared" si="2"/>
        <v>127.6363636363636</v>
      </c>
      <c r="V41" s="1">
        <f t="shared" si="0"/>
        <v>1.1694757209192513E-3</v>
      </c>
      <c r="W41" s="1">
        <f t="shared" si="1"/>
        <v>1.4765929376495534E-3</v>
      </c>
    </row>
    <row r="42" spans="2:27">
      <c r="U42" s="1">
        <f t="shared" si="2"/>
        <v>132.5454545454545</v>
      </c>
      <c r="V42" s="1">
        <f t="shared" si="0"/>
        <v>6.3242318049965148E-4</v>
      </c>
      <c r="W42" s="1">
        <f t="shared" si="1"/>
        <v>8.1834665642960172E-4</v>
      </c>
    </row>
    <row r="43" spans="2:27">
      <c r="U43" s="1">
        <f t="shared" si="2"/>
        <v>137.45454545454541</v>
      </c>
      <c r="V43" s="1">
        <f t="shared" si="0"/>
        <v>3.2200232289244482E-4</v>
      </c>
      <c r="W43" s="1">
        <f t="shared" si="1"/>
        <v>4.2702027167173552E-4</v>
      </c>
    </row>
    <row r="44" spans="2:27">
      <c r="U44" s="1">
        <f t="shared" si="2"/>
        <v>142.36363636363632</v>
      </c>
      <c r="V44" s="1">
        <f t="shared" si="0"/>
        <v>1.5436359491899078E-4</v>
      </c>
      <c r="W44" s="1">
        <f t="shared" si="1"/>
        <v>2.0979461060970596E-4</v>
      </c>
    </row>
    <row r="45" spans="2:27">
      <c r="U45" s="1">
        <f t="shared" si="2"/>
        <v>147.27272727272722</v>
      </c>
      <c r="V45" s="1">
        <f t="shared" si="0"/>
        <v>6.9673145586174635E-5</v>
      </c>
      <c r="W45" s="1">
        <f t="shared" si="1"/>
        <v>9.7045369327589687E-5</v>
      </c>
    </row>
    <row r="46" spans="2:27" ht="18">
      <c r="B46" s="28" t="s">
        <v>123</v>
      </c>
      <c r="U46" s="1">
        <f t="shared" si="2"/>
        <v>152.18181818181813</v>
      </c>
      <c r="V46" s="1">
        <f t="shared" si="0"/>
        <v>2.9608786430913916E-5</v>
      </c>
      <c r="W46" s="1">
        <f t="shared" si="1"/>
        <v>4.2265884475912909E-5</v>
      </c>
    </row>
    <row r="47" spans="2:27">
      <c r="U47" s="1">
        <f t="shared" si="2"/>
        <v>157.09090909090904</v>
      </c>
      <c r="V47" s="1">
        <f t="shared" si="0"/>
        <v>1.1847056269290331E-5</v>
      </c>
      <c r="W47" s="1">
        <f t="shared" si="1"/>
        <v>1.733164404257488E-5</v>
      </c>
    </row>
    <row r="62" spans="2:7">
      <c r="B62" s="9" t="s">
        <v>125</v>
      </c>
    </row>
    <row r="64" spans="2:7">
      <c r="G64" s="6"/>
    </row>
    <row r="65" spans="7:7">
      <c r="G65" s="6"/>
    </row>
    <row r="66" spans="7:7">
      <c r="G66" s="6"/>
    </row>
    <row r="67" spans="7:7">
      <c r="G67"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SS_Probt">
                <anchor moveWithCells="1" sizeWithCells="1">
                  <from>
                    <xdr:col>1</xdr:col>
                    <xdr:colOff>95250</xdr:colOff>
                    <xdr:row>21</xdr:row>
                    <xdr:rowOff>76200</xdr:rowOff>
                  </from>
                  <to>
                    <xdr:col>2</xdr:col>
                    <xdr:colOff>533400</xdr:colOff>
                    <xdr:row>23</xdr:row>
                    <xdr:rowOff>19050</xdr:rowOff>
                  </to>
                </anchor>
              </controlPr>
            </control>
          </mc:Choice>
        </mc:AlternateContent>
        <mc:AlternateContent xmlns:mc="http://schemas.openxmlformats.org/markup-compatibility/2006">
          <mc:Choice Requires="x14">
            <control shapeId="16389" r:id="rId4" name="Button 5">
              <controlPr defaultSize="0" print="0" autoFill="0" autoPict="0" macro="[0]!SS_Boss">
                <anchor moveWithCells="1" sizeWithCells="1">
                  <from>
                    <xdr:col>2</xdr:col>
                    <xdr:colOff>609600</xdr:colOff>
                    <xdr:row>21</xdr:row>
                    <xdr:rowOff>76200</xdr:rowOff>
                  </from>
                  <to>
                    <xdr:col>4</xdr:col>
                    <xdr:colOff>0</xdr:colOff>
                    <xdr:row>23</xdr:row>
                    <xdr:rowOff>19050</xdr:rowOff>
                  </to>
                </anchor>
              </controlPr>
            </control>
          </mc:Choice>
        </mc:AlternateContent>
        <mc:AlternateContent xmlns:mc="http://schemas.openxmlformats.org/markup-compatibility/2006">
          <mc:Choice Requires="x14">
            <control shapeId="16393" r:id="rId5" name="Check Box 9">
              <controlPr defaultSize="0" autoFill="0" autoLine="0" autoPict="0">
                <anchor moveWithCells="1">
                  <from>
                    <xdr:col>10</xdr:col>
                    <xdr:colOff>361950</xdr:colOff>
                    <xdr:row>7</xdr:row>
                    <xdr:rowOff>209550</xdr:rowOff>
                  </from>
                  <to>
                    <xdr:col>11</xdr:col>
                    <xdr:colOff>514350</xdr:colOff>
                    <xdr:row>9</xdr:row>
                    <xdr:rowOff>38100</xdr:rowOff>
                  </to>
                </anchor>
              </controlPr>
            </control>
          </mc:Choice>
        </mc:AlternateContent>
        <mc:AlternateContent xmlns:mc="http://schemas.openxmlformats.org/markup-compatibility/2006">
          <mc:Choice Requires="x14">
            <control shapeId="16394" r:id="rId6" name="Check Box 10">
              <controlPr defaultSize="0" autoFill="0" autoLine="0" autoPict="0">
                <anchor moveWithCells="1">
                  <from>
                    <xdr:col>10</xdr:col>
                    <xdr:colOff>361950</xdr:colOff>
                    <xdr:row>9</xdr:row>
                    <xdr:rowOff>38100</xdr:rowOff>
                  </from>
                  <to>
                    <xdr:col>11</xdr:col>
                    <xdr:colOff>514350</xdr:colOff>
                    <xdr:row>10</xdr:row>
                    <xdr:rowOff>57150</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361950</xdr:colOff>
                    <xdr:row>10</xdr:row>
                    <xdr:rowOff>57150</xdr:rowOff>
                  </from>
                  <to>
                    <xdr:col>11</xdr:col>
                    <xdr:colOff>514350</xdr:colOff>
                    <xdr:row>11</xdr:row>
                    <xdr:rowOff>95250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72</v>
      </c>
      <c r="F1" s="9" t="s">
        <v>122</v>
      </c>
    </row>
    <row r="2" spans="2:31" ht="13.5" thickBot="1">
      <c r="B2" s="1" t="s">
        <v>1</v>
      </c>
      <c r="C2" s="2">
        <v>0.9</v>
      </c>
      <c r="D2" s="1" t="s">
        <v>21</v>
      </c>
      <c r="N2" s="44"/>
    </row>
    <row r="3" spans="2:31" ht="16.5" thickBot="1">
      <c r="B3" s="1" t="s">
        <v>22</v>
      </c>
      <c r="C3" s="3">
        <v>1</v>
      </c>
      <c r="D3" s="1" t="s">
        <v>23</v>
      </c>
    </row>
    <row r="4" spans="2:31" ht="13.5" thickBot="1">
      <c r="B4" s="8" t="s">
        <v>59</v>
      </c>
      <c r="C4" s="13">
        <v>2.5000000000000001E-2</v>
      </c>
      <c r="D4" s="1" t="s">
        <v>20</v>
      </c>
    </row>
    <row r="5" spans="2:31" ht="13.5" thickBot="1">
      <c r="B5" s="8" t="s">
        <v>18</v>
      </c>
      <c r="C5" s="3">
        <v>40</v>
      </c>
      <c r="D5" s="1" t="s">
        <v>19</v>
      </c>
      <c r="U5" s="1" t="s">
        <v>56</v>
      </c>
    </row>
    <row r="6" spans="2:31" ht="16.5" thickBot="1">
      <c r="B6" s="1" t="s">
        <v>17</v>
      </c>
      <c r="C6" s="3">
        <v>10</v>
      </c>
      <c r="D6" s="1" t="s">
        <v>29</v>
      </c>
      <c r="U6" s="1">
        <v>2</v>
      </c>
    </row>
    <row r="7" spans="2:31" ht="16.5" thickBot="1">
      <c r="B7" s="12" t="s">
        <v>5</v>
      </c>
      <c r="C7" s="3">
        <v>-2</v>
      </c>
      <c r="D7" s="44" t="s">
        <v>232</v>
      </c>
      <c r="K7" s="9" t="str">
        <f>IF(C7&gt;=C6,"WARNING: Expected mean difference higher than maximum allowable difference.","")</f>
        <v/>
      </c>
    </row>
    <row r="8" spans="2:31" ht="13.5" thickBot="1">
      <c r="B8" s="12" t="s">
        <v>118</v>
      </c>
      <c r="C8" s="11">
        <f>C6/C5</f>
        <v>0.25</v>
      </c>
    </row>
    <row r="10" spans="2:31" ht="13.5" thickBot="1">
      <c r="B10" s="8" t="s">
        <v>18</v>
      </c>
      <c r="C10" s="1">
        <f>C5</f>
        <v>40</v>
      </c>
      <c r="V10" s="44" t="s">
        <v>212</v>
      </c>
      <c r="W10" s="44" t="s">
        <v>210</v>
      </c>
      <c r="X10" s="44" t="s">
        <v>213</v>
      </c>
      <c r="Y10" s="44" t="s">
        <v>211</v>
      </c>
      <c r="AA10" s="44" t="s">
        <v>224</v>
      </c>
      <c r="AB10" s="44" t="s">
        <v>225</v>
      </c>
    </row>
    <row r="11" spans="2:31" ht="13.5" thickBot="1">
      <c r="B11" s="1" t="s">
        <v>16</v>
      </c>
      <c r="C11" s="7">
        <v>235</v>
      </c>
      <c r="U11" s="44" t="s">
        <v>206</v>
      </c>
      <c r="V11" s="30">
        <f>4*C5</f>
        <v>160</v>
      </c>
      <c r="W11" s="1">
        <f>$C$5</f>
        <v>40</v>
      </c>
      <c r="X11" s="1">
        <f>W11/SQRT(C20)</f>
        <v>2.6093122922137688</v>
      </c>
      <c r="Y11" s="1">
        <f>TINV($C$4*2,$C$20-2)*X11</f>
        <v>5.1408608130890698</v>
      </c>
      <c r="AA11" s="1">
        <f>V12+4*W12</f>
        <v>318</v>
      </c>
      <c r="AB11" s="1">
        <f>AA11/33</f>
        <v>9.6363636363636367</v>
      </c>
    </row>
    <row r="12" spans="2:31" ht="13.5" thickBot="1">
      <c r="B12" s="1" t="s">
        <v>15</v>
      </c>
      <c r="C12" s="1">
        <f>C11*(C3+1)-2</f>
        <v>468</v>
      </c>
      <c r="U12" s="44" t="s">
        <v>207</v>
      </c>
      <c r="V12" s="30">
        <f>V11+C7</f>
        <v>158</v>
      </c>
      <c r="W12" s="1">
        <f>$C$5</f>
        <v>40</v>
      </c>
      <c r="X12" s="1">
        <f>W12/SQRT(C20)</f>
        <v>2.6093122922137688</v>
      </c>
      <c r="Y12" s="1">
        <f>TINV($C$4*2,$C$20-2)*X12</f>
        <v>5.1408608130890698</v>
      </c>
    </row>
    <row r="13" spans="2:31">
      <c r="B13" s="1" t="s">
        <v>27</v>
      </c>
      <c r="C13" s="1">
        <f>TINV(C4*2,C12)</f>
        <v>1.9650458518371487</v>
      </c>
      <c r="Y13" s="1" t="b">
        <v>1</v>
      </c>
      <c r="AC13" s="1" t="b">
        <v>0</v>
      </c>
    </row>
    <row r="14" spans="2:31">
      <c r="B14" s="1" t="s">
        <v>4</v>
      </c>
      <c r="C14" s="1">
        <f>ABS((C7-C6)*SQRT(C3*C11)/SQRT((C3+1)*C10^2))</f>
        <v>3.2519225083018197</v>
      </c>
      <c r="U14" s="44" t="s">
        <v>205</v>
      </c>
      <c r="V14" s="44" t="s">
        <v>208</v>
      </c>
      <c r="W14" s="44" t="s">
        <v>209</v>
      </c>
      <c r="Y14" s="9" t="s">
        <v>220</v>
      </c>
      <c r="AC14" s="9" t="s">
        <v>222</v>
      </c>
    </row>
    <row r="15" spans="2:31">
      <c r="U15" s="1">
        <v>0</v>
      </c>
      <c r="V15" s="1">
        <f>_xlfn.NORM.DIST($U15,$V$11,$C$5,FALSE)</f>
        <v>3.3457556441221339E-6</v>
      </c>
      <c r="W15" s="1">
        <f>_xlfn.NORM.DIST($U15,$V$12,$C$5,FALSE)</f>
        <v>4.0814102191560501E-6</v>
      </c>
      <c r="Y15" s="44" t="s">
        <v>217</v>
      </c>
      <c r="Z15" s="44" t="s">
        <v>214</v>
      </c>
      <c r="AA15" s="44" t="s">
        <v>215</v>
      </c>
      <c r="AC15" s="44" t="s">
        <v>217</v>
      </c>
      <c r="AD15" s="44" t="s">
        <v>214</v>
      </c>
      <c r="AE15" s="44" t="s">
        <v>215</v>
      </c>
    </row>
    <row r="16" spans="2:31">
      <c r="U16" s="1">
        <f>U15+$AB$11</f>
        <v>9.6363636363636367</v>
      </c>
      <c r="V16" s="1">
        <f t="shared" ref="V16:V47" si="0">_xlfn.NORM.DIST($U16,$V$11,$C$5,FALSE)</f>
        <v>8.5190969142286929E-6</v>
      </c>
      <c r="W16" s="1">
        <f t="shared" ref="W16:W47" si="1">_xlfn.NORM.DIST($U16,$V$12,$C$5,FALSE)</f>
        <v>1.0267821561026E-5</v>
      </c>
      <c r="Y16" s="44" t="s">
        <v>216</v>
      </c>
      <c r="Z16" s="1">
        <f>$V$11-$W$11</f>
        <v>120</v>
      </c>
      <c r="AA16" s="1">
        <v>0</v>
      </c>
      <c r="AC16" s="44" t="s">
        <v>216</v>
      </c>
      <c r="AD16" s="1">
        <f>$V$11-$Y$11</f>
        <v>154.85913918691094</v>
      </c>
      <c r="AE16" s="1">
        <v>0</v>
      </c>
    </row>
    <row r="17" spans="2:31">
      <c r="B17" s="1" t="s">
        <v>6</v>
      </c>
      <c r="C17" s="1">
        <f>NCt(C13,C12,C14)</f>
        <v>9.9347554958457623E-2</v>
      </c>
      <c r="U17" s="1">
        <f t="shared" ref="U17:U47" si="2">U16+$AB$11</f>
        <v>19.272727272727273</v>
      </c>
      <c r="V17" s="1">
        <f t="shared" si="0"/>
        <v>2.0468577754506402E-5</v>
      </c>
      <c r="W17" s="1">
        <f t="shared" si="1"/>
        <v>2.4374804800377278E-5</v>
      </c>
      <c r="Y17" s="44" t="s">
        <v>218</v>
      </c>
      <c r="Z17" s="1">
        <f>Z16</f>
        <v>120</v>
      </c>
      <c r="AA17" s="1">
        <f>IF(Y13,MAX($V$15:$V$47),0)</f>
        <v>9.928222971854481E-3</v>
      </c>
      <c r="AC17" s="44" t="s">
        <v>218</v>
      </c>
      <c r="AD17" s="1">
        <f>AD16</f>
        <v>154.85913918691094</v>
      </c>
      <c r="AE17" s="1">
        <f>IF(AC13,MAX($V$15:$V$47),0)</f>
        <v>0</v>
      </c>
    </row>
    <row r="18" spans="2:31">
      <c r="B18" s="1" t="s">
        <v>58</v>
      </c>
      <c r="C18" s="1">
        <f>1-C17</f>
        <v>0.9006524450415424</v>
      </c>
      <c r="E18" s="5"/>
      <c r="U18" s="1">
        <f t="shared" si="2"/>
        <v>28.90909090909091</v>
      </c>
      <c r="V18" s="1">
        <f t="shared" si="0"/>
        <v>4.6406257320390733E-5</v>
      </c>
      <c r="W18" s="1">
        <f t="shared" si="1"/>
        <v>5.4600767670238093E-5</v>
      </c>
      <c r="Y18" s="44" t="s">
        <v>219</v>
      </c>
      <c r="Z18" s="44" t="s">
        <v>214</v>
      </c>
      <c r="AA18" s="44" t="s">
        <v>215</v>
      </c>
      <c r="AC18" s="44" t="s">
        <v>219</v>
      </c>
      <c r="AD18" s="44" t="s">
        <v>214</v>
      </c>
      <c r="AE18" s="44" t="s">
        <v>215</v>
      </c>
    </row>
    <row r="19" spans="2:31" ht="14.25">
      <c r="C19" s="16" t="s">
        <v>63</v>
      </c>
      <c r="D19" s="16" t="s">
        <v>64</v>
      </c>
      <c r="E19" s="16" t="s">
        <v>66</v>
      </c>
      <c r="U19" s="1">
        <f t="shared" si="2"/>
        <v>38.545454545454547</v>
      </c>
      <c r="V19" s="1">
        <f t="shared" si="0"/>
        <v>9.9279638982201362E-5</v>
      </c>
      <c r="W19" s="1">
        <f t="shared" si="1"/>
        <v>1.1541204057253558E-4</v>
      </c>
      <c r="Y19" s="44" t="s">
        <v>216</v>
      </c>
      <c r="Z19" s="1">
        <f>$V$11+$W$11</f>
        <v>200</v>
      </c>
      <c r="AA19" s="1">
        <v>0</v>
      </c>
      <c r="AC19" s="44" t="s">
        <v>216</v>
      </c>
      <c r="AD19" s="1">
        <f>$V$11+$Y$11</f>
        <v>165.14086081308906</v>
      </c>
      <c r="AE19" s="1">
        <v>0</v>
      </c>
    </row>
    <row r="20" spans="2:31">
      <c r="B20" s="1" t="s">
        <v>11</v>
      </c>
      <c r="C20" s="1">
        <f>CEILING(C11,1)</f>
        <v>235</v>
      </c>
      <c r="D20" s="1">
        <f>C20*C3</f>
        <v>235</v>
      </c>
      <c r="E20" s="1">
        <f>C20+D20</f>
        <v>470</v>
      </c>
      <c r="U20" s="1">
        <f t="shared" si="2"/>
        <v>48.181818181818187</v>
      </c>
      <c r="V20" s="1">
        <f t="shared" si="0"/>
        <v>2.0041886726227857E-4</v>
      </c>
      <c r="W20" s="1">
        <f t="shared" si="1"/>
        <v>2.3019625784842797E-4</v>
      </c>
      <c r="Y20" s="44" t="s">
        <v>218</v>
      </c>
      <c r="Z20" s="1">
        <f>Z19</f>
        <v>200</v>
      </c>
      <c r="AA20" s="1">
        <f>AA17</f>
        <v>9.928222971854481E-3</v>
      </c>
      <c r="AC20" s="44" t="s">
        <v>218</v>
      </c>
      <c r="AD20" s="1">
        <f>AD19</f>
        <v>165.14086081308906</v>
      </c>
      <c r="AE20" s="1">
        <f>AE17</f>
        <v>0</v>
      </c>
    </row>
    <row r="21" spans="2:31">
      <c r="U21" s="1">
        <f t="shared" si="2"/>
        <v>57.818181818181827</v>
      </c>
      <c r="V21" s="1">
        <f t="shared" si="0"/>
        <v>3.8177878002529109E-4</v>
      </c>
      <c r="W21" s="1">
        <f t="shared" si="1"/>
        <v>4.3325159224338075E-4</v>
      </c>
    </row>
    <row r="22" spans="2:31">
      <c r="U22" s="1">
        <f t="shared" si="2"/>
        <v>67.454545454545467</v>
      </c>
      <c r="V22" s="1">
        <f t="shared" si="0"/>
        <v>6.8624585935270525E-4</v>
      </c>
      <c r="W22" s="1">
        <f t="shared" si="1"/>
        <v>7.6944369311148593E-4</v>
      </c>
      <c r="Y22" s="9" t="s">
        <v>221</v>
      </c>
      <c r="AC22" s="9" t="s">
        <v>223</v>
      </c>
    </row>
    <row r="23" spans="2:31">
      <c r="U23" s="1">
        <f t="shared" si="2"/>
        <v>77.090909090909108</v>
      </c>
      <c r="V23" s="1">
        <f t="shared" si="0"/>
        <v>1.1639717952255752E-3</v>
      </c>
      <c r="W23" s="1">
        <f t="shared" si="1"/>
        <v>1.2894612322899819E-3</v>
      </c>
      <c r="Y23" s="44" t="s">
        <v>217</v>
      </c>
      <c r="Z23" s="44" t="s">
        <v>214</v>
      </c>
      <c r="AA23" s="44" t="s">
        <v>215</v>
      </c>
      <c r="AC23" s="44" t="s">
        <v>217</v>
      </c>
      <c r="AD23" s="44" t="s">
        <v>214</v>
      </c>
      <c r="AE23" s="44" t="s">
        <v>215</v>
      </c>
    </row>
    <row r="24" spans="2:31">
      <c r="U24" s="1">
        <f t="shared" si="2"/>
        <v>86.727272727272748</v>
      </c>
      <c r="V24" s="1">
        <f t="shared" si="0"/>
        <v>1.8629446220754387E-3</v>
      </c>
      <c r="W24" s="1">
        <f t="shared" si="1"/>
        <v>2.0390811202563343E-3</v>
      </c>
      <c r="Y24" s="44" t="s">
        <v>216</v>
      </c>
      <c r="Z24" s="1">
        <f>$V$12-$W$12</f>
        <v>118</v>
      </c>
      <c r="AA24" s="1">
        <v>0</v>
      </c>
      <c r="AC24" s="44" t="s">
        <v>216</v>
      </c>
      <c r="AD24" s="1">
        <f>$V$12-$Y$12</f>
        <v>152.85913918691094</v>
      </c>
      <c r="AE24" s="1">
        <v>0</v>
      </c>
    </row>
    <row r="25" spans="2:31">
      <c r="U25" s="1">
        <f t="shared" si="2"/>
        <v>96.363636363636388</v>
      </c>
      <c r="V25" s="1">
        <f t="shared" si="0"/>
        <v>2.8135342236326626E-3</v>
      </c>
      <c r="W25" s="1">
        <f t="shared" si="1"/>
        <v>3.0426744393168446E-3</v>
      </c>
      <c r="Y25" s="44" t="s">
        <v>218</v>
      </c>
      <c r="Z25" s="1">
        <f>Z24</f>
        <v>118</v>
      </c>
      <c r="AA25" s="1">
        <f>IF(Y13,MAX($W$15:$W$47),0)</f>
        <v>9.928222971854481E-3</v>
      </c>
      <c r="AC25" s="44" t="s">
        <v>218</v>
      </c>
      <c r="AD25" s="1">
        <f>AD24</f>
        <v>152.85913918691094</v>
      </c>
      <c r="AE25" s="1">
        <f>IF(AC13,MAX($W$15:$W$47),0)</f>
        <v>0</v>
      </c>
    </row>
    <row r="26" spans="2:31">
      <c r="U26" s="1">
        <f t="shared" si="2"/>
        <v>106.00000000000003</v>
      </c>
      <c r="V26" s="1">
        <f t="shared" si="0"/>
        <v>4.0095831835479942E-3</v>
      </c>
      <c r="W26" s="1">
        <f t="shared" si="1"/>
        <v>4.2842148011951872E-3</v>
      </c>
      <c r="Y26" s="44" t="s">
        <v>219</v>
      </c>
      <c r="Z26" s="44" t="s">
        <v>214</v>
      </c>
      <c r="AA26" s="44" t="s">
        <v>215</v>
      </c>
      <c r="AC26" s="44" t="s">
        <v>219</v>
      </c>
      <c r="AD26" s="44" t="s">
        <v>214</v>
      </c>
      <c r="AE26" s="44" t="s">
        <v>215</v>
      </c>
    </row>
    <row r="27" spans="2:31">
      <c r="U27" s="1">
        <f t="shared" si="2"/>
        <v>115.63636363636367</v>
      </c>
      <c r="V27" s="1">
        <f t="shared" si="0"/>
        <v>5.3918899813496695E-3</v>
      </c>
      <c r="W27" s="1">
        <f t="shared" si="1"/>
        <v>5.6922210507011541E-3</v>
      </c>
      <c r="Y27" s="44" t="s">
        <v>216</v>
      </c>
      <c r="Z27" s="1">
        <f>$V$12+$W$12</f>
        <v>198</v>
      </c>
      <c r="AA27" s="1">
        <v>0</v>
      </c>
      <c r="AC27" s="44" t="s">
        <v>216</v>
      </c>
      <c r="AD27" s="1">
        <f>$V$12+$Y$12</f>
        <v>163.14086081308906</v>
      </c>
      <c r="AE27" s="1">
        <v>0</v>
      </c>
    </row>
    <row r="28" spans="2:31">
      <c r="U28" s="1">
        <f t="shared" si="2"/>
        <v>125.27272727272731</v>
      </c>
      <c r="V28" s="1">
        <f t="shared" si="0"/>
        <v>6.8419135888044902E-3</v>
      </c>
      <c r="W28" s="1">
        <f t="shared" si="1"/>
        <v>7.1365291724601312E-3</v>
      </c>
      <c r="Y28" s="44" t="s">
        <v>218</v>
      </c>
      <c r="Z28" s="1">
        <f>Z27</f>
        <v>198</v>
      </c>
      <c r="AA28" s="1">
        <f>AA25</f>
        <v>9.928222971854481E-3</v>
      </c>
      <c r="AC28" s="44" t="s">
        <v>218</v>
      </c>
      <c r="AD28" s="1">
        <f>AD27</f>
        <v>163.14086081308906</v>
      </c>
      <c r="AE28" s="1">
        <f>AE25</f>
        <v>0</v>
      </c>
    </row>
    <row r="29" spans="2:31">
      <c r="U29" s="1">
        <f t="shared" si="2"/>
        <v>134.90909090909093</v>
      </c>
      <c r="V29" s="1">
        <f t="shared" si="0"/>
        <v>8.1923578849734564E-3</v>
      </c>
      <c r="W29" s="1">
        <f t="shared" si="1"/>
        <v>8.442811682249288E-3</v>
      </c>
      <c r="Y29" s="1" t="b">
        <v>1</v>
      </c>
    </row>
    <row r="30" spans="2:31">
      <c r="U30" s="1">
        <f t="shared" si="2"/>
        <v>144.54545454545456</v>
      </c>
      <c r="V30" s="1">
        <f t="shared" si="0"/>
        <v>9.2562487307598553E-3</v>
      </c>
      <c r="W30" s="1">
        <f t="shared" si="1"/>
        <v>9.4250123504863344E-3</v>
      </c>
      <c r="Y30" s="9" t="s">
        <v>226</v>
      </c>
    </row>
    <row r="31" spans="2:31">
      <c r="U31" s="1">
        <f t="shared" si="2"/>
        <v>154.18181818181819</v>
      </c>
      <c r="V31" s="1">
        <f t="shared" si="0"/>
        <v>9.8686076960690251E-3</v>
      </c>
      <c r="W31" s="1">
        <f t="shared" si="1"/>
        <v>9.928222971854481E-3</v>
      </c>
      <c r="Y31" s="44" t="s">
        <v>217</v>
      </c>
      <c r="Z31" s="44" t="s">
        <v>214</v>
      </c>
      <c r="AA31" s="44" t="s">
        <v>215</v>
      </c>
    </row>
    <row r="32" spans="2:31">
      <c r="U32" s="1">
        <f t="shared" si="2"/>
        <v>163.81818181818181</v>
      </c>
      <c r="V32" s="1">
        <f t="shared" si="0"/>
        <v>9.928222971854481E-3</v>
      </c>
      <c r="W32" s="1">
        <f t="shared" si="1"/>
        <v>9.8686076960690251E-3</v>
      </c>
      <c r="Y32" s="44" t="s">
        <v>216</v>
      </c>
      <c r="Z32" s="1">
        <f>$V$12-$C$6</f>
        <v>148</v>
      </c>
      <c r="AA32" s="1">
        <v>0</v>
      </c>
    </row>
    <row r="33" spans="2:27">
      <c r="U33" s="1">
        <f t="shared" si="2"/>
        <v>173.45454545454544</v>
      </c>
      <c r="V33" s="1">
        <f t="shared" si="0"/>
        <v>9.4250123504863344E-3</v>
      </c>
      <c r="W33" s="1">
        <f t="shared" si="1"/>
        <v>9.2562487307598553E-3</v>
      </c>
      <c r="Y33" s="44" t="s">
        <v>218</v>
      </c>
      <c r="Z33" s="1">
        <f>Z32</f>
        <v>148</v>
      </c>
      <c r="AA33" s="1">
        <f>IF($Y$29,MAX($V$15:$W$47),0)</f>
        <v>9.928222971854481E-3</v>
      </c>
    </row>
    <row r="34" spans="2:27">
      <c r="U34" s="1">
        <f t="shared" si="2"/>
        <v>183.09090909090907</v>
      </c>
      <c r="V34" s="1">
        <f t="shared" si="0"/>
        <v>8.442811682249288E-3</v>
      </c>
      <c r="W34" s="1">
        <f t="shared" si="1"/>
        <v>8.1923578849734564E-3</v>
      </c>
      <c r="Y34" s="44" t="s">
        <v>219</v>
      </c>
      <c r="Z34" s="44" t="s">
        <v>214</v>
      </c>
      <c r="AA34" s="44" t="s">
        <v>215</v>
      </c>
    </row>
    <row r="35" spans="2:27">
      <c r="U35" s="1">
        <f t="shared" si="2"/>
        <v>192.72727272727269</v>
      </c>
      <c r="V35" s="1">
        <f t="shared" si="0"/>
        <v>7.1365291724601312E-3</v>
      </c>
      <c r="W35" s="1">
        <f t="shared" si="1"/>
        <v>6.8419135888044902E-3</v>
      </c>
      <c r="Y35" s="44" t="s">
        <v>216</v>
      </c>
      <c r="Z35" s="1">
        <f>$V$12+$C$6</f>
        <v>168</v>
      </c>
      <c r="AA35" s="1">
        <v>0</v>
      </c>
    </row>
    <row r="36" spans="2:27" ht="20.25" customHeight="1">
      <c r="U36" s="1">
        <f t="shared" si="2"/>
        <v>202.36363636363632</v>
      </c>
      <c r="V36" s="1">
        <f t="shared" si="0"/>
        <v>5.692221050701155E-3</v>
      </c>
      <c r="W36" s="1">
        <f t="shared" si="1"/>
        <v>5.3918899813496703E-3</v>
      </c>
      <c r="Y36" s="44" t="s">
        <v>218</v>
      </c>
      <c r="Z36" s="1">
        <f>Z35</f>
        <v>168</v>
      </c>
      <c r="AA36" s="1">
        <f>AA33</f>
        <v>9.928222971854481E-3</v>
      </c>
    </row>
    <row r="37" spans="2:27">
      <c r="U37" s="1">
        <f t="shared" si="2"/>
        <v>211.99999999999994</v>
      </c>
      <c r="V37" s="1">
        <f t="shared" si="0"/>
        <v>4.2842148011951924E-3</v>
      </c>
      <c r="W37" s="1">
        <f t="shared" si="1"/>
        <v>4.0095831835479986E-3</v>
      </c>
    </row>
    <row r="38" spans="2:27">
      <c r="U38" s="1">
        <f t="shared" si="2"/>
        <v>221.63636363636357</v>
      </c>
      <c r="V38" s="1">
        <f t="shared" si="0"/>
        <v>3.0426744393168489E-3</v>
      </c>
      <c r="W38" s="1">
        <f t="shared" si="1"/>
        <v>2.8135342236326679E-3</v>
      </c>
    </row>
    <row r="39" spans="2:27">
      <c r="U39" s="1">
        <f t="shared" si="2"/>
        <v>231.2727272727272</v>
      </c>
      <c r="V39" s="1">
        <f t="shared" si="0"/>
        <v>2.0390811202563391E-3</v>
      </c>
      <c r="W39" s="1">
        <f t="shared" si="1"/>
        <v>1.8629446220754442E-3</v>
      </c>
    </row>
    <row r="40" spans="2:27">
      <c r="U40" s="1">
        <f t="shared" si="2"/>
        <v>240.90909090909082</v>
      </c>
      <c r="V40" s="1">
        <f t="shared" si="0"/>
        <v>1.2894612322899865E-3</v>
      </c>
      <c r="W40" s="1">
        <f t="shared" si="1"/>
        <v>1.16397179522558E-3</v>
      </c>
    </row>
    <row r="41" spans="2:27" ht="18">
      <c r="B41" s="28" t="s">
        <v>123</v>
      </c>
      <c r="U41" s="1">
        <f t="shared" si="2"/>
        <v>250.54545454545445</v>
      </c>
      <c r="V41" s="1">
        <f t="shared" si="0"/>
        <v>7.6944369311148962E-4</v>
      </c>
      <c r="W41" s="1">
        <f t="shared" si="1"/>
        <v>6.8624585935270883E-4</v>
      </c>
    </row>
    <row r="42" spans="2:27">
      <c r="U42" s="1">
        <f t="shared" si="2"/>
        <v>260.18181818181807</v>
      </c>
      <c r="V42" s="1">
        <f t="shared" si="0"/>
        <v>4.3325159224338357E-4</v>
      </c>
      <c r="W42" s="1">
        <f t="shared" si="1"/>
        <v>3.8177878002529332E-4</v>
      </c>
    </row>
    <row r="43" spans="2:27">
      <c r="U43" s="1">
        <f t="shared" si="2"/>
        <v>269.8181818181817</v>
      </c>
      <c r="V43" s="1">
        <f t="shared" si="0"/>
        <v>2.3019625784842962E-4</v>
      </c>
      <c r="W43" s="1">
        <f t="shared" si="1"/>
        <v>2.0041886726228031E-4</v>
      </c>
    </row>
    <row r="44" spans="2:27">
      <c r="U44" s="1">
        <f t="shared" si="2"/>
        <v>279.45454545454533</v>
      </c>
      <c r="V44" s="1">
        <f t="shared" si="0"/>
        <v>1.154120405725367E-4</v>
      </c>
      <c r="W44" s="1">
        <f t="shared" si="1"/>
        <v>9.9279638982202243E-5</v>
      </c>
    </row>
    <row r="45" spans="2:27">
      <c r="U45" s="1">
        <f t="shared" si="2"/>
        <v>289.09090909090895</v>
      </c>
      <c r="V45" s="1">
        <f t="shared" si="0"/>
        <v>5.4600767670238723E-5</v>
      </c>
      <c r="W45" s="1">
        <f t="shared" si="1"/>
        <v>4.6406257320391309E-5</v>
      </c>
    </row>
    <row r="46" spans="2:27">
      <c r="U46" s="1">
        <f t="shared" si="2"/>
        <v>298.72727272727258</v>
      </c>
      <c r="V46" s="1">
        <f t="shared" si="0"/>
        <v>2.437480480037758E-5</v>
      </c>
      <c r="W46" s="1">
        <f t="shared" si="1"/>
        <v>2.0468577754506673E-5</v>
      </c>
    </row>
    <row r="47" spans="2:27">
      <c r="U47" s="1">
        <f t="shared" si="2"/>
        <v>308.3636363636362</v>
      </c>
      <c r="V47" s="1">
        <f t="shared" si="0"/>
        <v>1.0267821561026163E-5</v>
      </c>
      <c r="W47" s="1">
        <f t="shared" si="1"/>
        <v>8.5190969142288216E-6</v>
      </c>
    </row>
    <row r="59" spans="2:7">
      <c r="G59" s="6"/>
    </row>
    <row r="60" spans="2:7">
      <c r="G60" s="6"/>
    </row>
    <row r="61" spans="2:7">
      <c r="G61" s="6"/>
    </row>
    <row r="62" spans="2:7">
      <c r="G62" s="6"/>
    </row>
    <row r="64" spans="2:7">
      <c r="B64" s="9" t="s">
        <v>125</v>
      </c>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SS_Probt">
                <anchor moveWithCells="1" sizeWithCells="1">
                  <from>
                    <xdr:col>1</xdr:col>
                    <xdr:colOff>95250</xdr:colOff>
                    <xdr:row>21</xdr:row>
                    <xdr:rowOff>76200</xdr:rowOff>
                  </from>
                  <to>
                    <xdr:col>2</xdr:col>
                    <xdr:colOff>514350</xdr:colOff>
                    <xdr:row>23</xdr:row>
                    <xdr:rowOff>19050</xdr:rowOff>
                  </to>
                </anchor>
              </controlPr>
            </control>
          </mc:Choice>
        </mc:AlternateContent>
        <mc:AlternateContent xmlns:mc="http://schemas.openxmlformats.org/markup-compatibility/2006">
          <mc:Choice Requires="x14">
            <control shapeId="17419" r:id="rId4" name="Button 11">
              <controlPr defaultSize="0" print="0" autoFill="0" autoPict="0" macro="[0]!SS_Boss">
                <anchor moveWithCells="1" sizeWithCells="1">
                  <from>
                    <xdr:col>2</xdr:col>
                    <xdr:colOff>590550</xdr:colOff>
                    <xdr:row>21</xdr:row>
                    <xdr:rowOff>76200</xdr:rowOff>
                  </from>
                  <to>
                    <xdr:col>4</xdr:col>
                    <xdr:colOff>209550</xdr:colOff>
                    <xdr:row>23</xdr:row>
                    <xdr:rowOff>19050</xdr:rowOff>
                  </to>
                </anchor>
              </controlPr>
            </control>
          </mc:Choice>
        </mc:AlternateContent>
        <mc:AlternateContent xmlns:mc="http://schemas.openxmlformats.org/markup-compatibility/2006">
          <mc:Choice Requires="x14">
            <control shapeId="17421" r:id="rId5" name="Check Box 13">
              <controlPr defaultSize="0" autoFill="0" autoLine="0" autoPict="0">
                <anchor moveWithCells="1">
                  <from>
                    <xdr:col>11</xdr:col>
                    <xdr:colOff>590550</xdr:colOff>
                    <xdr:row>7</xdr:row>
                    <xdr:rowOff>171450</xdr:rowOff>
                  </from>
                  <to>
                    <xdr:col>13</xdr:col>
                    <xdr:colOff>133350</xdr:colOff>
                    <xdr:row>9</xdr:row>
                    <xdr:rowOff>38100</xdr:rowOff>
                  </to>
                </anchor>
              </controlPr>
            </control>
          </mc:Choice>
        </mc:AlternateContent>
        <mc:AlternateContent xmlns:mc="http://schemas.openxmlformats.org/markup-compatibility/2006">
          <mc:Choice Requires="x14">
            <control shapeId="17422" r:id="rId6" name="Check Box 14">
              <controlPr defaultSize="0" autoFill="0" autoLine="0" autoPict="0">
                <anchor moveWithCells="1">
                  <from>
                    <xdr:col>11</xdr:col>
                    <xdr:colOff>590550</xdr:colOff>
                    <xdr:row>9</xdr:row>
                    <xdr:rowOff>38100</xdr:rowOff>
                  </from>
                  <to>
                    <xdr:col>13</xdr:col>
                    <xdr:colOff>133350</xdr:colOff>
                    <xdr:row>10</xdr:row>
                    <xdr:rowOff>95250</xdr:rowOff>
                  </to>
                </anchor>
              </controlPr>
            </control>
          </mc:Choice>
        </mc:AlternateContent>
        <mc:AlternateContent xmlns:mc="http://schemas.openxmlformats.org/markup-compatibility/2006">
          <mc:Choice Requires="x14">
            <control shapeId="17423" r:id="rId7" name="Check Box 15">
              <controlPr defaultSize="0" autoFill="0" autoLine="0" autoPict="0">
                <anchor moveWithCells="1">
                  <from>
                    <xdr:col>11</xdr:col>
                    <xdr:colOff>590550</xdr:colOff>
                    <xdr:row>10</xdr:row>
                    <xdr:rowOff>95250</xdr:rowOff>
                  </from>
                  <to>
                    <xdr:col>13</xdr:col>
                    <xdr:colOff>133350</xdr:colOff>
                    <xdr:row>11</xdr:row>
                    <xdr:rowOff>133350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AE63"/>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73</v>
      </c>
      <c r="G1" s="9" t="s">
        <v>122</v>
      </c>
    </row>
    <row r="2" spans="2:31" ht="13.5" thickBot="1">
      <c r="B2" s="1" t="s">
        <v>1</v>
      </c>
      <c r="C2" s="2">
        <v>0.9</v>
      </c>
      <c r="D2" s="1" t="s">
        <v>21</v>
      </c>
    </row>
    <row r="3" spans="2:31" ht="13.5" thickBot="1">
      <c r="C3" s="10"/>
    </row>
    <row r="4" spans="2:31" ht="13.5" thickBot="1">
      <c r="B4" s="8" t="s">
        <v>59</v>
      </c>
      <c r="C4" s="13">
        <v>2.5000000000000001E-2</v>
      </c>
      <c r="D4" s="1" t="s">
        <v>20</v>
      </c>
    </row>
    <row r="5" spans="2:31" ht="16.5" thickBot="1">
      <c r="B5" s="8" t="s">
        <v>26</v>
      </c>
      <c r="C5" s="3">
        <v>20</v>
      </c>
      <c r="D5" s="1" t="s">
        <v>30</v>
      </c>
      <c r="U5" s="1" t="s">
        <v>56</v>
      </c>
    </row>
    <row r="6" spans="2:31" ht="16.5" thickBot="1">
      <c r="B6" s="1" t="s">
        <v>17</v>
      </c>
      <c r="C6" s="3">
        <v>10</v>
      </c>
      <c r="D6" s="1" t="s">
        <v>29</v>
      </c>
      <c r="U6" s="1">
        <v>2</v>
      </c>
    </row>
    <row r="7" spans="2:31" ht="16.5" thickBot="1">
      <c r="B7" s="12" t="s">
        <v>5</v>
      </c>
      <c r="C7" s="3">
        <v>-2</v>
      </c>
      <c r="D7" s="44" t="s">
        <v>232</v>
      </c>
      <c r="K7" s="9" t="str">
        <f>IF(C7&gt;=C6,"WARNING: Expected mean difference higher than maximum allowable difference.","")</f>
        <v/>
      </c>
    </row>
    <row r="8" spans="2:31" ht="16.5" thickBot="1">
      <c r="B8" s="12" t="s">
        <v>119</v>
      </c>
      <c r="C8" s="11">
        <f>C6/C5</f>
        <v>0.5</v>
      </c>
    </row>
    <row r="10" spans="2:31" ht="16.5" thickBot="1">
      <c r="B10" s="8" t="s">
        <v>26</v>
      </c>
      <c r="C10" s="1">
        <f>C5</f>
        <v>20</v>
      </c>
      <c r="V10" s="44" t="s">
        <v>212</v>
      </c>
      <c r="W10" s="44" t="s">
        <v>210</v>
      </c>
      <c r="X10" s="44" t="s">
        <v>213</v>
      </c>
      <c r="Y10" s="44" t="s">
        <v>211</v>
      </c>
      <c r="AA10" s="44" t="s">
        <v>224</v>
      </c>
      <c r="AB10" s="44" t="s">
        <v>225</v>
      </c>
    </row>
    <row r="11" spans="2:31" ht="13.5" thickBot="1">
      <c r="B11" s="1" t="s">
        <v>16</v>
      </c>
      <c r="C11" s="7">
        <v>61</v>
      </c>
      <c r="U11" s="44" t="s">
        <v>206</v>
      </c>
      <c r="V11" s="30">
        <f>4*C5</f>
        <v>80</v>
      </c>
      <c r="W11" s="1">
        <f>$C$5</f>
        <v>20</v>
      </c>
      <c r="X11" s="1">
        <f>W11/SQRT(C20)</f>
        <v>2.5607375986579197</v>
      </c>
      <c r="Y11" s="1">
        <f>TINV($C$4*2,$C$20-2)*X11</f>
        <v>5.1240240994113497</v>
      </c>
      <c r="AA11" s="1">
        <f>V12+4*W12</f>
        <v>158</v>
      </c>
      <c r="AB11" s="1">
        <f>AA11/33</f>
        <v>4.7878787878787881</v>
      </c>
    </row>
    <row r="12" spans="2:31" ht="13.5" thickBot="1">
      <c r="B12" s="1" t="s">
        <v>15</v>
      </c>
      <c r="C12" s="1">
        <f>C11*(C3+1)-2</f>
        <v>59</v>
      </c>
      <c r="U12" s="44" t="s">
        <v>207</v>
      </c>
      <c r="V12" s="30">
        <f>V11+C7</f>
        <v>78</v>
      </c>
      <c r="W12" s="1">
        <f>$C$5</f>
        <v>20</v>
      </c>
      <c r="X12" s="1">
        <f>W12/SQRT(C20)</f>
        <v>2.5607375986579197</v>
      </c>
      <c r="Y12" s="1">
        <f>TINV($C$4*2,$C$20-2)*X12</f>
        <v>5.1240240994113497</v>
      </c>
    </row>
    <row r="13" spans="2:31">
      <c r="B13" s="1" t="s">
        <v>27</v>
      </c>
      <c r="C13" s="1">
        <f>TINV(C4*2,C12)</f>
        <v>2.0009953780882688</v>
      </c>
      <c r="Y13" s="1" t="b">
        <v>1</v>
      </c>
      <c r="AC13" s="1" t="b">
        <v>0</v>
      </c>
    </row>
    <row r="14" spans="2:31">
      <c r="B14" s="1" t="s">
        <v>4</v>
      </c>
      <c r="C14" s="1">
        <f>ABS((C7-C6)*SQRT(C11)/SQRT(2*C10^2))</f>
        <v>3.313608305156178</v>
      </c>
      <c r="U14" s="44" t="s">
        <v>205</v>
      </c>
      <c r="V14" s="44" t="s">
        <v>208</v>
      </c>
      <c r="W14" s="44" t="s">
        <v>209</v>
      </c>
      <c r="Y14" s="9" t="s">
        <v>220</v>
      </c>
      <c r="AC14" s="9" t="s">
        <v>222</v>
      </c>
    </row>
    <row r="15" spans="2:31">
      <c r="U15" s="1">
        <v>0</v>
      </c>
      <c r="V15" s="1">
        <f>_xlfn.NORM.DIST($U15,$V$11,$C$5,FALSE)</f>
        <v>6.6915112882442679E-6</v>
      </c>
      <c r="W15" s="1">
        <f>_xlfn.NORM.DIST($U15,$V$12,$C$5,FALSE)</f>
        <v>9.9327735696386359E-6</v>
      </c>
      <c r="Y15" s="44" t="s">
        <v>217</v>
      </c>
      <c r="Z15" s="44" t="s">
        <v>214</v>
      </c>
      <c r="AA15" s="44" t="s">
        <v>215</v>
      </c>
      <c r="AC15" s="44" t="s">
        <v>217</v>
      </c>
      <c r="AD15" s="44" t="s">
        <v>214</v>
      </c>
      <c r="AE15" s="44" t="s">
        <v>215</v>
      </c>
    </row>
    <row r="16" spans="2:31">
      <c r="U16" s="1">
        <f>U15+$AB$11</f>
        <v>4.7878787878787881</v>
      </c>
      <c r="V16" s="1">
        <f t="shared" ref="V16:V47" si="0">_xlfn.NORM.DIST($U16,$V$11,$C$5,FALSE)</f>
        <v>1.6941407610670937E-5</v>
      </c>
      <c r="W16" s="1">
        <f t="shared" ref="W16:W47" si="1">_xlfn.NORM.DIST($U16,$V$12,$C$5,FALSE)</f>
        <v>2.4552689145403102E-5</v>
      </c>
      <c r="Y16" s="44" t="s">
        <v>216</v>
      </c>
      <c r="Z16" s="1">
        <f>$V$11-$W$11</f>
        <v>60</v>
      </c>
      <c r="AA16" s="1">
        <v>0</v>
      </c>
      <c r="AC16" s="44" t="s">
        <v>216</v>
      </c>
      <c r="AD16" s="1">
        <f>$V$11-$Y$11</f>
        <v>74.875975900588656</v>
      </c>
      <c r="AE16" s="1">
        <v>0</v>
      </c>
    </row>
    <row r="17" spans="2:31">
      <c r="B17" s="1" t="s">
        <v>6</v>
      </c>
      <c r="C17" s="1">
        <f>NCt(C13,C12,C14)</f>
        <v>9.6930308400684742E-2</v>
      </c>
      <c r="U17" s="1">
        <f t="shared" ref="U17:U47" si="2">U16+$AB$11</f>
        <v>9.5757575757575761</v>
      </c>
      <c r="V17" s="1">
        <f t="shared" si="0"/>
        <v>4.0502850320500758E-5</v>
      </c>
      <c r="W17" s="1">
        <f t="shared" si="1"/>
        <v>5.7311056432337753E-5</v>
      </c>
      <c r="Y17" s="44" t="s">
        <v>218</v>
      </c>
      <c r="Z17" s="1">
        <f>Z16</f>
        <v>60</v>
      </c>
      <c r="AA17" s="1">
        <f>IF(Y13,MAX($V$15:$V$47),0)</f>
        <v>1.9898724584214315E-2</v>
      </c>
      <c r="AC17" s="44" t="s">
        <v>218</v>
      </c>
      <c r="AD17" s="1">
        <f>AD16</f>
        <v>74.875975900588656</v>
      </c>
      <c r="AE17" s="1">
        <f>IF(AC13,MAX($V$15:$V$47),0)</f>
        <v>0</v>
      </c>
    </row>
    <row r="18" spans="2:31">
      <c r="B18" s="1" t="s">
        <v>58</v>
      </c>
      <c r="C18" s="1">
        <f>1-C17</f>
        <v>0.90306969159931527</v>
      </c>
      <c r="E18" s="5"/>
      <c r="U18" s="1">
        <f t="shared" si="2"/>
        <v>14.363636363636363</v>
      </c>
      <c r="V18" s="1">
        <f t="shared" si="0"/>
        <v>9.1439217502151682E-5</v>
      </c>
      <c r="W18" s="1">
        <f t="shared" si="1"/>
        <v>1.2632478890519657E-4</v>
      </c>
      <c r="Y18" s="44" t="s">
        <v>219</v>
      </c>
      <c r="Z18" s="44" t="s">
        <v>214</v>
      </c>
      <c r="AA18" s="44" t="s">
        <v>215</v>
      </c>
      <c r="AC18" s="44" t="s">
        <v>219</v>
      </c>
      <c r="AD18" s="44" t="s">
        <v>214</v>
      </c>
      <c r="AE18" s="44" t="s">
        <v>215</v>
      </c>
    </row>
    <row r="19" spans="2:31">
      <c r="C19" s="9"/>
      <c r="D19" s="9"/>
      <c r="U19" s="1">
        <f t="shared" si="2"/>
        <v>19.151515151515152</v>
      </c>
      <c r="V19" s="1">
        <f t="shared" si="0"/>
        <v>1.9493518442765021E-4</v>
      </c>
      <c r="W19" s="1">
        <f t="shared" si="1"/>
        <v>2.6293570641790979E-4</v>
      </c>
      <c r="Y19" s="44" t="s">
        <v>216</v>
      </c>
      <c r="Z19" s="1">
        <f>$V$11+$W$11</f>
        <v>100</v>
      </c>
      <c r="AA19" s="1">
        <v>0</v>
      </c>
      <c r="AC19" s="44" t="s">
        <v>216</v>
      </c>
      <c r="AD19" s="1">
        <f>$V$11+$Y$11</f>
        <v>85.124024099411344</v>
      </c>
      <c r="AE19" s="1">
        <v>0</v>
      </c>
    </row>
    <row r="20" spans="2:31">
      <c r="B20" s="1" t="s">
        <v>11</v>
      </c>
      <c r="C20" s="1">
        <f>CEILING(C11,1)</f>
        <v>61</v>
      </c>
      <c r="U20" s="1">
        <f t="shared" si="2"/>
        <v>23.939393939393941</v>
      </c>
      <c r="V20" s="1">
        <f t="shared" si="0"/>
        <v>3.92426913151595E-4</v>
      </c>
      <c r="W20" s="1">
        <f t="shared" si="1"/>
        <v>5.1679865073369193E-4</v>
      </c>
      <c r="Y20" s="44" t="s">
        <v>218</v>
      </c>
      <c r="Z20" s="1">
        <f>Z19</f>
        <v>100</v>
      </c>
      <c r="AA20" s="1">
        <f>AA17</f>
        <v>1.9898724584214315E-2</v>
      </c>
      <c r="AC20" s="44" t="s">
        <v>218</v>
      </c>
      <c r="AD20" s="1">
        <f>AD19</f>
        <v>85.124024099411344</v>
      </c>
      <c r="AE20" s="1">
        <f>AE17</f>
        <v>0</v>
      </c>
    </row>
    <row r="21" spans="2:31">
      <c r="U21" s="1">
        <f t="shared" si="2"/>
        <v>28.72727272727273</v>
      </c>
      <c r="V21" s="1">
        <f t="shared" si="0"/>
        <v>7.4599884259869123E-4</v>
      </c>
      <c r="W21" s="1">
        <f t="shared" si="1"/>
        <v>9.5918856772456726E-4</v>
      </c>
    </row>
    <row r="22" spans="2:31">
      <c r="U22" s="1">
        <f t="shared" si="2"/>
        <v>33.515151515151516</v>
      </c>
      <c r="V22" s="1">
        <f t="shared" si="0"/>
        <v>1.3391472742514188E-3</v>
      </c>
      <c r="W22" s="1">
        <f t="shared" si="1"/>
        <v>1.6811150463606661E-3</v>
      </c>
      <c r="Y22" s="9" t="s">
        <v>221</v>
      </c>
      <c r="AC22" s="9" t="s">
        <v>223</v>
      </c>
    </row>
    <row r="23" spans="2:31">
      <c r="U23" s="1">
        <f t="shared" si="2"/>
        <v>38.303030303030305</v>
      </c>
      <c r="V23" s="1">
        <f t="shared" si="0"/>
        <v>2.2700182471111548E-3</v>
      </c>
      <c r="W23" s="1">
        <f t="shared" si="1"/>
        <v>2.7822855168983234E-3</v>
      </c>
      <c r="Y23" s="44" t="s">
        <v>217</v>
      </c>
      <c r="Z23" s="44" t="s">
        <v>214</v>
      </c>
      <c r="AA23" s="44" t="s">
        <v>215</v>
      </c>
      <c r="AC23" s="44" t="s">
        <v>217</v>
      </c>
      <c r="AD23" s="44" t="s">
        <v>214</v>
      </c>
      <c r="AE23" s="44" t="s">
        <v>215</v>
      </c>
    </row>
    <row r="24" spans="2:31">
      <c r="U24" s="1">
        <f t="shared" si="2"/>
        <v>43.090909090909093</v>
      </c>
      <c r="V24" s="1">
        <f t="shared" si="0"/>
        <v>3.6336339386543325E-3</v>
      </c>
      <c r="W24" s="1">
        <f t="shared" si="1"/>
        <v>4.3482727057223506E-3</v>
      </c>
      <c r="Y24" s="44" t="s">
        <v>216</v>
      </c>
      <c r="Z24" s="1">
        <f>$V$12-$W$12</f>
        <v>58</v>
      </c>
      <c r="AA24" s="1">
        <v>0</v>
      </c>
      <c r="AC24" s="44" t="s">
        <v>216</v>
      </c>
      <c r="AD24" s="1">
        <f>$V$12-$Y$12</f>
        <v>72.875975900588656</v>
      </c>
      <c r="AE24" s="1">
        <v>0</v>
      </c>
    </row>
    <row r="25" spans="2:31">
      <c r="U25" s="1">
        <f t="shared" si="2"/>
        <v>47.878787878787882</v>
      </c>
      <c r="V25" s="1">
        <f t="shared" si="0"/>
        <v>5.4924209732535069E-3</v>
      </c>
      <c r="W25" s="1">
        <f t="shared" si="1"/>
        <v>6.4171570829679144E-3</v>
      </c>
      <c r="Y25" s="44" t="s">
        <v>218</v>
      </c>
      <c r="Z25" s="1">
        <f>Z24</f>
        <v>58</v>
      </c>
      <c r="AA25" s="1">
        <f>IF(Y13,MAX($W$15:$W$47),0)</f>
        <v>1.9898724584214312E-2</v>
      </c>
      <c r="AC25" s="44" t="s">
        <v>218</v>
      </c>
      <c r="AD25" s="1">
        <f>AD24</f>
        <v>72.875975900588656</v>
      </c>
      <c r="AE25" s="1">
        <f>IF(AC13,MAX($W$15:$W$47),0)</f>
        <v>0</v>
      </c>
    </row>
    <row r="26" spans="2:31">
      <c r="U26" s="1">
        <f t="shared" si="2"/>
        <v>52.666666666666671</v>
      </c>
      <c r="V26" s="1">
        <f t="shared" si="0"/>
        <v>7.8396609192754318E-3</v>
      </c>
      <c r="W26" s="1">
        <f t="shared" si="1"/>
        <v>8.9429208247270298E-3</v>
      </c>
      <c r="Y26" s="44" t="s">
        <v>219</v>
      </c>
      <c r="Z26" s="44" t="s">
        <v>214</v>
      </c>
      <c r="AA26" s="44" t="s">
        <v>215</v>
      </c>
      <c r="AC26" s="44" t="s">
        <v>219</v>
      </c>
      <c r="AD26" s="44" t="s">
        <v>214</v>
      </c>
      <c r="AE26" s="44" t="s">
        <v>215</v>
      </c>
    </row>
    <row r="27" spans="2:31">
      <c r="U27" s="1">
        <f t="shared" si="2"/>
        <v>57.45454545454546</v>
      </c>
      <c r="V27" s="1">
        <f t="shared" si="0"/>
        <v>1.0566753093708884E-2</v>
      </c>
      <c r="W27" s="1">
        <f t="shared" si="1"/>
        <v>1.1768657388551491E-2</v>
      </c>
      <c r="Y27" s="44" t="s">
        <v>216</v>
      </c>
      <c r="Z27" s="1">
        <f>$V$12+$W$12</f>
        <v>98</v>
      </c>
      <c r="AA27" s="1">
        <v>0</v>
      </c>
      <c r="AC27" s="44" t="s">
        <v>216</v>
      </c>
      <c r="AD27" s="1">
        <f>$V$12+$Y$12</f>
        <v>83.124024099411344</v>
      </c>
      <c r="AE27" s="1">
        <v>0</v>
      </c>
    </row>
    <row r="28" spans="2:31">
      <c r="U28" s="1">
        <f t="shared" si="2"/>
        <v>62.242424242424249</v>
      </c>
      <c r="V28" s="1">
        <f t="shared" si="0"/>
        <v>1.344920640875991E-2</v>
      </c>
      <c r="W28" s="1">
        <f t="shared" si="1"/>
        <v>1.4624642962929819E-2</v>
      </c>
      <c r="Y28" s="44" t="s">
        <v>218</v>
      </c>
      <c r="Z28" s="1">
        <f>Z27</f>
        <v>98</v>
      </c>
      <c r="AA28" s="1">
        <f>AA25</f>
        <v>1.9898724584214312E-2</v>
      </c>
      <c r="AC28" s="44" t="s">
        <v>218</v>
      </c>
      <c r="AD28" s="1">
        <f>AD27</f>
        <v>83.124024099411344</v>
      </c>
      <c r="AE28" s="1">
        <f>AE25</f>
        <v>0</v>
      </c>
    </row>
    <row r="29" spans="2:31">
      <c r="U29" s="1">
        <f t="shared" si="2"/>
        <v>67.030303030303031</v>
      </c>
      <c r="V29" s="1">
        <f t="shared" si="0"/>
        <v>1.6164511205090763E-2</v>
      </c>
      <c r="W29" s="1">
        <f t="shared" si="1"/>
        <v>1.7161468335135825E-2</v>
      </c>
      <c r="Y29" s="1" t="b">
        <v>1</v>
      </c>
    </row>
    <row r="30" spans="2:31">
      <c r="U30" s="1">
        <f t="shared" si="2"/>
        <v>71.818181818181813</v>
      </c>
      <c r="V30" s="1">
        <f t="shared" si="0"/>
        <v>1.834591229138861E-2</v>
      </c>
      <c r="W30" s="1">
        <f t="shared" si="1"/>
        <v>1.9016668369460459E-2</v>
      </c>
      <c r="Y30" s="9" t="s">
        <v>226</v>
      </c>
    </row>
    <row r="31" spans="2:31">
      <c r="U31" s="1">
        <f t="shared" si="2"/>
        <v>76.606060606060595</v>
      </c>
      <c r="V31" s="1">
        <f t="shared" si="0"/>
        <v>1.9661962691716266E-2</v>
      </c>
      <c r="W31" s="1">
        <f t="shared" si="1"/>
        <v>1.9898724584214312E-2</v>
      </c>
      <c r="Y31" s="44" t="s">
        <v>217</v>
      </c>
      <c r="Z31" s="44" t="s">
        <v>214</v>
      </c>
      <c r="AA31" s="44" t="s">
        <v>215</v>
      </c>
    </row>
    <row r="32" spans="2:31">
      <c r="U32" s="1">
        <f t="shared" si="2"/>
        <v>81.393939393939377</v>
      </c>
      <c r="V32" s="1">
        <f t="shared" si="0"/>
        <v>1.9898724584214315E-2</v>
      </c>
      <c r="W32" s="1">
        <f t="shared" si="1"/>
        <v>1.9661962691716269E-2</v>
      </c>
      <c r="Y32" s="44" t="s">
        <v>216</v>
      </c>
      <c r="Z32" s="1">
        <f>$V$12-$C$6</f>
        <v>68</v>
      </c>
      <c r="AA32" s="1">
        <v>0</v>
      </c>
    </row>
    <row r="33" spans="2:27">
      <c r="U33" s="1">
        <f t="shared" si="2"/>
        <v>86.181818181818159</v>
      </c>
      <c r="V33" s="1">
        <f t="shared" si="0"/>
        <v>1.9016668369460466E-2</v>
      </c>
      <c r="W33" s="1">
        <f t="shared" si="1"/>
        <v>1.8345912291388617E-2</v>
      </c>
      <c r="Y33" s="44" t="s">
        <v>218</v>
      </c>
      <c r="Z33" s="1">
        <f>Z32</f>
        <v>68</v>
      </c>
      <c r="AA33" s="1">
        <f>IF($Y$29,MAX($V$15:$W$47),0)</f>
        <v>1.9898724584214315E-2</v>
      </c>
    </row>
    <row r="34" spans="2:27">
      <c r="U34" s="1">
        <f t="shared" si="2"/>
        <v>90.96969696969694</v>
      </c>
      <c r="V34" s="1">
        <f t="shared" si="0"/>
        <v>1.7161468335135838E-2</v>
      </c>
      <c r="W34" s="1">
        <f t="shared" si="1"/>
        <v>1.6164511205090777E-2</v>
      </c>
      <c r="Y34" s="44" t="s">
        <v>219</v>
      </c>
      <c r="Z34" s="44" t="s">
        <v>214</v>
      </c>
      <c r="AA34" s="44" t="s">
        <v>215</v>
      </c>
    </row>
    <row r="35" spans="2:27">
      <c r="U35" s="1">
        <f t="shared" si="2"/>
        <v>95.757575757575722</v>
      </c>
      <c r="V35" s="1">
        <f t="shared" si="0"/>
        <v>1.4624642962929837E-2</v>
      </c>
      <c r="W35" s="1">
        <f t="shared" si="1"/>
        <v>1.3449206408759923E-2</v>
      </c>
      <c r="Y35" s="44" t="s">
        <v>216</v>
      </c>
      <c r="Z35" s="1">
        <f>$V$12+$C$6</f>
        <v>88</v>
      </c>
      <c r="AA35" s="1">
        <v>0</v>
      </c>
    </row>
    <row r="36" spans="2:27">
      <c r="U36" s="1">
        <f t="shared" si="2"/>
        <v>100.5454545454545</v>
      </c>
      <c r="V36" s="1">
        <f t="shared" si="0"/>
        <v>1.176865738855151E-2</v>
      </c>
      <c r="W36" s="1">
        <f t="shared" si="1"/>
        <v>1.0566753093708905E-2</v>
      </c>
      <c r="Y36" s="44" t="s">
        <v>218</v>
      </c>
      <c r="Z36" s="1">
        <f>Z35</f>
        <v>88</v>
      </c>
      <c r="AA36" s="1">
        <f>AA33</f>
        <v>1.9898724584214315E-2</v>
      </c>
    </row>
    <row r="37" spans="2:27" ht="20.25" customHeight="1">
      <c r="U37" s="1">
        <f t="shared" si="2"/>
        <v>105.33333333333329</v>
      </c>
      <c r="V37" s="1">
        <f t="shared" si="0"/>
        <v>8.9429208247270523E-3</v>
      </c>
      <c r="W37" s="1">
        <f t="shared" si="1"/>
        <v>7.8396609192754544E-3</v>
      </c>
    </row>
    <row r="38" spans="2:27">
      <c r="U38" s="1">
        <f t="shared" si="2"/>
        <v>110.12121212121207</v>
      </c>
      <c r="V38" s="1">
        <f t="shared" si="0"/>
        <v>6.4171570829679369E-3</v>
      </c>
      <c r="W38" s="1">
        <f t="shared" si="1"/>
        <v>5.4924209732535294E-3</v>
      </c>
    </row>
    <row r="39" spans="2:27">
      <c r="U39" s="1">
        <f t="shared" si="2"/>
        <v>114.90909090909085</v>
      </c>
      <c r="V39" s="1">
        <f t="shared" si="0"/>
        <v>4.3482727057223731E-3</v>
      </c>
      <c r="W39" s="1">
        <f t="shared" si="1"/>
        <v>3.6336339386543498E-3</v>
      </c>
    </row>
    <row r="40" spans="2:27">
      <c r="U40" s="1">
        <f t="shared" si="2"/>
        <v>119.69696969696963</v>
      </c>
      <c r="V40" s="1">
        <f t="shared" si="0"/>
        <v>2.7822855168983412E-3</v>
      </c>
      <c r="W40" s="1">
        <f t="shared" si="1"/>
        <v>2.2700182471111709E-3</v>
      </c>
    </row>
    <row r="41" spans="2:27">
      <c r="U41" s="1">
        <f t="shared" si="2"/>
        <v>124.48484848484841</v>
      </c>
      <c r="V41" s="1">
        <f t="shared" si="0"/>
        <v>1.6811150463606796E-3</v>
      </c>
      <c r="W41" s="1">
        <f t="shared" si="1"/>
        <v>1.3391472742514297E-3</v>
      </c>
    </row>
    <row r="42" spans="2:27" ht="18">
      <c r="B42" s="28" t="s">
        <v>123</v>
      </c>
      <c r="U42" s="1">
        <f t="shared" si="2"/>
        <v>129.2727272727272</v>
      </c>
      <c r="V42" s="1">
        <f t="shared" si="0"/>
        <v>9.5918856772457572E-4</v>
      </c>
      <c r="W42" s="1">
        <f t="shared" si="1"/>
        <v>7.4599884259869784E-4</v>
      </c>
    </row>
    <row r="43" spans="2:27">
      <c r="U43" s="1">
        <f t="shared" si="2"/>
        <v>134.06060606060598</v>
      </c>
      <c r="V43" s="1">
        <f t="shared" si="0"/>
        <v>5.1679865073369822E-4</v>
      </c>
      <c r="W43" s="1">
        <f t="shared" si="1"/>
        <v>3.9242691315159988E-4</v>
      </c>
    </row>
    <row r="44" spans="2:27">
      <c r="U44" s="1">
        <f t="shared" si="2"/>
        <v>138.84848484848476</v>
      </c>
      <c r="V44" s="1">
        <f t="shared" si="0"/>
        <v>2.6293570641791332E-4</v>
      </c>
      <c r="W44" s="1">
        <f t="shared" si="1"/>
        <v>1.9493518442765262E-4</v>
      </c>
    </row>
    <row r="45" spans="2:27">
      <c r="U45" s="1">
        <f t="shared" si="2"/>
        <v>143.63636363636354</v>
      </c>
      <c r="V45" s="1">
        <f t="shared" si="0"/>
        <v>1.263247889051985E-4</v>
      </c>
      <c r="W45" s="1">
        <f t="shared" si="1"/>
        <v>9.1439217502153241E-5</v>
      </c>
    </row>
    <row r="46" spans="2:27">
      <c r="U46" s="1">
        <f t="shared" si="2"/>
        <v>148.42424242424232</v>
      </c>
      <c r="V46" s="1">
        <f t="shared" si="0"/>
        <v>5.7311056432338715E-5</v>
      </c>
      <c r="W46" s="1">
        <f t="shared" si="1"/>
        <v>4.0502850320501477E-5</v>
      </c>
    </row>
    <row r="47" spans="2:27">
      <c r="U47" s="1">
        <f t="shared" si="2"/>
        <v>153.2121212121211</v>
      </c>
      <c r="V47" s="1">
        <f t="shared" si="0"/>
        <v>2.4552689145403606E-5</v>
      </c>
      <c r="W47" s="1">
        <f t="shared" si="1"/>
        <v>1.6941407610671282E-5</v>
      </c>
    </row>
    <row r="58" spans="2:7">
      <c r="B58" s="9" t="s">
        <v>125</v>
      </c>
    </row>
    <row r="60" spans="2:7">
      <c r="G60" s="6"/>
    </row>
    <row r="61" spans="2:7">
      <c r="G61" s="6"/>
    </row>
    <row r="62" spans="2:7">
      <c r="G62" s="6"/>
    </row>
    <row r="63" spans="2:7">
      <c r="G6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S_Probt">
                <anchor moveWithCells="1" sizeWithCells="1">
                  <from>
                    <xdr:col>1</xdr:col>
                    <xdr:colOff>95250</xdr:colOff>
                    <xdr:row>21</xdr:row>
                    <xdr:rowOff>76200</xdr:rowOff>
                  </from>
                  <to>
                    <xdr:col>2</xdr:col>
                    <xdr:colOff>514350</xdr:colOff>
                    <xdr:row>23</xdr:row>
                    <xdr:rowOff>19050</xdr:rowOff>
                  </to>
                </anchor>
              </controlPr>
            </control>
          </mc:Choice>
        </mc:AlternateContent>
        <mc:AlternateContent xmlns:mc="http://schemas.openxmlformats.org/markup-compatibility/2006">
          <mc:Choice Requires="x14">
            <control shapeId="18439" r:id="rId4" name="Button 7">
              <controlPr defaultSize="0" print="0" autoFill="0" autoPict="0" macro="[0]!SS_Boss">
                <anchor moveWithCells="1" sizeWithCells="1">
                  <from>
                    <xdr:col>2</xdr:col>
                    <xdr:colOff>590550</xdr:colOff>
                    <xdr:row>21</xdr:row>
                    <xdr:rowOff>76200</xdr:rowOff>
                  </from>
                  <to>
                    <xdr:col>4</xdr:col>
                    <xdr:colOff>209550</xdr:colOff>
                    <xdr:row>23</xdr:row>
                    <xdr:rowOff>19050</xdr:rowOff>
                  </to>
                </anchor>
              </controlPr>
            </control>
          </mc:Choice>
        </mc:AlternateContent>
        <mc:AlternateContent xmlns:mc="http://schemas.openxmlformats.org/markup-compatibility/2006">
          <mc:Choice Requires="x14">
            <control shapeId="18441" r:id="rId5" name="Check Box 9">
              <controlPr defaultSize="0" autoFill="0" autoLine="0" autoPict="0">
                <anchor moveWithCells="1">
                  <from>
                    <xdr:col>10</xdr:col>
                    <xdr:colOff>476250</xdr:colOff>
                    <xdr:row>8</xdr:row>
                    <xdr:rowOff>57150</xdr:rowOff>
                  </from>
                  <to>
                    <xdr:col>12</xdr:col>
                    <xdr:colOff>19050</xdr:colOff>
                    <xdr:row>9</xdr:row>
                    <xdr:rowOff>95250</xdr:rowOff>
                  </to>
                </anchor>
              </controlPr>
            </control>
          </mc:Choice>
        </mc:AlternateContent>
        <mc:AlternateContent xmlns:mc="http://schemas.openxmlformats.org/markup-compatibility/2006">
          <mc:Choice Requires="x14">
            <control shapeId="18442" r:id="rId6" name="Check Box 10">
              <controlPr defaultSize="0" autoFill="0" autoLine="0" autoPict="0">
                <anchor moveWithCells="1">
                  <from>
                    <xdr:col>10</xdr:col>
                    <xdr:colOff>476250</xdr:colOff>
                    <xdr:row>9</xdr:row>
                    <xdr:rowOff>95250</xdr:rowOff>
                  </from>
                  <to>
                    <xdr:col>12</xdr:col>
                    <xdr:colOff>19050</xdr:colOff>
                    <xdr:row>10</xdr:row>
                    <xdr:rowOff>95250</xdr:rowOff>
                  </to>
                </anchor>
              </controlPr>
            </control>
          </mc:Choice>
        </mc:AlternateContent>
        <mc:AlternateContent xmlns:mc="http://schemas.openxmlformats.org/markup-compatibility/2006">
          <mc:Choice Requires="x14">
            <control shapeId="18443" r:id="rId7" name="Check Box 11">
              <controlPr defaultSize="0" autoFill="0" autoLine="0" autoPict="0">
                <anchor moveWithCells="1">
                  <from>
                    <xdr:col>10</xdr:col>
                    <xdr:colOff>476250</xdr:colOff>
                    <xdr:row>10</xdr:row>
                    <xdr:rowOff>95250</xdr:rowOff>
                  </from>
                  <to>
                    <xdr:col>12</xdr:col>
                    <xdr:colOff>19050</xdr:colOff>
                    <xdr:row>11</xdr:row>
                    <xdr:rowOff>133350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A6523-912A-436C-94CD-36FF3F7393FD}">
  <sheetPr codeName="Sheet9"/>
  <dimension ref="B1:AE70"/>
  <sheetViews>
    <sheetView zoomScaleNormal="100"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75</v>
      </c>
      <c r="G1" s="9" t="s">
        <v>122</v>
      </c>
    </row>
    <row r="2" spans="2:31" ht="13.5" thickBot="1">
      <c r="B2" s="1" t="s">
        <v>1</v>
      </c>
      <c r="C2" s="2">
        <v>0.9</v>
      </c>
    </row>
    <row r="3" spans="2:31" ht="13.5" thickBot="1">
      <c r="B3" s="1" t="s">
        <v>234</v>
      </c>
      <c r="C3" s="49">
        <v>1</v>
      </c>
      <c r="D3" s="1" t="s">
        <v>235</v>
      </c>
    </row>
    <row r="4" spans="2:31" ht="13.5" thickBot="1">
      <c r="B4" s="8" t="s">
        <v>59</v>
      </c>
      <c r="C4" s="2">
        <v>0.05</v>
      </c>
    </row>
    <row r="5" spans="2:31" ht="16.5" thickBot="1">
      <c r="B5" s="44" t="s">
        <v>238</v>
      </c>
      <c r="C5" s="43">
        <v>0.8</v>
      </c>
      <c r="D5" s="1" t="s">
        <v>248</v>
      </c>
      <c r="U5" s="1" t="s">
        <v>56</v>
      </c>
    </row>
    <row r="6" spans="2:31" ht="16.5" thickBot="1">
      <c r="B6" s="1" t="s">
        <v>34</v>
      </c>
      <c r="C6" s="43">
        <v>1</v>
      </c>
      <c r="D6" s="1" t="str">
        <f>IF(C6=1,"","(to "&amp;ROUND(100/C6,1)&amp;"%)")&amp;IF(OR($C$6&lt;$C$7,$C$6&gt;$C$8)," WARNING: Ratio outside BE limits.","")</f>
        <v/>
      </c>
      <c r="U6" s="1">
        <v>1</v>
      </c>
    </row>
    <row r="7" spans="2:31" ht="13.5" thickBot="1">
      <c r="B7" s="1" t="s">
        <v>9</v>
      </c>
      <c r="C7" s="13">
        <v>0.8</v>
      </c>
    </row>
    <row r="8" spans="2:31" ht="13.5" thickBot="1">
      <c r="B8" s="1" t="s">
        <v>10</v>
      </c>
      <c r="C8" s="13">
        <f>1/C7</f>
        <v>1.25</v>
      </c>
    </row>
    <row r="10" spans="2:31" ht="13.5" thickBot="1">
      <c r="B10" s="12" t="s">
        <v>18</v>
      </c>
      <c r="C10" s="1">
        <f>SQRT(LN((C5)^2+1))</f>
        <v>0.70334645931866824</v>
      </c>
      <c r="V10" s="44" t="s">
        <v>212</v>
      </c>
      <c r="W10" s="44" t="s">
        <v>210</v>
      </c>
      <c r="X10" s="44" t="s">
        <v>213</v>
      </c>
      <c r="Y10" s="44" t="s">
        <v>211</v>
      </c>
      <c r="AA10" s="44" t="s">
        <v>224</v>
      </c>
      <c r="AB10" s="44" t="s">
        <v>225</v>
      </c>
    </row>
    <row r="11" spans="2:31" ht="16.5" thickBot="1">
      <c r="B11" s="1" t="s">
        <v>35</v>
      </c>
      <c r="C11" s="7">
        <v>216</v>
      </c>
      <c r="U11" s="44" t="s">
        <v>206</v>
      </c>
      <c r="V11" s="45">
        <f>C6</f>
        <v>1</v>
      </c>
      <c r="W11" s="1">
        <f>$C$10</f>
        <v>0.70334645931866824</v>
      </c>
      <c r="X11" s="1">
        <f>W11/SQRT(C20)</f>
        <v>4.7856664936776212E-2</v>
      </c>
      <c r="Y11" s="1">
        <f>TINV($C$4*2,$C$20-2)*X11</f>
        <v>7.9059457202799208E-2</v>
      </c>
      <c r="AA11" s="46">
        <f>V11+4*W11</f>
        <v>3.813385837274673</v>
      </c>
      <c r="AB11" s="1">
        <f>AA11/33</f>
        <v>0.11555714658408101</v>
      </c>
    </row>
    <row r="12" spans="2:31" ht="15.75">
      <c r="B12" s="1" t="s">
        <v>36</v>
      </c>
      <c r="C12" s="1">
        <f>C11*(C3+1)-2</f>
        <v>430</v>
      </c>
      <c r="U12" s="44"/>
    </row>
    <row r="13" spans="2:31" ht="15.75">
      <c r="B13" s="1" t="s">
        <v>37</v>
      </c>
      <c r="C13" s="1">
        <f>TINV(C4*2,C12)</f>
        <v>1.6484049694330176</v>
      </c>
      <c r="Y13" s="1" t="b">
        <v>0</v>
      </c>
      <c r="AC13" s="1" t="b">
        <v>1</v>
      </c>
    </row>
    <row r="14" spans="2:31">
      <c r="B14" s="1" t="s">
        <v>3</v>
      </c>
      <c r="C14" s="1">
        <f>SQRT(C3*C11)*(LN(C6)-LN(C8))/SQRT((C3+1)*C10^2)</f>
        <v>-3.2970604725753181</v>
      </c>
      <c r="U14" s="44" t="s">
        <v>205</v>
      </c>
      <c r="V14" s="44" t="s">
        <v>227</v>
      </c>
      <c r="W14" s="44"/>
      <c r="Y14" s="9" t="s">
        <v>220</v>
      </c>
      <c r="AC14" s="9" t="s">
        <v>222</v>
      </c>
    </row>
    <row r="15" spans="2:31">
      <c r="B15" s="1" t="s">
        <v>4</v>
      </c>
      <c r="C15" s="1">
        <f>SQRT(C3*C11)*(LN(C6)-LN(C7))/SQRT((C3+1)*C10^2)</f>
        <v>3.2970604725753176</v>
      </c>
      <c r="N15" s="44" t="s">
        <v>246</v>
      </c>
      <c r="U15" s="1">
        <v>0</v>
      </c>
      <c r="V15" s="1">
        <f>_xlfn.NORM.DIST($U15,$V$11,$C$5,FALSE)</f>
        <v>0.22831135673627737</v>
      </c>
      <c r="Y15" s="44" t="s">
        <v>217</v>
      </c>
      <c r="Z15" s="44" t="s">
        <v>214</v>
      </c>
      <c r="AA15" s="44" t="s">
        <v>215</v>
      </c>
      <c r="AC15" s="44" t="s">
        <v>217</v>
      </c>
      <c r="AD15" s="44" t="s">
        <v>214</v>
      </c>
      <c r="AE15" s="44" t="s">
        <v>215</v>
      </c>
    </row>
    <row r="16" spans="2:31">
      <c r="B16" s="1" t="s">
        <v>7</v>
      </c>
      <c r="C16" s="1">
        <f>NCt(-C13,C12,C14)</f>
        <v>0.95022236556488759</v>
      </c>
      <c r="N16" s="44" t="s">
        <v>247</v>
      </c>
      <c r="U16" s="1">
        <f>U15+$AB$11</f>
        <v>0.11555714658408101</v>
      </c>
      <c r="V16" s="1">
        <f t="shared" ref="V16:V47" si="0">_xlfn.NORM.DIST($U16,$V$11,$C$5,FALSE)</f>
        <v>0.27065256559820106</v>
      </c>
      <c r="Y16" s="44" t="s">
        <v>216</v>
      </c>
      <c r="Z16" s="1">
        <f>$V$11-$W$11</f>
        <v>0.29665354068133176</v>
      </c>
      <c r="AA16" s="1">
        <v>0</v>
      </c>
      <c r="AC16" s="44" t="s">
        <v>216</v>
      </c>
      <c r="AD16" s="1">
        <f>$V$11-$Y$11</f>
        <v>0.92094054279720083</v>
      </c>
      <c r="AE16" s="1">
        <v>0</v>
      </c>
    </row>
    <row r="17" spans="2:31" ht="13.5" thickBot="1">
      <c r="B17" s="1" t="s">
        <v>6</v>
      </c>
      <c r="C17" s="1">
        <f>NCt(C13,C12,C15)</f>
        <v>4.9777634435112433E-2</v>
      </c>
      <c r="N17" s="57" t="s">
        <v>249</v>
      </c>
      <c r="O17" s="58"/>
      <c r="P17" s="59"/>
      <c r="U17" s="1">
        <f t="shared" ref="U17:U47" si="1">U16+$AB$11</f>
        <v>0.23111429316816201</v>
      </c>
      <c r="V17" s="1">
        <f t="shared" si="0"/>
        <v>0.314221086732277</v>
      </c>
      <c r="Y17" s="44" t="s">
        <v>218</v>
      </c>
      <c r="Z17" s="1">
        <f>Z16</f>
        <v>0.29665354068133176</v>
      </c>
      <c r="AA17" s="1">
        <f>IF(Y13,MAX($V$15:$V$47),0)</f>
        <v>0</v>
      </c>
      <c r="AC17" s="44" t="s">
        <v>218</v>
      </c>
      <c r="AD17" s="1">
        <f>AD16</f>
        <v>0.92094054279720083</v>
      </c>
      <c r="AE17" s="1">
        <f>IF(AC13,MAX($V$15:$V$47),0)</f>
        <v>0.49805444680287991</v>
      </c>
    </row>
    <row r="18" spans="2:31" ht="13.5" thickBot="1">
      <c r="B18" s="1" t="s">
        <v>58</v>
      </c>
      <c r="C18" s="1">
        <f>C16-C17</f>
        <v>0.90044473112977519</v>
      </c>
      <c r="E18" s="5"/>
      <c r="N18" s="60" t="s">
        <v>239</v>
      </c>
      <c r="O18" s="65">
        <v>0.3</v>
      </c>
      <c r="P18" s="61"/>
      <c r="U18" s="1">
        <f t="shared" si="1"/>
        <v>0.34667143975224302</v>
      </c>
      <c r="V18" s="1">
        <f t="shared" si="0"/>
        <v>0.35727041047792041</v>
      </c>
      <c r="Y18" s="44" t="s">
        <v>219</v>
      </c>
      <c r="Z18" s="44" t="s">
        <v>214</v>
      </c>
      <c r="AA18" s="44" t="s">
        <v>215</v>
      </c>
      <c r="AC18" s="44" t="s">
        <v>219</v>
      </c>
      <c r="AD18" s="44" t="s">
        <v>214</v>
      </c>
      <c r="AE18" s="44" t="s">
        <v>215</v>
      </c>
    </row>
    <row r="19" spans="2:31" ht="15" thickBot="1">
      <c r="C19" s="16" t="s">
        <v>63</v>
      </c>
      <c r="D19" s="16" t="s">
        <v>64</v>
      </c>
      <c r="E19" s="16" t="s">
        <v>66</v>
      </c>
      <c r="N19" s="60" t="s">
        <v>240</v>
      </c>
      <c r="O19" s="65">
        <v>0.2</v>
      </c>
      <c r="P19" s="61"/>
      <c r="U19" s="1">
        <f t="shared" si="1"/>
        <v>0.46222858633632402</v>
      </c>
      <c r="V19" s="1">
        <f t="shared" si="0"/>
        <v>0.39782980438758542</v>
      </c>
      <c r="Y19" s="44" t="s">
        <v>216</v>
      </c>
      <c r="Z19" s="1">
        <f>$V$11+$W$11</f>
        <v>1.7033464593186682</v>
      </c>
      <c r="AA19" s="1">
        <v>0</v>
      </c>
      <c r="AC19" s="44" t="s">
        <v>216</v>
      </c>
      <c r="AD19" s="1">
        <f>$V$11+$Y$11</f>
        <v>1.0790594572027992</v>
      </c>
      <c r="AE19" s="1">
        <v>0</v>
      </c>
    </row>
    <row r="20" spans="2:31">
      <c r="B20" s="1" t="s">
        <v>11</v>
      </c>
      <c r="C20" s="1">
        <f>CEILING(C11,1)</f>
        <v>216</v>
      </c>
      <c r="D20" s="1">
        <f>C20*C3</f>
        <v>216</v>
      </c>
      <c r="E20" s="1">
        <f>C20+D20</f>
        <v>432</v>
      </c>
      <c r="N20" s="62" t="s">
        <v>241</v>
      </c>
      <c r="O20" s="63">
        <f>SQRT(EXP(AVERAGE(LN(O18^2+1),LN(O19^2+1)))-1)</f>
        <v>0.25437478714780926</v>
      </c>
      <c r="P20" s="64"/>
      <c r="U20" s="1">
        <f t="shared" si="1"/>
        <v>0.57778573292040503</v>
      </c>
      <c r="V20" s="1">
        <f t="shared" si="0"/>
        <v>0.4338465299206547</v>
      </c>
      <c r="Y20" s="44" t="s">
        <v>218</v>
      </c>
      <c r="Z20" s="1">
        <f>Z19</f>
        <v>1.7033464593186682</v>
      </c>
      <c r="AA20" s="1">
        <f>AA17</f>
        <v>0</v>
      </c>
      <c r="AC20" s="44" t="s">
        <v>218</v>
      </c>
      <c r="AD20" s="1">
        <f>AD19</f>
        <v>1.0790594572027992</v>
      </c>
      <c r="AE20" s="1">
        <f>AE17</f>
        <v>0.49805444680287991</v>
      </c>
    </row>
    <row r="21" spans="2:31">
      <c r="U21" s="1">
        <f t="shared" si="1"/>
        <v>0.69334287950448603</v>
      </c>
      <c r="V21" s="1">
        <f t="shared" si="0"/>
        <v>0.46335460617253399</v>
      </c>
    </row>
    <row r="22" spans="2:31">
      <c r="U22" s="1">
        <f t="shared" si="1"/>
        <v>0.80890002608856704</v>
      </c>
      <c r="V22" s="1">
        <f t="shared" si="0"/>
        <v>0.48465130425812258</v>
      </c>
      <c r="Y22" s="9"/>
      <c r="AC22" s="9"/>
    </row>
    <row r="23" spans="2:31">
      <c r="U23" s="1">
        <f t="shared" si="1"/>
        <v>0.92445717267264804</v>
      </c>
      <c r="V23" s="1">
        <f t="shared" si="0"/>
        <v>0.4964595069001882</v>
      </c>
      <c r="Y23" s="44"/>
      <c r="Z23" s="44"/>
      <c r="AA23" s="44"/>
      <c r="AC23" s="44"/>
      <c r="AD23" s="44"/>
      <c r="AE23" s="44"/>
    </row>
    <row r="24" spans="2:31">
      <c r="U24" s="1">
        <f t="shared" si="1"/>
        <v>1.040014319256729</v>
      </c>
      <c r="V24" s="1">
        <f t="shared" si="0"/>
        <v>0.49805444680287991</v>
      </c>
      <c r="Y24" s="44"/>
      <c r="AC24" s="44"/>
    </row>
    <row r="25" spans="2:31">
      <c r="U25" s="1">
        <f t="shared" si="1"/>
        <v>1.1555714658408101</v>
      </c>
      <c r="V25" s="1">
        <f t="shared" si="0"/>
        <v>0.48933734016603508</v>
      </c>
      <c r="Y25" s="44"/>
      <c r="AC25" s="44"/>
    </row>
    <row r="26" spans="2:31">
      <c r="U26" s="1">
        <f t="shared" si="1"/>
        <v>1.2711286124248911</v>
      </c>
      <c r="V26" s="1">
        <f t="shared" si="0"/>
        <v>0.47084551359267213</v>
      </c>
      <c r="Y26" s="44"/>
      <c r="Z26" s="44"/>
      <c r="AA26" s="44"/>
      <c r="AC26" s="44"/>
      <c r="AD26" s="44"/>
      <c r="AE26" s="44"/>
    </row>
    <row r="27" spans="2:31">
      <c r="U27" s="1">
        <f t="shared" si="1"/>
        <v>1.3866857590089721</v>
      </c>
      <c r="V27" s="1">
        <f t="shared" si="0"/>
        <v>0.44369758091411332</v>
      </c>
      <c r="Y27" s="44"/>
      <c r="AC27" s="44"/>
    </row>
    <row r="28" spans="2:31">
      <c r="U28" s="1">
        <f t="shared" si="1"/>
        <v>1.5022429055930531</v>
      </c>
      <c r="V28" s="1">
        <f t="shared" si="0"/>
        <v>0.40948144746086385</v>
      </c>
      <c r="Y28" s="44"/>
      <c r="AC28" s="44"/>
    </row>
    <row r="29" spans="2:31">
      <c r="U29" s="1">
        <f t="shared" si="1"/>
        <v>1.6178000521771341</v>
      </c>
      <c r="V29" s="1">
        <f t="shared" si="0"/>
        <v>0.3701007313487899</v>
      </c>
      <c r="Y29" s="1" t="b">
        <v>1</v>
      </c>
    </row>
    <row r="30" spans="2:31">
      <c r="U30" s="1">
        <f t="shared" si="1"/>
        <v>1.7333571987612151</v>
      </c>
      <c r="V30" s="1">
        <f t="shared" si="0"/>
        <v>0.32760023258826015</v>
      </c>
      <c r="Y30" s="9" t="s">
        <v>228</v>
      </c>
    </row>
    <row r="31" spans="2:31">
      <c r="U31" s="1">
        <f t="shared" si="1"/>
        <v>1.8489143453452961</v>
      </c>
      <c r="V31" s="1">
        <f t="shared" si="0"/>
        <v>0.28399258718598064</v>
      </c>
      <c r="Y31" s="44" t="s">
        <v>217</v>
      </c>
      <c r="Z31" s="44" t="s">
        <v>214</v>
      </c>
      <c r="AA31" s="44" t="s">
        <v>215</v>
      </c>
    </row>
    <row r="32" spans="2:31">
      <c r="U32" s="1">
        <f t="shared" si="1"/>
        <v>1.9644714919293771</v>
      </c>
      <c r="V32" s="1">
        <f t="shared" si="0"/>
        <v>0.24110618514069843</v>
      </c>
      <c r="Y32" s="44" t="s">
        <v>216</v>
      </c>
      <c r="Z32" s="32">
        <f>C7</f>
        <v>0.8</v>
      </c>
      <c r="AA32" s="1">
        <v>0</v>
      </c>
    </row>
    <row r="33" spans="2:27">
      <c r="U33" s="1">
        <f t="shared" si="1"/>
        <v>2.0800286385134581</v>
      </c>
      <c r="V33" s="1">
        <f t="shared" si="0"/>
        <v>0.20046947062820525</v>
      </c>
      <c r="Y33" s="44" t="s">
        <v>218</v>
      </c>
      <c r="Z33" s="32">
        <f>Z32</f>
        <v>0.8</v>
      </c>
      <c r="AA33" s="1">
        <f>IF($Y$29,MAX($V$15:$W$47),0)</f>
        <v>0.49805444680287991</v>
      </c>
    </row>
    <row r="34" spans="2:27">
      <c r="U34" s="1">
        <f t="shared" si="1"/>
        <v>2.1955857850975393</v>
      </c>
      <c r="V34" s="1">
        <f t="shared" si="0"/>
        <v>0.16324003535956169</v>
      </c>
      <c r="Y34" s="44" t="s">
        <v>219</v>
      </c>
      <c r="Z34" s="44" t="s">
        <v>214</v>
      </c>
      <c r="AA34" s="44" t="s">
        <v>215</v>
      </c>
    </row>
    <row r="35" spans="2:27">
      <c r="U35" s="1">
        <f t="shared" si="1"/>
        <v>2.3111429316816201</v>
      </c>
      <c r="V35" s="1">
        <f t="shared" si="0"/>
        <v>0.13017981841469306</v>
      </c>
      <c r="Y35" s="44" t="s">
        <v>216</v>
      </c>
      <c r="Z35" s="32">
        <f>C8</f>
        <v>1.25</v>
      </c>
      <c r="AA35" s="1">
        <v>0</v>
      </c>
    </row>
    <row r="36" spans="2:27">
      <c r="U36" s="1">
        <f t="shared" si="1"/>
        <v>2.4267000782657009</v>
      </c>
      <c r="V36" s="1">
        <f t="shared" si="0"/>
        <v>0.10167148978353269</v>
      </c>
      <c r="Y36" s="44" t="s">
        <v>218</v>
      </c>
      <c r="Z36" s="32">
        <f>Z35</f>
        <v>1.25</v>
      </c>
      <c r="AA36" s="1">
        <f>AA33</f>
        <v>0.49805444680287991</v>
      </c>
    </row>
    <row r="37" spans="2:27">
      <c r="U37" s="1">
        <f t="shared" si="1"/>
        <v>2.5422572248497817</v>
      </c>
      <c r="V37" s="1">
        <f t="shared" si="0"/>
        <v>7.7766626143932732E-2</v>
      </c>
    </row>
    <row r="38" spans="2:27">
      <c r="U38" s="1">
        <f t="shared" si="1"/>
        <v>2.6578143714338625</v>
      </c>
      <c r="V38" s="1">
        <f t="shared" si="0"/>
        <v>5.825401628546005E-2</v>
      </c>
    </row>
    <row r="39" spans="2:27">
      <c r="U39" s="1">
        <f t="shared" si="1"/>
        <v>2.7733715180179432</v>
      </c>
      <c r="V39" s="1">
        <f t="shared" si="0"/>
        <v>4.2736311146241344E-2</v>
      </c>
    </row>
    <row r="40" spans="2:27">
      <c r="U40" s="1">
        <f t="shared" si="1"/>
        <v>2.888928664602024</v>
      </c>
      <c r="V40" s="1">
        <f t="shared" si="0"/>
        <v>3.0704832810818952E-2</v>
      </c>
    </row>
    <row r="41" spans="2:27">
      <c r="U41" s="1">
        <f t="shared" si="1"/>
        <v>3.0044858111861048</v>
      </c>
      <c r="V41" s="1">
        <f t="shared" si="0"/>
        <v>2.1605035584469263E-2</v>
      </c>
    </row>
    <row r="42" spans="2:27">
      <c r="U42" s="1">
        <f t="shared" si="1"/>
        <v>3.1200429577701856</v>
      </c>
      <c r="V42" s="1">
        <f t="shared" si="0"/>
        <v>1.4888185783989533E-2</v>
      </c>
    </row>
    <row r="43" spans="2:27">
      <c r="U43" s="1">
        <f t="shared" si="1"/>
        <v>3.2356001043542664</v>
      </c>
      <c r="V43" s="1">
        <f t="shared" si="0"/>
        <v>1.0047710600097437E-2</v>
      </c>
    </row>
    <row r="44" spans="2:27" ht="20.25" customHeight="1">
      <c r="U44" s="1">
        <f t="shared" si="1"/>
        <v>3.3511572509383472</v>
      </c>
      <c r="V44" s="1">
        <f t="shared" si="0"/>
        <v>6.640962083123661E-3</v>
      </c>
    </row>
    <row r="45" spans="2:27" ht="18">
      <c r="B45" s="28" t="s">
        <v>123</v>
      </c>
      <c r="U45" s="1">
        <f t="shared" si="1"/>
        <v>3.4667143975224279</v>
      </c>
      <c r="V45" s="1">
        <f t="shared" si="0"/>
        <v>4.2986632849936453E-3</v>
      </c>
    </row>
    <row r="46" spans="2:27">
      <c r="U46" s="1">
        <f t="shared" si="1"/>
        <v>3.5822715441065087</v>
      </c>
      <c r="V46" s="1">
        <f t="shared" si="0"/>
        <v>2.7250495290019753E-3</v>
      </c>
    </row>
    <row r="47" spans="2:27">
      <c r="U47" s="1">
        <f t="shared" si="1"/>
        <v>3.6978286906905895</v>
      </c>
      <c r="V47" s="1">
        <f t="shared" si="0"/>
        <v>1.691819073603052E-3</v>
      </c>
    </row>
    <row r="59" spans="2:2">
      <c r="B59" s="9" t="s">
        <v>125</v>
      </c>
    </row>
    <row r="61" spans="2:2">
      <c r="B61" s="9" t="s">
        <v>237</v>
      </c>
    </row>
    <row r="67" spans="2:7">
      <c r="B67" s="9"/>
      <c r="G67" s="6"/>
    </row>
    <row r="68" spans="2:7">
      <c r="G68" s="6"/>
    </row>
    <row r="69" spans="2:7">
      <c r="G69" s="6"/>
    </row>
    <row r="70" spans="2:7">
      <c r="G70" s="6"/>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S_Probt">
                <anchor moveWithCells="1" sizeWithCells="1">
                  <from>
                    <xdr:col>1</xdr:col>
                    <xdr:colOff>95250</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45058" r:id="rId5" name="Button 2">
              <controlPr defaultSize="0" print="0" autoFill="0" autoPict="0" macro="[0]!SS_Boss_BE">
                <anchor moveWithCells="1" sizeWithCells="1">
                  <from>
                    <xdr:col>3</xdr:col>
                    <xdr:colOff>476250</xdr:colOff>
                    <xdr:row>23</xdr:row>
                    <xdr:rowOff>0</xdr:rowOff>
                  </from>
                  <to>
                    <xdr:col>5</xdr:col>
                    <xdr:colOff>95250</xdr:colOff>
                    <xdr:row>24</xdr:row>
                    <xdr:rowOff>85725</xdr:rowOff>
                  </to>
                </anchor>
              </controlPr>
            </control>
          </mc:Choice>
        </mc:AlternateContent>
        <mc:AlternateContent xmlns:mc="http://schemas.openxmlformats.org/markup-compatibility/2006">
          <mc:Choice Requires="x14">
            <control shapeId="45059" r:id="rId6" name="Button 3">
              <controlPr defaultSize="0" print="0" autoFill="0" autoPict="0" macro="[0]!ISV_Calculator">
                <anchor moveWithCells="1" sizeWithCells="1">
                  <from>
                    <xdr:col>5</xdr:col>
                    <xdr:colOff>171450</xdr:colOff>
                    <xdr:row>23</xdr:row>
                    <xdr:rowOff>0</xdr:rowOff>
                  </from>
                  <to>
                    <xdr:col>9</xdr:col>
                    <xdr:colOff>95250</xdr:colOff>
                    <xdr:row>24</xdr:row>
                    <xdr:rowOff>85725</xdr:rowOff>
                  </to>
                </anchor>
              </controlPr>
            </control>
          </mc:Choice>
        </mc:AlternateContent>
        <mc:AlternateContent xmlns:mc="http://schemas.openxmlformats.org/markup-compatibility/2006">
          <mc:Choice Requires="x14">
            <control shapeId="45060" r:id="rId7" name="Button 4">
              <controlPr defaultSize="0" print="0" autoFill="0" autoPict="0" macro="[0]!Power_Calculator_parallel">
                <anchor moveWithCells="1" sizeWithCells="1">
                  <from>
                    <xdr:col>2</xdr:col>
                    <xdr:colOff>57150</xdr:colOff>
                    <xdr:row>23</xdr:row>
                    <xdr:rowOff>0</xdr:rowOff>
                  </from>
                  <to>
                    <xdr:col>3</xdr:col>
                    <xdr:colOff>400050</xdr:colOff>
                    <xdr:row>24</xdr:row>
                    <xdr:rowOff>85725</xdr:rowOff>
                  </to>
                </anchor>
              </controlPr>
            </control>
          </mc:Choice>
        </mc:AlternateContent>
        <mc:AlternateContent xmlns:mc="http://schemas.openxmlformats.org/markup-compatibility/2006">
          <mc:Choice Requires="x14">
            <control shapeId="45061" r:id="rId8" name="Check Box 5">
              <controlPr defaultSize="0" autoFill="0" autoLine="0" autoPict="0">
                <anchor moveWithCells="1">
                  <from>
                    <xdr:col>11</xdr:col>
                    <xdr:colOff>161925</xdr:colOff>
                    <xdr:row>6</xdr:row>
                    <xdr:rowOff>57150</xdr:rowOff>
                  </from>
                  <to>
                    <xdr:col>12</xdr:col>
                    <xdr:colOff>314325</xdr:colOff>
                    <xdr:row>7</xdr:row>
                    <xdr:rowOff>95250</xdr:rowOff>
                  </to>
                </anchor>
              </controlPr>
            </control>
          </mc:Choice>
        </mc:AlternateContent>
        <mc:AlternateContent xmlns:mc="http://schemas.openxmlformats.org/markup-compatibility/2006">
          <mc:Choice Requires="x14">
            <control shapeId="45062" r:id="rId9" name="Check Box 6">
              <controlPr defaultSize="0" autoFill="0" autoLine="0" autoPict="0">
                <anchor moveWithCells="1">
                  <from>
                    <xdr:col>11</xdr:col>
                    <xdr:colOff>161925</xdr:colOff>
                    <xdr:row>7</xdr:row>
                    <xdr:rowOff>95250</xdr:rowOff>
                  </from>
                  <to>
                    <xdr:col>12</xdr:col>
                    <xdr:colOff>314325</xdr:colOff>
                    <xdr:row>8</xdr:row>
                    <xdr:rowOff>152400</xdr:rowOff>
                  </to>
                </anchor>
              </controlPr>
            </control>
          </mc:Choice>
        </mc:AlternateContent>
        <mc:AlternateContent xmlns:mc="http://schemas.openxmlformats.org/markup-compatibility/2006">
          <mc:Choice Requires="x14">
            <control shapeId="45063" r:id="rId10" name="Check Box 7">
              <controlPr defaultSize="0" autoFill="0" autoLine="0" autoPict="0">
                <anchor moveWithCells="1">
                  <from>
                    <xdr:col>11</xdr:col>
                    <xdr:colOff>161925</xdr:colOff>
                    <xdr:row>8</xdr:row>
                    <xdr:rowOff>152400</xdr:rowOff>
                  </from>
                  <to>
                    <xdr:col>12</xdr:col>
                    <xdr:colOff>314325</xdr:colOff>
                    <xdr:row>10</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dimension ref="B1:AE70"/>
  <sheetViews>
    <sheetView zoomScaleNormal="100" workbookViewId="0">
      <selection activeCell="D5" sqref="D5"/>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74</v>
      </c>
      <c r="G1" s="9" t="s">
        <v>122</v>
      </c>
      <c r="J1" s="44"/>
      <c r="K1" s="44"/>
      <c r="L1" s="44"/>
      <c r="M1" s="44"/>
      <c r="N1" s="44"/>
      <c r="O1" s="44"/>
    </row>
    <row r="2" spans="2:31" ht="13.5" thickBot="1">
      <c r="B2" s="1" t="s">
        <v>1</v>
      </c>
      <c r="C2" s="2">
        <v>0.8</v>
      </c>
      <c r="H2" s="50"/>
      <c r="I2" s="44"/>
      <c r="J2" s="44"/>
      <c r="K2" s="44"/>
      <c r="L2" s="44"/>
      <c r="M2" s="44"/>
      <c r="N2" s="44"/>
      <c r="O2" s="44"/>
    </row>
    <row r="3" spans="2:31" ht="13.5" thickBot="1">
      <c r="C3" s="14"/>
      <c r="J3" s="44"/>
      <c r="K3" s="44"/>
      <c r="L3" s="44"/>
      <c r="M3" s="44"/>
      <c r="N3" s="44"/>
      <c r="O3" s="44"/>
    </row>
    <row r="4" spans="2:31" ht="13.5" thickBot="1">
      <c r="B4" s="8" t="s">
        <v>59</v>
      </c>
      <c r="C4" s="2">
        <v>0.05</v>
      </c>
      <c r="J4" s="44"/>
      <c r="K4" s="44"/>
      <c r="L4" s="44"/>
      <c r="M4" s="44"/>
      <c r="N4" s="44"/>
      <c r="O4" s="44"/>
    </row>
    <row r="5" spans="2:31" ht="16.5" thickBot="1">
      <c r="B5" s="1" t="s">
        <v>120</v>
      </c>
      <c r="C5" s="43">
        <v>0.25</v>
      </c>
      <c r="D5" s="1" t="s">
        <v>127</v>
      </c>
      <c r="U5" s="1" t="s">
        <v>56</v>
      </c>
    </row>
    <row r="6" spans="2:31" ht="16.5" thickBot="1">
      <c r="B6" s="1" t="s">
        <v>34</v>
      </c>
      <c r="C6" s="43">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6.5" thickBot="1">
      <c r="B10" s="8" t="s">
        <v>26</v>
      </c>
      <c r="C10" s="1">
        <f>SQRT(LN((C5)^2+1))</f>
        <v>0.24622067706923975</v>
      </c>
      <c r="V10" s="44" t="s">
        <v>212</v>
      </c>
      <c r="W10" s="44" t="s">
        <v>210</v>
      </c>
      <c r="X10" s="44" t="s">
        <v>213</v>
      </c>
      <c r="Y10" s="44" t="s">
        <v>211</v>
      </c>
      <c r="AA10" s="44" t="s">
        <v>224</v>
      </c>
      <c r="AB10" s="44" t="s">
        <v>225</v>
      </c>
    </row>
    <row r="11" spans="2:31" ht="13.5" thickBot="1">
      <c r="B11" s="1" t="s">
        <v>0</v>
      </c>
      <c r="C11" s="7">
        <v>109</v>
      </c>
      <c r="U11" s="44" t="s">
        <v>206</v>
      </c>
      <c r="V11" s="45">
        <f>C6</f>
        <v>0.95</v>
      </c>
      <c r="W11" s="1">
        <f>$C$10</f>
        <v>0.24622067706923975</v>
      </c>
      <c r="X11" s="1">
        <f>W11/SQRT(C20)</f>
        <v>2.3583663646186664E-2</v>
      </c>
      <c r="Y11" s="1">
        <f>TINV($C$4*2,$C$20-2)*X11</f>
        <v>3.9130470166661116E-2</v>
      </c>
      <c r="AA11" s="46">
        <f>V11+4*W11</f>
        <v>1.9348827082769589</v>
      </c>
      <c r="AB11" s="1">
        <f>AA11/33</f>
        <v>5.8632809341726023E-2</v>
      </c>
    </row>
    <row r="12" spans="2:31">
      <c r="B12" s="1" t="s">
        <v>2</v>
      </c>
      <c r="C12" s="1">
        <f>C11-2</f>
        <v>107</v>
      </c>
      <c r="U12" s="44"/>
    </row>
    <row r="13" spans="2:31">
      <c r="B13" s="1" t="s">
        <v>8</v>
      </c>
      <c r="C13" s="1">
        <f>TINV(C4*2,C12)</f>
        <v>1.6592193118810985</v>
      </c>
      <c r="Y13" s="1" t="b">
        <v>0</v>
      </c>
      <c r="AC13" s="1" t="b">
        <v>1</v>
      </c>
    </row>
    <row r="14" spans="2:31">
      <c r="B14" s="1" t="s">
        <v>3</v>
      </c>
      <c r="C14" s="1">
        <f>(SQRT(C11)*(LN(C6)-LN(C8)))/(SQRT(2*C10^2))</f>
        <v>-8.2284142750033951</v>
      </c>
      <c r="U14" s="44" t="s">
        <v>205</v>
      </c>
      <c r="V14" s="44" t="s">
        <v>227</v>
      </c>
      <c r="W14" s="44"/>
      <c r="Y14" s="9" t="s">
        <v>220</v>
      </c>
      <c r="AC14" s="9" t="s">
        <v>222</v>
      </c>
    </row>
    <row r="15" spans="2:31">
      <c r="B15" s="1" t="s">
        <v>4</v>
      </c>
      <c r="C15" s="1">
        <f>(SQRT(C11)*(LN(C6)-LN(C7)))/(SQRT(2*C10^2))</f>
        <v>5.1525701792791478</v>
      </c>
      <c r="U15" s="1">
        <v>0</v>
      </c>
      <c r="V15" s="1">
        <f>_xlfn.NORM.DIST($U15,$V$11,$C$5,FALSE)</f>
        <v>1.1677877031658411E-3</v>
      </c>
      <c r="Y15" s="44" t="s">
        <v>217</v>
      </c>
      <c r="Z15" s="44" t="s">
        <v>214</v>
      </c>
      <c r="AA15" s="44" t="s">
        <v>215</v>
      </c>
      <c r="AC15" s="44" t="s">
        <v>217</v>
      </c>
      <c r="AD15" s="44" t="s">
        <v>214</v>
      </c>
      <c r="AE15" s="44" t="s">
        <v>215</v>
      </c>
    </row>
    <row r="16" spans="2:31">
      <c r="B16" s="1" t="s">
        <v>7</v>
      </c>
      <c r="C16" s="1">
        <f>NCt(-C13,C12,C14)</f>
        <v>0.9999999999673217</v>
      </c>
      <c r="U16" s="1">
        <f>U15+$AB$11</f>
        <v>5.8632809341726023E-2</v>
      </c>
      <c r="V16" s="1">
        <f t="shared" ref="V16:V47" si="0">_xlfn.NORM.DIST($U16,$V$11,$C$5,FALSE)</f>
        <v>2.7699447059280034E-3</v>
      </c>
      <c r="Y16" s="44" t="s">
        <v>216</v>
      </c>
      <c r="Z16" s="1">
        <f>$V$11-$W$11</f>
        <v>0.70377932293076018</v>
      </c>
      <c r="AA16" s="1">
        <v>0</v>
      </c>
      <c r="AC16" s="44" t="s">
        <v>216</v>
      </c>
      <c r="AD16" s="1">
        <f>$V$11-$Y$11</f>
        <v>0.9108695298333388</v>
      </c>
      <c r="AE16" s="1">
        <v>0</v>
      </c>
    </row>
    <row r="17" spans="2:31">
      <c r="B17" s="1" t="s">
        <v>6</v>
      </c>
      <c r="C17" s="1">
        <f>NCt(C13,C12,C15)</f>
        <v>2.5560413901991091E-4</v>
      </c>
      <c r="U17" s="1">
        <f t="shared" ref="U17:U47" si="1">U16+$AB$11</f>
        <v>0.11726561868345205</v>
      </c>
      <c r="V17" s="1">
        <f t="shared" si="0"/>
        <v>6.2185621117606723E-3</v>
      </c>
      <c r="Y17" s="44" t="s">
        <v>218</v>
      </c>
      <c r="Z17" s="1">
        <f>Z16</f>
        <v>0.70377932293076018</v>
      </c>
      <c r="AA17" s="1">
        <f>IF(Y13,MAX($V$15:$V$47),0)</f>
        <v>0</v>
      </c>
      <c r="AC17" s="44" t="s">
        <v>218</v>
      </c>
      <c r="AD17" s="1">
        <f>AD16</f>
        <v>0.9108695298333388</v>
      </c>
      <c r="AE17" s="1">
        <f>IF(AC13,MAX($V$15:$V$47),0)</f>
        <v>1.5939698943202625</v>
      </c>
    </row>
    <row r="18" spans="2:31">
      <c r="B18" s="1" t="s">
        <v>58</v>
      </c>
      <c r="C18" s="1">
        <f>C16-C17</f>
        <v>0.99974439582830177</v>
      </c>
      <c r="E18" s="5"/>
      <c r="U18" s="1">
        <f t="shared" si="1"/>
        <v>0.17589842802517808</v>
      </c>
      <c r="V18" s="1">
        <f t="shared" si="0"/>
        <v>1.3213580903738755E-2</v>
      </c>
      <c r="Y18" s="44" t="s">
        <v>219</v>
      </c>
      <c r="Z18" s="44" t="s">
        <v>214</v>
      </c>
      <c r="AA18" s="44" t="s">
        <v>215</v>
      </c>
      <c r="AC18" s="44" t="s">
        <v>219</v>
      </c>
      <c r="AD18" s="44" t="s">
        <v>214</v>
      </c>
      <c r="AE18" s="44" t="s">
        <v>215</v>
      </c>
    </row>
    <row r="19" spans="2:31">
      <c r="U19" s="1">
        <f t="shared" si="1"/>
        <v>0.23453123736690409</v>
      </c>
      <c r="V19" s="1">
        <f t="shared" si="0"/>
        <v>2.6574356367658435E-2</v>
      </c>
      <c r="Y19" s="44" t="s">
        <v>216</v>
      </c>
      <c r="Z19" s="1">
        <f>$V$11+$W$11</f>
        <v>1.1962206770692396</v>
      </c>
      <c r="AA19" s="1">
        <v>0</v>
      </c>
      <c r="AC19" s="44" t="s">
        <v>216</v>
      </c>
      <c r="AD19" s="1">
        <f>$V$11+$Y$11</f>
        <v>0.98913047016666111</v>
      </c>
      <c r="AE19" s="1">
        <v>0</v>
      </c>
    </row>
    <row r="20" spans="2:31">
      <c r="B20" s="1" t="s">
        <v>11</v>
      </c>
      <c r="C20" s="1">
        <f>CEILING(C11,1)</f>
        <v>109</v>
      </c>
      <c r="U20" s="1">
        <f t="shared" si="1"/>
        <v>0.29316404670863011</v>
      </c>
      <c r="V20" s="1">
        <f t="shared" si="0"/>
        <v>5.0584406183643189E-2</v>
      </c>
      <c r="Y20" s="44" t="s">
        <v>218</v>
      </c>
      <c r="Z20" s="1">
        <f>Z19</f>
        <v>1.1962206770692396</v>
      </c>
      <c r="AA20" s="1">
        <f>AA17</f>
        <v>0</v>
      </c>
      <c r="AC20" s="44" t="s">
        <v>218</v>
      </c>
      <c r="AD20" s="1">
        <f>AD19</f>
        <v>0.98913047016666111</v>
      </c>
      <c r="AE20" s="1">
        <f>AE17</f>
        <v>1.5939698943202625</v>
      </c>
    </row>
    <row r="21" spans="2:31">
      <c r="U21" s="1">
        <f t="shared" si="1"/>
        <v>0.35179685605035615</v>
      </c>
      <c r="V21" s="1">
        <f t="shared" si="0"/>
        <v>9.1134377711433831E-2</v>
      </c>
    </row>
    <row r="22" spans="2:31">
      <c r="U22" s="1">
        <f t="shared" si="1"/>
        <v>0.4104296653920822</v>
      </c>
      <c r="V22" s="1">
        <f t="shared" si="0"/>
        <v>0.15540303049312376</v>
      </c>
      <c r="Y22" s="9"/>
      <c r="AC22" s="9"/>
    </row>
    <row r="23" spans="2:31">
      <c r="U23" s="1">
        <f t="shared" si="1"/>
        <v>0.46906247473380824</v>
      </c>
      <c r="V23" s="1">
        <f t="shared" si="0"/>
        <v>0.2508120568640812</v>
      </c>
      <c r="Y23" s="44"/>
      <c r="Z23" s="44"/>
      <c r="AA23" s="44"/>
      <c r="AC23" s="44"/>
      <c r="AD23" s="44"/>
      <c r="AE23" s="44"/>
    </row>
    <row r="24" spans="2:31">
      <c r="U24" s="1">
        <f t="shared" si="1"/>
        <v>0.52769528407553423</v>
      </c>
      <c r="V24" s="1">
        <f t="shared" si="0"/>
        <v>0.38313251525085396</v>
      </c>
      <c r="Y24" s="44"/>
      <c r="AC24" s="44"/>
    </row>
    <row r="25" spans="2:31">
      <c r="U25" s="1">
        <f t="shared" si="1"/>
        <v>0.58632809341726022</v>
      </c>
      <c r="V25" s="1">
        <f t="shared" si="0"/>
        <v>0.55393816322895617</v>
      </c>
      <c r="Y25" s="44"/>
      <c r="AC25" s="44"/>
    </row>
    <row r="26" spans="2:31">
      <c r="U26" s="1">
        <f t="shared" si="1"/>
        <v>0.64496090275898621</v>
      </c>
      <c r="V26" s="1">
        <f t="shared" si="0"/>
        <v>0.75802798169994423</v>
      </c>
      <c r="Y26" s="44"/>
      <c r="Z26" s="44"/>
      <c r="AA26" s="44"/>
      <c r="AC26" s="44"/>
      <c r="AD26" s="44"/>
      <c r="AE26" s="44"/>
    </row>
    <row r="27" spans="2:31">
      <c r="U27" s="1">
        <f t="shared" si="1"/>
        <v>0.7035937121007122</v>
      </c>
      <c r="V27" s="1">
        <f t="shared" si="0"/>
        <v>0.98179510627226407</v>
      </c>
      <c r="Y27" s="44"/>
      <c r="AC27" s="44"/>
    </row>
    <row r="28" spans="2:31">
      <c r="U28" s="1">
        <f t="shared" si="1"/>
        <v>0.76222652144243819</v>
      </c>
      <c r="V28" s="1">
        <f t="shared" si="0"/>
        <v>1.2035611582216017</v>
      </c>
      <c r="Y28" s="44"/>
      <c r="AC28" s="44"/>
    </row>
    <row r="29" spans="2:31">
      <c r="U29" s="1">
        <f t="shared" si="1"/>
        <v>0.82085933078416418</v>
      </c>
      <c r="V29" s="1">
        <f t="shared" si="0"/>
        <v>1.3964556226555156</v>
      </c>
      <c r="Y29" s="1" t="b">
        <v>1</v>
      </c>
    </row>
    <row r="30" spans="2:31">
      <c r="U30" s="1">
        <f t="shared" si="1"/>
        <v>0.87949214012589016</v>
      </c>
      <c r="V30" s="1">
        <f t="shared" si="0"/>
        <v>1.5335494667705791</v>
      </c>
      <c r="Y30" s="9" t="s">
        <v>228</v>
      </c>
    </row>
    <row r="31" spans="2:31">
      <c r="U31" s="1">
        <f t="shared" si="1"/>
        <v>0.93812494946761615</v>
      </c>
      <c r="V31" s="1">
        <f t="shared" si="0"/>
        <v>1.5939698943202625</v>
      </c>
      <c r="Y31" s="44" t="s">
        <v>217</v>
      </c>
      <c r="Z31" s="44" t="s">
        <v>214</v>
      </c>
      <c r="AA31" s="44" t="s">
        <v>215</v>
      </c>
    </row>
    <row r="32" spans="2:31">
      <c r="U32" s="1">
        <f t="shared" si="1"/>
        <v>0.99675775880934214</v>
      </c>
      <c r="V32" s="1">
        <f t="shared" si="0"/>
        <v>1.5681012990763428</v>
      </c>
      <c r="Y32" s="44" t="s">
        <v>216</v>
      </c>
      <c r="Z32" s="32">
        <f>C7</f>
        <v>0.8</v>
      </c>
      <c r="AA32" s="1">
        <v>0</v>
      </c>
    </row>
    <row r="33" spans="2:27">
      <c r="U33" s="1">
        <f t="shared" si="1"/>
        <v>1.0553905681510682</v>
      </c>
      <c r="V33" s="1">
        <f t="shared" si="0"/>
        <v>1.4600905481436155</v>
      </c>
      <c r="Y33" s="44" t="s">
        <v>218</v>
      </c>
      <c r="Z33" s="32">
        <f>Z32</f>
        <v>0.8</v>
      </c>
      <c r="AA33" s="1">
        <f>IF($Y$29,MAX($V$15:$W$47),0)</f>
        <v>1.5939698943202625</v>
      </c>
    </row>
    <row r="34" spans="2:27">
      <c r="U34" s="1">
        <f t="shared" si="1"/>
        <v>1.1140233774927943</v>
      </c>
      <c r="V34" s="1">
        <f t="shared" si="0"/>
        <v>1.2867587775324509</v>
      </c>
      <c r="Y34" s="44" t="s">
        <v>219</v>
      </c>
      <c r="Z34" s="44" t="s">
        <v>214</v>
      </c>
      <c r="AA34" s="44" t="s">
        <v>215</v>
      </c>
    </row>
    <row r="35" spans="2:27">
      <c r="U35" s="1">
        <f t="shared" si="1"/>
        <v>1.1726561868345204</v>
      </c>
      <c r="V35" s="1">
        <f t="shared" si="0"/>
        <v>1.0733124429725074</v>
      </c>
      <c r="Y35" s="44" t="s">
        <v>216</v>
      </c>
      <c r="Z35" s="32">
        <f>C8</f>
        <v>1.25</v>
      </c>
      <c r="AA35" s="1">
        <v>0</v>
      </c>
    </row>
    <row r="36" spans="2:27">
      <c r="U36" s="1">
        <f t="shared" si="1"/>
        <v>1.2312889961762465</v>
      </c>
      <c r="V36" s="1">
        <f t="shared" si="0"/>
        <v>0.84735786302017235</v>
      </c>
      <c r="Y36" s="44" t="s">
        <v>218</v>
      </c>
      <c r="Z36" s="32">
        <f>Z35</f>
        <v>1.25</v>
      </c>
      <c r="AA36" s="1">
        <f>AA33</f>
        <v>1.5939698943202625</v>
      </c>
    </row>
    <row r="37" spans="2:27">
      <c r="U37" s="1">
        <f t="shared" si="1"/>
        <v>1.2899218055179726</v>
      </c>
      <c r="V37" s="1">
        <f t="shared" si="0"/>
        <v>0.63316840914689476</v>
      </c>
    </row>
    <row r="38" spans="2:27">
      <c r="U38" s="1">
        <f t="shared" si="1"/>
        <v>1.3485546148596987</v>
      </c>
      <c r="V38" s="1">
        <f t="shared" si="0"/>
        <v>0.44779917359705657</v>
      </c>
    </row>
    <row r="39" spans="2:27">
      <c r="U39" s="1">
        <f t="shared" si="1"/>
        <v>1.4071874242014248</v>
      </c>
      <c r="V39" s="1">
        <f t="shared" si="0"/>
        <v>0.2997498759653528</v>
      </c>
    </row>
    <row r="40" spans="2:27">
      <c r="U40" s="1">
        <f t="shared" si="1"/>
        <v>1.4658202335431509</v>
      </c>
      <c r="V40" s="1">
        <f t="shared" si="0"/>
        <v>0.18990937795292456</v>
      </c>
    </row>
    <row r="41" spans="2:27">
      <c r="U41" s="1">
        <f t="shared" si="1"/>
        <v>1.524453042884877</v>
      </c>
      <c r="V41" s="1">
        <f t="shared" si="0"/>
        <v>0.11387948260447313</v>
      </c>
    </row>
    <row r="42" spans="2:27">
      <c r="U42" s="1">
        <f t="shared" si="1"/>
        <v>1.5830858522266031</v>
      </c>
      <c r="V42" s="1">
        <f t="shared" si="0"/>
        <v>6.4633285698647763E-2</v>
      </c>
    </row>
    <row r="43" spans="2:27">
      <c r="U43" s="1">
        <f t="shared" si="1"/>
        <v>1.6417186615683292</v>
      </c>
      <c r="V43" s="1">
        <f t="shared" si="0"/>
        <v>3.4719915387815804E-2</v>
      </c>
    </row>
    <row r="44" spans="2:27" ht="20.25" customHeight="1">
      <c r="U44" s="1">
        <f t="shared" si="1"/>
        <v>1.7003514709100553</v>
      </c>
      <c r="V44" s="1">
        <f t="shared" si="0"/>
        <v>1.7652765695318515E-2</v>
      </c>
    </row>
    <row r="45" spans="2:27" ht="18">
      <c r="B45" s="28" t="s">
        <v>123</v>
      </c>
      <c r="U45" s="1">
        <f t="shared" si="1"/>
        <v>1.7589842802517814</v>
      </c>
      <c r="V45" s="1">
        <f t="shared" si="0"/>
        <v>8.4949050792481138E-3</v>
      </c>
    </row>
    <row r="46" spans="2:27">
      <c r="U46" s="1">
        <f t="shared" si="1"/>
        <v>1.8176170895935075</v>
      </c>
      <c r="V46" s="1">
        <f t="shared" si="0"/>
        <v>3.8691536717666728E-3</v>
      </c>
    </row>
    <row r="47" spans="2:27">
      <c r="U47" s="1">
        <f t="shared" si="1"/>
        <v>1.8762498989352336</v>
      </c>
      <c r="V47" s="1">
        <f t="shared" si="0"/>
        <v>1.6679579681648331E-3</v>
      </c>
    </row>
    <row r="60" spans="2:2">
      <c r="B60" s="1" t="s">
        <v>126</v>
      </c>
    </row>
    <row r="67" spans="2:7">
      <c r="B67" s="9" t="s">
        <v>125</v>
      </c>
      <c r="G67" s="6"/>
    </row>
    <row r="68" spans="2:7">
      <c r="G68" s="6"/>
    </row>
    <row r="69" spans="2:7">
      <c r="B69" s="9" t="s">
        <v>237</v>
      </c>
      <c r="G69" s="6"/>
    </row>
    <row r="70" spans="2:7">
      <c r="G70"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37" r:id="rId3" name="Button 13">
              <controlPr defaultSize="0" print="0" autoFill="0" autoPict="0" macro="[0]!SS_Probt">
                <anchor moveWithCells="1" sizeWithCells="1">
                  <from>
                    <xdr:col>1</xdr:col>
                    <xdr:colOff>95250</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1041" r:id="rId4" name="Button 17">
              <controlPr defaultSize="0" print="0" autoFill="0" autoPict="0" macro="[0]!SS_Boss_BE">
                <anchor moveWithCells="1" sizeWithCells="1">
                  <from>
                    <xdr:col>3</xdr:col>
                    <xdr:colOff>476250</xdr:colOff>
                    <xdr:row>23</xdr:row>
                    <xdr:rowOff>0</xdr:rowOff>
                  </from>
                  <to>
                    <xdr:col>5</xdr:col>
                    <xdr:colOff>95250</xdr:colOff>
                    <xdr:row>24</xdr:row>
                    <xdr:rowOff>85725</xdr:rowOff>
                  </to>
                </anchor>
              </controlPr>
            </control>
          </mc:Choice>
        </mc:AlternateContent>
        <mc:AlternateContent xmlns:mc="http://schemas.openxmlformats.org/markup-compatibility/2006">
          <mc:Choice Requires="x14">
            <control shapeId="1044" r:id="rId5" name="Button 20">
              <controlPr defaultSize="0" print="0" autoFill="0" autoPict="0" macro="[0]!ISV_Calculator">
                <anchor moveWithCells="1" sizeWithCells="1">
                  <from>
                    <xdr:col>5</xdr:col>
                    <xdr:colOff>171450</xdr:colOff>
                    <xdr:row>23</xdr:row>
                    <xdr:rowOff>0</xdr:rowOff>
                  </from>
                  <to>
                    <xdr:col>9</xdr:col>
                    <xdr:colOff>95250</xdr:colOff>
                    <xdr:row>24</xdr:row>
                    <xdr:rowOff>85725</xdr:rowOff>
                  </to>
                </anchor>
              </controlPr>
            </control>
          </mc:Choice>
        </mc:AlternateContent>
        <mc:AlternateContent xmlns:mc="http://schemas.openxmlformats.org/markup-compatibility/2006">
          <mc:Choice Requires="x14">
            <control shapeId="1147" r:id="rId6" name="Button 123">
              <controlPr defaultSize="0" print="0" autoFill="0" autoPict="0" macro="[0]!Power_Calculator_XO">
                <anchor moveWithCells="1" sizeWithCells="1">
                  <from>
                    <xdr:col>2</xdr:col>
                    <xdr:colOff>57150</xdr:colOff>
                    <xdr:row>23</xdr:row>
                    <xdr:rowOff>0</xdr:rowOff>
                  </from>
                  <to>
                    <xdr:col>3</xdr:col>
                    <xdr:colOff>400050</xdr:colOff>
                    <xdr:row>24</xdr:row>
                    <xdr:rowOff>85725</xdr:rowOff>
                  </to>
                </anchor>
              </controlPr>
            </control>
          </mc:Choice>
        </mc:AlternateContent>
        <mc:AlternateContent xmlns:mc="http://schemas.openxmlformats.org/markup-compatibility/2006">
          <mc:Choice Requires="x14">
            <control shapeId="1148" r:id="rId7" name="Check Box 124">
              <controlPr defaultSize="0" autoFill="0" autoLine="0" autoPict="0">
                <anchor moveWithCells="1">
                  <from>
                    <xdr:col>10</xdr:col>
                    <xdr:colOff>352425</xdr:colOff>
                    <xdr:row>6</xdr:row>
                    <xdr:rowOff>57150</xdr:rowOff>
                  </from>
                  <to>
                    <xdr:col>11</xdr:col>
                    <xdr:colOff>504825</xdr:colOff>
                    <xdr:row>7</xdr:row>
                    <xdr:rowOff>95250</xdr:rowOff>
                  </to>
                </anchor>
              </controlPr>
            </control>
          </mc:Choice>
        </mc:AlternateContent>
        <mc:AlternateContent xmlns:mc="http://schemas.openxmlformats.org/markup-compatibility/2006">
          <mc:Choice Requires="x14">
            <control shapeId="1149" r:id="rId8" name="Check Box 125">
              <controlPr defaultSize="0" autoFill="0" autoLine="0" autoPict="0">
                <anchor moveWithCells="1">
                  <from>
                    <xdr:col>10</xdr:col>
                    <xdr:colOff>352425</xdr:colOff>
                    <xdr:row>7</xdr:row>
                    <xdr:rowOff>95250</xdr:rowOff>
                  </from>
                  <to>
                    <xdr:col>11</xdr:col>
                    <xdr:colOff>504825</xdr:colOff>
                    <xdr:row>8</xdr:row>
                    <xdr:rowOff>152400</xdr:rowOff>
                  </to>
                </anchor>
              </controlPr>
            </control>
          </mc:Choice>
        </mc:AlternateContent>
        <mc:AlternateContent xmlns:mc="http://schemas.openxmlformats.org/markup-compatibility/2006">
          <mc:Choice Requires="x14">
            <control shapeId="1150" r:id="rId9" name="Check Box 126">
              <controlPr defaultSize="0" autoFill="0" autoLine="0" autoPict="0">
                <anchor moveWithCells="1">
                  <from>
                    <xdr:col>10</xdr:col>
                    <xdr:colOff>352425</xdr:colOff>
                    <xdr:row>8</xdr:row>
                    <xdr:rowOff>152400</xdr:rowOff>
                  </from>
                  <to>
                    <xdr:col>11</xdr:col>
                    <xdr:colOff>504825</xdr:colOff>
                    <xdr:row>9</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A8BFAF-1601-42E5-9296-16081ABAA8BE}">
  <sheetPr codeName="Sheet6"/>
  <dimension ref="B1:AH70"/>
  <sheetViews>
    <sheetView zoomScale="95" zoomScaleNormal="95" workbookViewId="0">
      <selection activeCell="C2" sqref="C2"/>
    </sheetView>
  </sheetViews>
  <sheetFormatPr defaultColWidth="9.140625" defaultRowHeight="12.75"/>
  <cols>
    <col min="1" max="1" width="5.140625" style="1" customWidth="1"/>
    <col min="2" max="2" width="21.42578125" style="1" customWidth="1"/>
    <col min="3" max="20" width="9.140625" style="1"/>
    <col min="21" max="26" width="9.140625" style="52"/>
    <col min="27" max="27" width="20.42578125" style="52" bestFit="1" customWidth="1"/>
    <col min="28" max="34" width="9.140625" style="52"/>
    <col min="35" max="16384" width="9.140625" style="1"/>
  </cols>
  <sheetData>
    <row r="1" spans="2:31" ht="27" thickBot="1">
      <c r="B1" s="17" t="s">
        <v>76</v>
      </c>
      <c r="G1" s="9" t="s">
        <v>122</v>
      </c>
      <c r="Z1" s="52" t="s">
        <v>33</v>
      </c>
    </row>
    <row r="2" spans="2:31" ht="13.5" thickBot="1">
      <c r="B2" s="1" t="s">
        <v>1</v>
      </c>
      <c r="C2" s="2">
        <v>0.8</v>
      </c>
      <c r="Y2" s="52" t="s">
        <v>32</v>
      </c>
      <c r="Z2" s="52">
        <f>(2*G9+1)/(G9+1)</f>
        <v>1</v>
      </c>
    </row>
    <row r="3" spans="2:31" ht="13.5" thickBot="1">
      <c r="C3" s="14"/>
      <c r="Y3" s="52" t="s">
        <v>236</v>
      </c>
      <c r="Z3" s="52">
        <v>0.75</v>
      </c>
    </row>
    <row r="4" spans="2:31" ht="13.5" thickBot="1">
      <c r="B4" s="8" t="s">
        <v>59</v>
      </c>
      <c r="C4" s="2">
        <v>0.05</v>
      </c>
      <c r="Y4" s="52" t="s">
        <v>31</v>
      </c>
      <c r="Z4" s="52">
        <v>0.5</v>
      </c>
    </row>
    <row r="5" spans="2:31" ht="16.5" thickBot="1">
      <c r="B5" s="1" t="s">
        <v>120</v>
      </c>
      <c r="C5" s="43">
        <v>0.3</v>
      </c>
      <c r="D5" s="1" t="s">
        <v>127</v>
      </c>
      <c r="U5" s="52" t="s">
        <v>56</v>
      </c>
      <c r="Y5" s="52">
        <v>3</v>
      </c>
    </row>
    <row r="6" spans="2:31" ht="16.5" thickBot="1">
      <c r="B6" s="1" t="s">
        <v>34</v>
      </c>
      <c r="C6" s="43">
        <v>0.9</v>
      </c>
      <c r="D6" s="1" t="str">
        <f>IF(C6=1,"","(to "&amp;ROUND(100/C6,1)&amp;"%)")&amp;IF(OR($C$6&lt;$C$7,$C$6&gt;$C$8)," WARNING: Ratio outside BE limits.","")</f>
        <v>(to 111.1%)</v>
      </c>
      <c r="U6" s="52">
        <v>1</v>
      </c>
      <c r="Y6" s="52">
        <f>INDEX(Z2:Z4,Y5,1)</f>
        <v>0.5</v>
      </c>
    </row>
    <row r="7" spans="2:31" ht="13.5" thickBot="1">
      <c r="B7" s="1" t="s">
        <v>9</v>
      </c>
      <c r="C7" s="13">
        <v>0.8</v>
      </c>
    </row>
    <row r="8" spans="2:31" ht="13.5" thickBot="1">
      <c r="B8" s="1" t="s">
        <v>10</v>
      </c>
      <c r="C8" s="13">
        <f>1/C7</f>
        <v>1.25</v>
      </c>
    </row>
    <row r="10" spans="2:31" ht="15.75">
      <c r="B10" s="8" t="s">
        <v>26</v>
      </c>
      <c r="C10" s="1">
        <f>SQRT(LN((C5)^2+1))</f>
        <v>0.29356037920852401</v>
      </c>
      <c r="V10" s="52" t="s">
        <v>212</v>
      </c>
      <c r="W10" s="52" t="s">
        <v>210</v>
      </c>
      <c r="X10" s="52" t="s">
        <v>213</v>
      </c>
      <c r="Y10" s="52" t="s">
        <v>211</v>
      </c>
      <c r="AA10" s="52" t="s">
        <v>224</v>
      </c>
      <c r="AB10" s="52" t="s">
        <v>225</v>
      </c>
    </row>
    <row r="11" spans="2:31">
      <c r="B11" s="1" t="s">
        <v>0</v>
      </c>
      <c r="C11" s="7">
        <v>79</v>
      </c>
      <c r="U11" s="52" t="s">
        <v>206</v>
      </c>
      <c r="V11" s="53">
        <f>C6</f>
        <v>0.9</v>
      </c>
      <c r="W11" s="52">
        <f>$C$10</f>
        <v>0.29356037920852401</v>
      </c>
      <c r="X11" s="52">
        <f>W11/SQRT(C11)</f>
        <v>3.3028123083876586E-2</v>
      </c>
      <c r="Y11" s="52">
        <f>TINV($C$4*2,$C$11-2)*X11</f>
        <v>5.4988011417007022E-2</v>
      </c>
      <c r="AA11" s="54">
        <f>V11+4*W11</f>
        <v>2.0742415168340962</v>
      </c>
      <c r="AB11" s="52">
        <f>AA11/33</f>
        <v>6.2855803540427163E-2</v>
      </c>
    </row>
    <row r="12" spans="2:31">
      <c r="B12" s="1" t="s">
        <v>2</v>
      </c>
      <c r="C12" s="1">
        <f>C11-2</f>
        <v>77</v>
      </c>
    </row>
    <row r="13" spans="2:31">
      <c r="B13" s="1" t="s">
        <v>8</v>
      </c>
      <c r="C13" s="1">
        <f>TINV(C4*2,C12)</f>
        <v>1.6648845372582084</v>
      </c>
      <c r="Y13" s="52" t="b">
        <v>0</v>
      </c>
      <c r="AC13" s="52" t="b">
        <v>1</v>
      </c>
    </row>
    <row r="14" spans="2:31">
      <c r="B14" s="1" t="s">
        <v>3</v>
      </c>
      <c r="C14" s="1">
        <f>(SQRT(C11)*(LN(C6)-LN(C8)))/(SQRT(2*C10^2))</f>
        <v>-7.0330200966425114</v>
      </c>
      <c r="U14" s="52" t="s">
        <v>205</v>
      </c>
      <c r="V14" s="52" t="s">
        <v>227</v>
      </c>
      <c r="Y14" s="55" t="s">
        <v>220</v>
      </c>
      <c r="AC14" s="55" t="s">
        <v>222</v>
      </c>
    </row>
    <row r="15" spans="2:31">
      <c r="B15" s="1" t="s">
        <v>4</v>
      </c>
      <c r="C15" s="1">
        <f>(SQRT(C11)*(LN(C6)-LN(C7)))/(SQRT(2*C10^2))</f>
        <v>2.5216444485767089</v>
      </c>
      <c r="U15" s="52">
        <v>0</v>
      </c>
      <c r="V15" s="52">
        <f>_xlfn.NORM.DIST($U15,$V$11,$C$5,FALSE)</f>
        <v>1.477282803979336E-2</v>
      </c>
      <c r="Y15" s="52" t="s">
        <v>217</v>
      </c>
      <c r="Z15" s="52" t="s">
        <v>214</v>
      </c>
      <c r="AA15" s="52" t="s">
        <v>215</v>
      </c>
      <c r="AC15" s="52" t="s">
        <v>217</v>
      </c>
      <c r="AD15" s="52" t="s">
        <v>214</v>
      </c>
      <c r="AE15" s="52" t="s">
        <v>215</v>
      </c>
    </row>
    <row r="16" spans="2:31">
      <c r="B16" s="1" t="s">
        <v>7</v>
      </c>
      <c r="C16" s="1">
        <f>NCt(-C13,C12,C14)</f>
        <v>0.9999999495687445</v>
      </c>
      <c r="U16" s="52">
        <f>U15+$AB$11</f>
        <v>6.2855803540427163E-2</v>
      </c>
      <c r="V16" s="52">
        <f t="shared" ref="V16:V47" si="0">_xlfn.NORM.DIST($U16,$V$11,$C$5,FALSE)</f>
        <v>2.7096333066061466E-2</v>
      </c>
      <c r="Y16" s="52" t="s">
        <v>216</v>
      </c>
      <c r="Z16" s="52">
        <f>$V$11-$W$11</f>
        <v>0.60643962079147595</v>
      </c>
      <c r="AA16" s="52">
        <v>0</v>
      </c>
      <c r="AC16" s="52" t="s">
        <v>216</v>
      </c>
      <c r="AD16" s="52">
        <f>$V$11-$Y$11</f>
        <v>0.84501198858299298</v>
      </c>
      <c r="AE16" s="52">
        <v>0</v>
      </c>
    </row>
    <row r="17" spans="2:31">
      <c r="B17" s="1" t="s">
        <v>6</v>
      </c>
      <c r="C17" s="1">
        <f>NCt(C13,C12,C15)</f>
        <v>0.1964046087104091</v>
      </c>
      <c r="U17" s="52">
        <f t="shared" ref="U17:U47" si="1">U16+$AB$11</f>
        <v>0.12571160708085433</v>
      </c>
      <c r="V17" s="52">
        <f t="shared" si="0"/>
        <v>4.7565557097961828E-2</v>
      </c>
      <c r="Y17" s="52" t="s">
        <v>218</v>
      </c>
      <c r="Z17" s="52">
        <f>Z16</f>
        <v>0.60643962079147595</v>
      </c>
      <c r="AA17" s="52">
        <f>IF(Y13,MAX($V$15:$V$47),0)</f>
        <v>0</v>
      </c>
      <c r="AC17" s="52" t="s">
        <v>218</v>
      </c>
      <c r="AD17" s="52">
        <f>AD16</f>
        <v>0.84501198858299298</v>
      </c>
      <c r="AE17" s="52">
        <f>IF(AC13,MAX($V$15:$V$47),0)</f>
        <v>1.3268502231061179</v>
      </c>
    </row>
    <row r="18" spans="2:31">
      <c r="B18" s="1" t="s">
        <v>58</v>
      </c>
      <c r="C18" s="1">
        <f>C16-C17</f>
        <v>0.80359534085833539</v>
      </c>
      <c r="E18" s="5"/>
      <c r="U18" s="52">
        <f t="shared" si="1"/>
        <v>0.18856741062128149</v>
      </c>
      <c r="V18" s="52">
        <f t="shared" si="0"/>
        <v>7.9911602450833827E-2</v>
      </c>
      <c r="Y18" s="52" t="s">
        <v>219</v>
      </c>
      <c r="Z18" s="52" t="s">
        <v>214</v>
      </c>
      <c r="AA18" s="52" t="s">
        <v>215</v>
      </c>
      <c r="AC18" s="52" t="s">
        <v>219</v>
      </c>
      <c r="AD18" s="52" t="s">
        <v>214</v>
      </c>
      <c r="AE18" s="52" t="s">
        <v>215</v>
      </c>
    </row>
    <row r="19" spans="2:31">
      <c r="U19" s="52">
        <f t="shared" si="1"/>
        <v>0.25142321416170865</v>
      </c>
      <c r="V19" s="52">
        <f t="shared" si="0"/>
        <v>0.12848791379412886</v>
      </c>
      <c r="Y19" s="52" t="s">
        <v>216</v>
      </c>
      <c r="Z19" s="52">
        <f>$V$11+$W$11</f>
        <v>1.1935603792085241</v>
      </c>
      <c r="AA19" s="52">
        <v>0</v>
      </c>
      <c r="AC19" s="52" t="s">
        <v>216</v>
      </c>
      <c r="AD19" s="52">
        <f>$V$11+$Y$11</f>
        <v>0.95498801141700707</v>
      </c>
      <c r="AE19" s="52">
        <v>0</v>
      </c>
    </row>
    <row r="20" spans="2:31">
      <c r="B20" s="1" t="s">
        <v>11</v>
      </c>
      <c r="C20" s="1">
        <f>CEILING(INDEX(Z2:Z4,Y5,1)*C11,1)</f>
        <v>40</v>
      </c>
      <c r="U20" s="52">
        <f t="shared" si="1"/>
        <v>0.31427901770213584</v>
      </c>
      <c r="V20" s="52">
        <f t="shared" si="0"/>
        <v>0.1977196814466011</v>
      </c>
      <c r="Y20" s="52" t="s">
        <v>218</v>
      </c>
      <c r="Z20" s="52">
        <f>Z19</f>
        <v>1.1935603792085241</v>
      </c>
      <c r="AA20" s="52">
        <f>AA17</f>
        <v>0</v>
      </c>
      <c r="AC20" s="52" t="s">
        <v>218</v>
      </c>
      <c r="AD20" s="52">
        <f>AD19</f>
        <v>0.95498801141700707</v>
      </c>
      <c r="AE20" s="52">
        <f>AE17</f>
        <v>1.3268502231061179</v>
      </c>
    </row>
    <row r="21" spans="2:31">
      <c r="U21" s="52">
        <f t="shared" si="1"/>
        <v>0.37713482124256303</v>
      </c>
      <c r="V21" s="52">
        <f t="shared" si="0"/>
        <v>0.29118748986942972</v>
      </c>
    </row>
    <row r="22" spans="2:31">
      <c r="U22" s="52">
        <f t="shared" si="1"/>
        <v>0.43999062478299023</v>
      </c>
      <c r="V22" s="52">
        <f t="shared" si="0"/>
        <v>0.41042207290166549</v>
      </c>
      <c r="Y22" s="55"/>
      <c r="AC22" s="55"/>
    </row>
    <row r="23" spans="2:31">
      <c r="U23" s="52">
        <f t="shared" si="1"/>
        <v>0.50284642832341742</v>
      </c>
      <c r="V23" s="52">
        <f t="shared" si="0"/>
        <v>0.55363545229058264</v>
      </c>
    </row>
    <row r="24" spans="2:31">
      <c r="U24" s="52">
        <f t="shared" si="1"/>
        <v>0.56570223186384461</v>
      </c>
      <c r="V24" s="52">
        <f t="shared" si="0"/>
        <v>0.71474686948667876</v>
      </c>
    </row>
    <row r="25" spans="2:31">
      <c r="U25" s="52">
        <f t="shared" si="1"/>
        <v>0.6285580354042718</v>
      </c>
      <c r="V25" s="52">
        <f t="shared" si="0"/>
        <v>0.88311206356970129</v>
      </c>
    </row>
    <row r="26" spans="2:31">
      <c r="U26" s="52">
        <f t="shared" si="1"/>
        <v>0.69141383894469899</v>
      </c>
      <c r="V26" s="52">
        <f t="shared" si="0"/>
        <v>1.0442742258768614</v>
      </c>
    </row>
    <row r="27" spans="2:31">
      <c r="U27" s="52">
        <f t="shared" si="1"/>
        <v>0.75426964248512618</v>
      </c>
      <c r="V27" s="52">
        <f t="shared" si="0"/>
        <v>1.1818122495065957</v>
      </c>
    </row>
    <row r="28" spans="2:31">
      <c r="U28" s="52">
        <f t="shared" si="1"/>
        <v>0.81712544602555337</v>
      </c>
      <c r="V28" s="52">
        <f t="shared" si="0"/>
        <v>1.2800224931945334</v>
      </c>
    </row>
    <row r="29" spans="2:31">
      <c r="U29" s="52">
        <f t="shared" si="1"/>
        <v>0.87998124956598056</v>
      </c>
      <c r="V29" s="52">
        <f t="shared" si="0"/>
        <v>1.3268502231061179</v>
      </c>
      <c r="Y29" s="52" t="b">
        <v>1</v>
      </c>
    </row>
    <row r="30" spans="2:31">
      <c r="U30" s="52">
        <f t="shared" si="1"/>
        <v>0.94283705310640775</v>
      </c>
      <c r="V30" s="52">
        <f t="shared" si="0"/>
        <v>1.3163197227249672</v>
      </c>
      <c r="Y30" s="55" t="s">
        <v>228</v>
      </c>
    </row>
    <row r="31" spans="2:31">
      <c r="U31" s="52">
        <f t="shared" si="1"/>
        <v>1.0056928566468348</v>
      </c>
      <c r="V31" s="52">
        <f t="shared" si="0"/>
        <v>1.2497871682536457</v>
      </c>
      <c r="Y31" s="52" t="s">
        <v>217</v>
      </c>
      <c r="Z31" s="52" t="s">
        <v>214</v>
      </c>
      <c r="AA31" s="52" t="s">
        <v>215</v>
      </c>
    </row>
    <row r="32" spans="2:31">
      <c r="U32" s="52">
        <f t="shared" si="1"/>
        <v>1.068548660187262</v>
      </c>
      <c r="V32" s="52">
        <f t="shared" si="0"/>
        <v>1.1356537008909846</v>
      </c>
      <c r="Y32" s="52" t="s">
        <v>216</v>
      </c>
      <c r="Z32" s="56">
        <f>C7</f>
        <v>0.8</v>
      </c>
      <c r="AA32" s="52">
        <v>0</v>
      </c>
    </row>
    <row r="33" spans="21:27">
      <c r="U33" s="52">
        <f t="shared" si="1"/>
        <v>1.1314044637276892</v>
      </c>
      <c r="V33" s="52">
        <f t="shared" si="0"/>
        <v>0.98762247825526639</v>
      </c>
      <c r="Y33" s="52" t="s">
        <v>218</v>
      </c>
      <c r="Z33" s="56">
        <f>Z32</f>
        <v>0.8</v>
      </c>
      <c r="AA33" s="52">
        <f>IF($Y$29,MAX($V$15:$W$47),0)</f>
        <v>1.3268502231061179</v>
      </c>
    </row>
    <row r="34" spans="21:27">
      <c r="U34" s="52">
        <f t="shared" si="1"/>
        <v>1.1942602672681164</v>
      </c>
      <c r="V34" s="52">
        <f t="shared" si="0"/>
        <v>0.82199882643964128</v>
      </c>
      <c r="Y34" s="52" t="s">
        <v>219</v>
      </c>
      <c r="Z34" s="52" t="s">
        <v>214</v>
      </c>
      <c r="AA34" s="52" t="s">
        <v>215</v>
      </c>
    </row>
    <row r="35" spans="21:27">
      <c r="U35" s="52">
        <f t="shared" si="1"/>
        <v>1.2571160708085436</v>
      </c>
      <c r="V35" s="52">
        <f t="shared" si="0"/>
        <v>0.65476674718804873</v>
      </c>
      <c r="Y35" s="52" t="s">
        <v>216</v>
      </c>
      <c r="Z35" s="56">
        <f>C8</f>
        <v>1.25</v>
      </c>
      <c r="AA35" s="52">
        <v>0</v>
      </c>
    </row>
    <row r="36" spans="21:27">
      <c r="U36" s="52">
        <f t="shared" si="1"/>
        <v>1.3199718743489708</v>
      </c>
      <c r="V36" s="52">
        <f t="shared" si="0"/>
        <v>0.49915706150721351</v>
      </c>
      <c r="Y36" s="52" t="s">
        <v>218</v>
      </c>
      <c r="Z36" s="56">
        <f>Z35</f>
        <v>1.25</v>
      </c>
      <c r="AA36" s="52">
        <f>AA33</f>
        <v>1.3268502231061179</v>
      </c>
    </row>
    <row r="37" spans="21:27">
      <c r="U37" s="52">
        <f t="shared" si="1"/>
        <v>1.382827677889398</v>
      </c>
      <c r="V37" s="52">
        <f t="shared" si="0"/>
        <v>0.3641858012715018</v>
      </c>
    </row>
    <row r="38" spans="21:27">
      <c r="U38" s="52">
        <f t="shared" si="1"/>
        <v>1.4456834814298252</v>
      </c>
      <c r="V38" s="52">
        <f t="shared" si="0"/>
        <v>0.25429860993809755</v>
      </c>
    </row>
    <row r="39" spans="21:27">
      <c r="U39" s="52">
        <f t="shared" si="1"/>
        <v>1.5085392849702524</v>
      </c>
      <c r="V39" s="52">
        <f t="shared" si="0"/>
        <v>0.169941774582163</v>
      </c>
    </row>
    <row r="40" spans="21:27">
      <c r="U40" s="52">
        <f t="shared" si="1"/>
        <v>1.5713950885106795</v>
      </c>
      <c r="V40" s="52">
        <f t="shared" si="0"/>
        <v>0.10869047781366145</v>
      </c>
    </row>
    <row r="41" spans="21:27">
      <c r="U41" s="52">
        <f t="shared" si="1"/>
        <v>1.6342508920511067</v>
      </c>
      <c r="V41" s="52">
        <f t="shared" si="0"/>
        <v>6.6530078085967767E-2</v>
      </c>
    </row>
    <row r="42" spans="21:27">
      <c r="U42" s="52">
        <f t="shared" si="1"/>
        <v>1.6971066955915339</v>
      </c>
      <c r="V42" s="52">
        <f t="shared" si="0"/>
        <v>3.8974428408071964E-2</v>
      </c>
    </row>
    <row r="43" spans="21:27">
      <c r="U43" s="52">
        <f t="shared" si="1"/>
        <v>1.7599624991319611</v>
      </c>
      <c r="V43" s="52">
        <f t="shared" si="0"/>
        <v>2.1851268942557921E-2</v>
      </c>
    </row>
    <row r="44" spans="21:27" ht="20.25" customHeight="1">
      <c r="U44" s="52">
        <f t="shared" si="1"/>
        <v>1.8228183026723883</v>
      </c>
      <c r="V44" s="52">
        <f t="shared" si="0"/>
        <v>1.1724889439740756E-2</v>
      </c>
    </row>
    <row r="45" spans="21:27">
      <c r="U45" s="52">
        <f t="shared" si="1"/>
        <v>1.8856741062128155</v>
      </c>
      <c r="V45" s="52">
        <f t="shared" si="0"/>
        <v>6.0211027202522194E-3</v>
      </c>
    </row>
    <row r="46" spans="21:27">
      <c r="U46" s="52">
        <f t="shared" si="1"/>
        <v>1.9485299097532427</v>
      </c>
      <c r="V46" s="52">
        <f t="shared" si="0"/>
        <v>2.9592285119466512E-3</v>
      </c>
    </row>
    <row r="47" spans="21:27">
      <c r="U47" s="52">
        <f t="shared" si="1"/>
        <v>2.0113857132936697</v>
      </c>
      <c r="V47" s="52">
        <f t="shared" si="0"/>
        <v>1.3919260261450537E-3</v>
      </c>
    </row>
    <row r="52" spans="2:2" ht="18">
      <c r="B52" s="28" t="s">
        <v>123</v>
      </c>
    </row>
    <row r="63" spans="2:2">
      <c r="B63" s="9" t="s">
        <v>125</v>
      </c>
    </row>
    <row r="67" spans="2:7">
      <c r="B67" s="9"/>
      <c r="G67" s="6"/>
    </row>
    <row r="68" spans="2:7">
      <c r="G68" s="6"/>
    </row>
    <row r="69" spans="2:7">
      <c r="B69" s="9"/>
      <c r="G69" s="6"/>
    </row>
    <row r="70" spans="2:7">
      <c r="G70" s="6"/>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SS_Probt">
                <anchor moveWithCells="1" sizeWithCells="1">
                  <from>
                    <xdr:col>1</xdr:col>
                    <xdr:colOff>95250</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35842" r:id="rId5" name="Button 2">
              <controlPr defaultSize="0" print="0" autoFill="0" autoPict="0" macro="[0]!SS_Boss_BE">
                <anchor moveWithCells="1" sizeWithCells="1">
                  <from>
                    <xdr:col>3</xdr:col>
                    <xdr:colOff>476250</xdr:colOff>
                    <xdr:row>23</xdr:row>
                    <xdr:rowOff>0</xdr:rowOff>
                  </from>
                  <to>
                    <xdr:col>5</xdr:col>
                    <xdr:colOff>95250</xdr:colOff>
                    <xdr:row>24</xdr:row>
                    <xdr:rowOff>85725</xdr:rowOff>
                  </to>
                </anchor>
              </controlPr>
            </control>
          </mc:Choice>
        </mc:AlternateContent>
        <mc:AlternateContent xmlns:mc="http://schemas.openxmlformats.org/markup-compatibility/2006">
          <mc:Choice Requires="x14">
            <control shapeId="35843" r:id="rId6" name="Button 3">
              <controlPr defaultSize="0" print="0" autoFill="0" autoPict="0" macro="[0]!ISV_Calculator">
                <anchor moveWithCells="1" sizeWithCells="1">
                  <from>
                    <xdr:col>5</xdr:col>
                    <xdr:colOff>171450</xdr:colOff>
                    <xdr:row>23</xdr:row>
                    <xdr:rowOff>0</xdr:rowOff>
                  </from>
                  <to>
                    <xdr:col>9</xdr:col>
                    <xdr:colOff>95250</xdr:colOff>
                    <xdr:row>24</xdr:row>
                    <xdr:rowOff>85725</xdr:rowOff>
                  </to>
                </anchor>
              </controlPr>
            </control>
          </mc:Choice>
        </mc:AlternateContent>
        <mc:AlternateContent xmlns:mc="http://schemas.openxmlformats.org/markup-compatibility/2006">
          <mc:Choice Requires="x14">
            <control shapeId="35844" r:id="rId7" name="Button 4">
              <controlPr defaultSize="0" print="0" autoFill="0" autoPict="0" macro="[0]!Power_Calculator_XO">
                <anchor moveWithCells="1" sizeWithCells="1">
                  <from>
                    <xdr:col>2</xdr:col>
                    <xdr:colOff>57150</xdr:colOff>
                    <xdr:row>23</xdr:row>
                    <xdr:rowOff>0</xdr:rowOff>
                  </from>
                  <to>
                    <xdr:col>3</xdr:col>
                    <xdr:colOff>400050</xdr:colOff>
                    <xdr:row>24</xdr:row>
                    <xdr:rowOff>85725</xdr:rowOff>
                  </to>
                </anchor>
              </controlPr>
            </control>
          </mc:Choice>
        </mc:AlternateContent>
        <mc:AlternateContent xmlns:mc="http://schemas.openxmlformats.org/markup-compatibility/2006">
          <mc:Choice Requires="x14">
            <control shapeId="35845" r:id="rId8" name="Check Box 5">
              <controlPr defaultSize="0" autoFill="0" autoLine="0" autoPict="0">
                <anchor moveWithCells="1">
                  <from>
                    <xdr:col>10</xdr:col>
                    <xdr:colOff>323850</xdr:colOff>
                    <xdr:row>6</xdr:row>
                    <xdr:rowOff>85725</xdr:rowOff>
                  </from>
                  <to>
                    <xdr:col>11</xdr:col>
                    <xdr:colOff>485775</xdr:colOff>
                    <xdr:row>7</xdr:row>
                    <xdr:rowOff>123825</xdr:rowOff>
                  </to>
                </anchor>
              </controlPr>
            </control>
          </mc:Choice>
        </mc:AlternateContent>
        <mc:AlternateContent xmlns:mc="http://schemas.openxmlformats.org/markup-compatibility/2006">
          <mc:Choice Requires="x14">
            <control shapeId="35846" r:id="rId9" name="Check Box 6">
              <controlPr defaultSize="0" autoFill="0" autoLine="0" autoPict="0">
                <anchor moveWithCells="1">
                  <from>
                    <xdr:col>10</xdr:col>
                    <xdr:colOff>323850</xdr:colOff>
                    <xdr:row>7</xdr:row>
                    <xdr:rowOff>123825</xdr:rowOff>
                  </from>
                  <to>
                    <xdr:col>11</xdr:col>
                    <xdr:colOff>485775</xdr:colOff>
                    <xdr:row>9</xdr:row>
                    <xdr:rowOff>19050</xdr:rowOff>
                  </to>
                </anchor>
              </controlPr>
            </control>
          </mc:Choice>
        </mc:AlternateContent>
        <mc:AlternateContent xmlns:mc="http://schemas.openxmlformats.org/markup-compatibility/2006">
          <mc:Choice Requires="x14">
            <control shapeId="35847" r:id="rId10" name="Check Box 7">
              <controlPr defaultSize="0" autoFill="0" autoLine="0" autoPict="0">
                <anchor moveWithCells="1">
                  <from>
                    <xdr:col>10</xdr:col>
                    <xdr:colOff>323850</xdr:colOff>
                    <xdr:row>9</xdr:row>
                    <xdr:rowOff>19050</xdr:rowOff>
                  </from>
                  <to>
                    <xdr:col>11</xdr:col>
                    <xdr:colOff>485775</xdr:colOff>
                    <xdr:row>10</xdr:row>
                    <xdr:rowOff>19050</xdr:rowOff>
                  </to>
                </anchor>
              </controlPr>
            </control>
          </mc:Choice>
        </mc:AlternateContent>
        <mc:AlternateContent xmlns:mc="http://schemas.openxmlformats.org/markup-compatibility/2006">
          <mc:Choice Requires="x14">
            <control shapeId="35850" r:id="rId11" name="Drop Down 10">
              <controlPr defaultSize="0" autoLine="0" autoPict="0">
                <anchor moveWithCells="1">
                  <from>
                    <xdr:col>3</xdr:col>
                    <xdr:colOff>114300</xdr:colOff>
                    <xdr:row>1</xdr:row>
                    <xdr:rowOff>0</xdr:rowOff>
                  </from>
                  <to>
                    <xdr:col>6</xdr:col>
                    <xdr:colOff>400050</xdr:colOff>
                    <xdr:row>2</xdr:row>
                    <xdr:rowOff>19050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B1:U189"/>
  <sheetViews>
    <sheetView workbookViewId="0">
      <selection activeCell="C3" sqref="C3"/>
    </sheetView>
  </sheetViews>
  <sheetFormatPr defaultColWidth="9.140625" defaultRowHeight="12.75"/>
  <cols>
    <col min="1" max="1" width="5.140625" style="1" customWidth="1"/>
    <col min="2" max="2" width="28.140625" style="1" customWidth="1"/>
    <col min="3" max="4" width="9.140625" style="1"/>
    <col min="5" max="5" width="9.140625" style="1" customWidth="1"/>
    <col min="6" max="16384" width="9.140625" style="1"/>
  </cols>
  <sheetData>
    <row r="1" spans="2:15" ht="26.25">
      <c r="B1" s="17" t="s">
        <v>194</v>
      </c>
    </row>
    <row r="2" spans="2:15" ht="13.5" thickBot="1"/>
    <row r="3" spans="2:15" ht="13.5" thickBot="1">
      <c r="B3" s="15" t="s">
        <v>197</v>
      </c>
      <c r="C3" s="34">
        <v>0.3</v>
      </c>
      <c r="D3" s="15" t="s">
        <v>198</v>
      </c>
      <c r="E3" s="15"/>
      <c r="F3" s="15"/>
      <c r="G3" s="15"/>
      <c r="H3" s="15"/>
      <c r="I3" s="15"/>
      <c r="J3" s="15"/>
      <c r="K3" s="15"/>
      <c r="L3" s="15"/>
      <c r="M3" s="15"/>
      <c r="N3" s="15"/>
      <c r="O3" s="15"/>
    </row>
    <row r="4" spans="2:15">
      <c r="B4" s="15"/>
      <c r="C4" s="15"/>
      <c r="D4" s="15"/>
      <c r="E4" s="15"/>
      <c r="F4" s="15"/>
      <c r="G4" s="15"/>
      <c r="H4" s="15"/>
      <c r="I4" s="15"/>
      <c r="J4" s="15"/>
      <c r="K4" s="15"/>
      <c r="L4" s="15"/>
      <c r="M4" s="15"/>
      <c r="N4" s="15"/>
      <c r="O4" s="15"/>
    </row>
    <row r="5" spans="2:15">
      <c r="B5" s="15"/>
      <c r="C5" s="15"/>
      <c r="D5" s="15"/>
      <c r="E5" s="15"/>
      <c r="F5" s="15"/>
      <c r="G5" s="15"/>
      <c r="H5" s="15"/>
      <c r="I5" s="15"/>
      <c r="J5" s="15"/>
      <c r="K5" s="15"/>
      <c r="L5" s="15"/>
      <c r="M5" s="15"/>
      <c r="N5" s="15"/>
      <c r="O5" s="15"/>
    </row>
    <row r="6" spans="2:15" ht="15.75">
      <c r="B6" s="40" t="s">
        <v>168</v>
      </c>
    </row>
    <row r="7" spans="2:15" ht="15.75">
      <c r="B7" s="40" t="s">
        <v>169</v>
      </c>
    </row>
    <row r="8" spans="2:15" ht="15.75">
      <c r="B8" s="40"/>
    </row>
    <row r="9" spans="2:15" ht="18">
      <c r="B9" s="28" t="s">
        <v>150</v>
      </c>
      <c r="C9" s="15"/>
      <c r="D9" s="15"/>
      <c r="E9" s="15"/>
      <c r="F9" s="15"/>
      <c r="G9" s="15"/>
      <c r="H9" s="15"/>
      <c r="I9" s="15"/>
      <c r="J9" s="15"/>
      <c r="K9" s="15"/>
      <c r="L9" s="15"/>
      <c r="M9" s="15"/>
      <c r="N9" s="15"/>
      <c r="O9" s="15"/>
    </row>
    <row r="10" spans="2:15" ht="18">
      <c r="B10" s="28" t="s">
        <v>166</v>
      </c>
      <c r="C10" s="15"/>
      <c r="D10" s="15"/>
      <c r="E10" s="15"/>
      <c r="F10" s="15"/>
      <c r="G10" s="15"/>
      <c r="H10" s="15"/>
      <c r="I10" s="15"/>
      <c r="J10" s="15"/>
      <c r="K10" s="15"/>
      <c r="L10" s="15"/>
      <c r="M10" s="15"/>
      <c r="N10" s="15"/>
      <c r="O10" s="15"/>
    </row>
    <row r="11" spans="2:15" ht="13.5" thickBot="1">
      <c r="K11" s="15"/>
      <c r="L11" s="15"/>
      <c r="M11" s="15"/>
      <c r="N11" s="15"/>
      <c r="O11" s="15"/>
    </row>
    <row r="12" spans="2:15" ht="13.5" thickBot="1">
      <c r="B12" s="15" t="s">
        <v>183</v>
      </c>
      <c r="C12" s="30">
        <v>0.29360000000000003</v>
      </c>
      <c r="E12" s="15" t="s">
        <v>148</v>
      </c>
      <c r="H12" s="15"/>
      <c r="I12" s="15"/>
      <c r="J12" s="15"/>
      <c r="K12" s="15"/>
      <c r="L12" s="15"/>
      <c r="M12" s="15"/>
      <c r="N12" s="15"/>
      <c r="O12" s="15"/>
    </row>
    <row r="13" spans="2:15">
      <c r="B13" s="15" t="s">
        <v>184</v>
      </c>
      <c r="C13" s="15">
        <f>LN(1.25)^2/(C12^2)</f>
        <v>0.57763909465877594</v>
      </c>
      <c r="E13" s="15" t="s">
        <v>145</v>
      </c>
      <c r="K13" s="15"/>
      <c r="L13" s="15"/>
      <c r="M13" s="15"/>
      <c r="N13" s="15"/>
      <c r="O13" s="15"/>
    </row>
    <row r="14" spans="2:15">
      <c r="B14" s="15" t="s">
        <v>185</v>
      </c>
      <c r="C14" s="32">
        <f>SQRT(EXP((C12^2))-1)</f>
        <v>0.30004226001050344</v>
      </c>
      <c r="E14" s="15" t="s">
        <v>146</v>
      </c>
      <c r="G14" s="15"/>
      <c r="H14" s="15"/>
      <c r="I14" s="15"/>
      <c r="J14" s="15"/>
      <c r="K14" s="15"/>
      <c r="L14" s="15"/>
      <c r="M14" s="15"/>
      <c r="N14" s="15"/>
      <c r="O14" s="15"/>
    </row>
    <row r="15" spans="2:15">
      <c r="B15" s="15" t="s">
        <v>186</v>
      </c>
      <c r="C15" s="1">
        <f>LN((C3)^2+1)</f>
        <v>8.6177696241052412E-2</v>
      </c>
      <c r="D15" s="15"/>
      <c r="E15" s="15"/>
      <c r="F15" s="15"/>
      <c r="G15" s="15"/>
      <c r="H15" s="15"/>
      <c r="I15" s="15"/>
      <c r="J15" s="15"/>
      <c r="K15" s="15"/>
      <c r="L15" s="15"/>
      <c r="M15" s="15"/>
      <c r="N15" s="15"/>
      <c r="O15" s="15"/>
    </row>
    <row r="16" spans="2:15">
      <c r="B16" s="15" t="s">
        <v>187</v>
      </c>
      <c r="C16" s="15">
        <f>IF(SQRT(C15)&lt;C12,LN(1.25),SQRT(C13*C15))</f>
        <v>0.22314355131420976</v>
      </c>
      <c r="D16" s="15"/>
      <c r="E16" s="15"/>
      <c r="F16" s="15"/>
      <c r="G16" s="15"/>
      <c r="H16" s="15"/>
      <c r="I16" s="15"/>
      <c r="J16" s="15"/>
      <c r="K16" s="15"/>
      <c r="L16" s="15"/>
      <c r="M16" s="15"/>
      <c r="N16" s="15"/>
      <c r="O16" s="15"/>
    </row>
    <row r="17" spans="2:16">
      <c r="B17" s="15"/>
      <c r="C17" s="15"/>
      <c r="D17" s="15"/>
      <c r="E17" s="15"/>
      <c r="F17" s="15"/>
      <c r="G17" s="15"/>
      <c r="H17" s="15"/>
      <c r="I17" s="15"/>
      <c r="J17" s="15"/>
      <c r="K17" s="15"/>
      <c r="L17" s="15"/>
      <c r="M17" s="15"/>
      <c r="N17" s="15"/>
      <c r="O17" s="15"/>
    </row>
    <row r="18" spans="2:16" ht="18">
      <c r="B18" s="36" t="str">
        <f>"Bioequivalence Limits: "</f>
        <v xml:space="preserve">Bioequivalence Limits: </v>
      </c>
      <c r="C18" s="36" t="str">
        <f>FIXED(100*EXP(-C16),2)&amp;" - "&amp;FIXED(100*EXP(C16),2)&amp;"%"</f>
        <v>80.00 - 125.00%</v>
      </c>
      <c r="F18" s="31"/>
      <c r="G18" s="15"/>
      <c r="H18" s="15"/>
      <c r="I18" s="15"/>
      <c r="J18" s="15"/>
      <c r="K18" s="15"/>
      <c r="L18" s="15"/>
      <c r="M18" s="15"/>
      <c r="N18" s="15"/>
      <c r="O18" s="15"/>
    </row>
    <row r="19" spans="2:16" ht="18">
      <c r="B19" s="36" t="s">
        <v>152</v>
      </c>
      <c r="C19" s="15"/>
      <c r="D19" s="15"/>
      <c r="E19" s="15"/>
      <c r="F19" s="15"/>
      <c r="G19" s="15"/>
      <c r="H19" s="15"/>
      <c r="I19" s="15"/>
      <c r="J19" s="15"/>
      <c r="K19" s="15"/>
      <c r="L19" s="15"/>
      <c r="M19" s="15"/>
      <c r="N19" s="15"/>
      <c r="O19" s="15"/>
    </row>
    <row r="20" spans="2:16">
      <c r="C20" s="15"/>
      <c r="D20" s="15"/>
      <c r="E20" s="15"/>
      <c r="F20" s="15"/>
      <c r="G20" s="15"/>
      <c r="H20" s="15"/>
      <c r="I20" s="15"/>
      <c r="J20" s="15"/>
      <c r="K20" s="15"/>
      <c r="L20" s="15"/>
      <c r="M20" s="15"/>
      <c r="N20" s="15"/>
      <c r="O20" s="15"/>
    </row>
    <row r="21" spans="2:16">
      <c r="B21" s="15" t="s">
        <v>138</v>
      </c>
      <c r="C21" s="9"/>
      <c r="D21" s="15"/>
      <c r="E21" s="15"/>
      <c r="F21" s="15"/>
      <c r="G21" s="15"/>
      <c r="H21" s="15"/>
      <c r="I21" s="15"/>
      <c r="J21" s="15"/>
      <c r="K21" s="15"/>
      <c r="L21" s="15"/>
      <c r="M21" s="15"/>
      <c r="N21" s="15"/>
      <c r="O21" s="15"/>
    </row>
    <row r="22" spans="2:16">
      <c r="B22" s="33" t="s">
        <v>144</v>
      </c>
      <c r="C22" s="9"/>
      <c r="D22" s="15"/>
      <c r="E22" s="15"/>
      <c r="F22" s="15"/>
      <c r="G22" s="15"/>
      <c r="H22" s="15"/>
      <c r="I22" s="15"/>
      <c r="J22" s="15"/>
      <c r="K22" s="15"/>
      <c r="L22" s="15"/>
      <c r="M22" s="15"/>
      <c r="N22" s="15"/>
      <c r="O22" s="15"/>
    </row>
    <row r="23" spans="2:16">
      <c r="B23" s="33" t="s">
        <v>147</v>
      </c>
      <c r="C23" s="15"/>
      <c r="D23" s="15"/>
      <c r="E23" s="15"/>
      <c r="F23" s="15"/>
      <c r="G23" s="15"/>
      <c r="I23" s="15"/>
      <c r="K23" s="15"/>
      <c r="L23" s="15"/>
      <c r="M23" s="15"/>
      <c r="N23" s="15"/>
      <c r="O23" s="15"/>
    </row>
    <row r="24" spans="2:16">
      <c r="C24" s="15"/>
      <c r="D24" s="15"/>
      <c r="E24" s="15"/>
      <c r="F24" s="15"/>
      <c r="G24" s="15"/>
      <c r="I24" s="15"/>
      <c r="K24" s="15"/>
      <c r="L24" s="15"/>
      <c r="M24" s="15"/>
      <c r="N24" s="15"/>
      <c r="O24" s="15"/>
    </row>
    <row r="25" spans="2:16">
      <c r="B25" s="15" t="s">
        <v>149</v>
      </c>
      <c r="C25" s="15"/>
      <c r="D25" s="15"/>
      <c r="E25" s="15"/>
      <c r="F25" s="15"/>
      <c r="G25" s="15"/>
      <c r="I25" s="15"/>
      <c r="J25" s="15"/>
      <c r="K25" s="15"/>
      <c r="L25" s="15"/>
      <c r="M25" s="15"/>
      <c r="N25" s="15"/>
      <c r="O25" s="15"/>
    </row>
    <row r="26" spans="2:16">
      <c r="B26" s="15" t="s">
        <v>193</v>
      </c>
      <c r="G26" s="15"/>
      <c r="H26" s="15"/>
      <c r="I26" s="15"/>
      <c r="J26" s="15"/>
      <c r="K26" s="15"/>
      <c r="L26" s="15"/>
      <c r="M26" s="15"/>
      <c r="N26" s="15"/>
      <c r="O26" s="15"/>
    </row>
    <row r="27" spans="2:16">
      <c r="K27" s="15"/>
      <c r="L27" s="15"/>
      <c r="M27" s="15"/>
      <c r="N27" s="15"/>
      <c r="O27" s="15"/>
    </row>
    <row r="28" spans="2:16">
      <c r="K28" s="15"/>
      <c r="L28" s="15"/>
      <c r="M28" s="15"/>
      <c r="N28" s="15"/>
      <c r="O28" s="15"/>
    </row>
    <row r="29" spans="2:16" ht="15.75">
      <c r="B29" s="41" t="s">
        <v>167</v>
      </c>
      <c r="C29" s="38"/>
      <c r="D29" s="38"/>
      <c r="E29" s="38"/>
      <c r="F29" s="38"/>
      <c r="G29" s="38"/>
      <c r="H29" s="38"/>
      <c r="I29" s="38"/>
      <c r="J29" s="38"/>
      <c r="K29" s="38"/>
      <c r="L29" s="38"/>
      <c r="M29" s="38"/>
      <c r="N29" s="38"/>
      <c r="O29" s="38"/>
      <c r="P29" s="39"/>
    </row>
    <row r="30" spans="2:16" ht="18">
      <c r="B30" s="28" t="s">
        <v>151</v>
      </c>
      <c r="C30" s="15"/>
      <c r="D30" s="15"/>
      <c r="E30" s="15"/>
      <c r="F30" s="15"/>
      <c r="G30" s="15"/>
      <c r="H30" s="15"/>
      <c r="I30" s="15"/>
      <c r="J30" s="15"/>
      <c r="K30" s="15"/>
      <c r="L30" s="15"/>
      <c r="M30" s="15"/>
      <c r="N30" s="15"/>
      <c r="O30" s="15"/>
    </row>
    <row r="31" spans="2:16">
      <c r="B31" s="15"/>
      <c r="C31" s="15"/>
      <c r="D31" s="15"/>
      <c r="E31" s="15"/>
      <c r="F31" s="15"/>
      <c r="G31" s="15"/>
      <c r="H31" s="15"/>
      <c r="I31" s="15"/>
      <c r="J31" s="15"/>
      <c r="K31" s="15"/>
      <c r="L31" s="15"/>
      <c r="M31" s="15"/>
      <c r="N31" s="15"/>
      <c r="O31" s="15"/>
    </row>
    <row r="32" spans="2:16">
      <c r="B32" s="15"/>
      <c r="C32" s="15"/>
      <c r="D32" s="15"/>
      <c r="E32" s="15"/>
      <c r="F32" s="15"/>
      <c r="G32" s="15" t="s">
        <v>133</v>
      </c>
      <c r="H32" s="15"/>
      <c r="I32" s="15"/>
      <c r="J32" s="15"/>
      <c r="K32" s="15"/>
      <c r="L32" s="15"/>
      <c r="M32" s="15"/>
      <c r="N32" s="15"/>
      <c r="O32" s="15"/>
    </row>
    <row r="33" spans="2:21">
      <c r="B33" s="15"/>
      <c r="C33" s="15"/>
      <c r="D33" s="15"/>
      <c r="E33" s="15"/>
      <c r="F33" s="15"/>
      <c r="G33" s="15" t="s">
        <v>139</v>
      </c>
      <c r="H33" s="15"/>
      <c r="I33" s="15"/>
      <c r="J33" s="15"/>
      <c r="K33" s="15"/>
      <c r="L33" s="15"/>
      <c r="M33" s="15"/>
      <c r="N33" s="15"/>
      <c r="O33" s="15"/>
    </row>
    <row r="34" spans="2:21" ht="13.5" thickBot="1">
      <c r="C34" s="15"/>
      <c r="D34" s="15"/>
      <c r="E34" s="15"/>
      <c r="F34" s="15"/>
      <c r="G34" s="15"/>
      <c r="H34" s="15"/>
      <c r="I34" s="15"/>
      <c r="J34" s="15"/>
      <c r="K34" s="15"/>
      <c r="L34" s="15"/>
      <c r="M34" s="15"/>
      <c r="N34" s="15"/>
      <c r="O34" s="15"/>
    </row>
    <row r="35" spans="2:21" ht="13.5" thickBot="1">
      <c r="B35" s="15" t="s">
        <v>183</v>
      </c>
      <c r="C35" s="30">
        <v>0.25</v>
      </c>
      <c r="D35" s="15" t="s">
        <v>140</v>
      </c>
      <c r="E35" s="15"/>
      <c r="F35" s="15"/>
      <c r="G35" s="15"/>
      <c r="H35" s="15"/>
      <c r="I35" s="15"/>
      <c r="J35" s="15"/>
      <c r="K35" s="15"/>
      <c r="L35" s="15"/>
      <c r="M35" s="15"/>
      <c r="N35" s="15"/>
      <c r="O35" s="15"/>
    </row>
    <row r="36" spans="2:21">
      <c r="B36" s="15" t="s">
        <v>185</v>
      </c>
      <c r="C36" s="32">
        <f>SQRT(EXP((C35^2))-1)</f>
        <v>0.25395759275489149</v>
      </c>
      <c r="F36" s="15"/>
      <c r="G36" s="15"/>
      <c r="H36" s="15"/>
      <c r="I36" s="15"/>
      <c r="J36" s="15"/>
      <c r="K36" s="15"/>
      <c r="L36" s="15"/>
      <c r="M36" s="15"/>
      <c r="N36" s="15"/>
      <c r="O36" s="15"/>
    </row>
    <row r="37" spans="2:21">
      <c r="B37" s="15" t="s">
        <v>188</v>
      </c>
      <c r="C37" s="15">
        <f>SQRT(LN((C3)^2+1))</f>
        <v>0.29356037920852401</v>
      </c>
      <c r="D37" s="15" t="s">
        <v>143</v>
      </c>
      <c r="E37" s="15"/>
      <c r="F37" s="15"/>
      <c r="G37" s="15"/>
      <c r="H37" s="15"/>
      <c r="I37" s="15"/>
      <c r="J37" s="15"/>
      <c r="K37" s="15"/>
      <c r="L37" s="15"/>
      <c r="M37" s="15"/>
      <c r="N37" s="15"/>
      <c r="O37" s="15"/>
    </row>
    <row r="38" spans="2:21">
      <c r="B38" s="15" t="s">
        <v>134</v>
      </c>
      <c r="C38" s="1">
        <f>IF(C37&gt;=C35,LN(1.25)*C37/C35,LN(1.25))</f>
        <v>0.2620244221669446</v>
      </c>
      <c r="F38" s="15"/>
      <c r="G38" s="15"/>
      <c r="H38" s="15"/>
      <c r="I38" s="15"/>
      <c r="J38" s="15"/>
      <c r="K38" s="15"/>
      <c r="L38" s="15"/>
      <c r="M38" s="15"/>
      <c r="N38" s="15"/>
      <c r="O38" s="15"/>
    </row>
    <row r="39" spans="2:21">
      <c r="B39" s="15"/>
      <c r="C39" s="15"/>
      <c r="D39" s="15"/>
      <c r="E39" s="15"/>
      <c r="F39" s="15"/>
      <c r="G39" s="15" t="s">
        <v>200</v>
      </c>
      <c r="H39" s="15"/>
      <c r="I39" s="15"/>
      <c r="J39" s="15"/>
      <c r="K39" s="15"/>
      <c r="L39" s="15"/>
      <c r="M39" s="15"/>
      <c r="N39" s="15"/>
      <c r="O39" s="15"/>
    </row>
    <row r="40" spans="2:21" ht="18">
      <c r="B40" s="36" t="s">
        <v>132</v>
      </c>
      <c r="C40" s="36" t="str">
        <f>FIXED(100*EXP(-C38),2)&amp;" - "&amp;FIXED(100*EXP(C38),2)&amp;"%"</f>
        <v>76.95 - 129.96%</v>
      </c>
      <c r="D40" s="31"/>
      <c r="E40" s="15"/>
      <c r="F40" s="15"/>
      <c r="G40" s="15"/>
      <c r="H40" s="15"/>
      <c r="I40" s="15"/>
      <c r="J40" s="15"/>
      <c r="K40" s="15"/>
      <c r="L40" s="15"/>
      <c r="M40" s="15"/>
      <c r="N40" s="15"/>
      <c r="O40" s="15"/>
    </row>
    <row r="41" spans="2:21">
      <c r="C41" s="9"/>
      <c r="D41" s="15"/>
      <c r="E41" s="15"/>
      <c r="F41" s="15"/>
      <c r="G41" s="15"/>
      <c r="H41" s="15"/>
      <c r="I41" s="15"/>
      <c r="J41" s="15"/>
      <c r="K41" s="15"/>
      <c r="L41" s="15"/>
      <c r="M41" s="15"/>
      <c r="N41" s="15"/>
      <c r="O41" s="15"/>
    </row>
    <row r="42" spans="2:21">
      <c r="B42" s="15" t="s">
        <v>138</v>
      </c>
      <c r="C42" s="9"/>
      <c r="D42" s="15"/>
      <c r="E42" s="15"/>
      <c r="F42" s="15"/>
      <c r="G42" s="15"/>
      <c r="H42" s="15"/>
      <c r="I42" s="15"/>
      <c r="J42" s="15"/>
      <c r="K42" s="15"/>
      <c r="L42" s="15"/>
      <c r="M42" s="15"/>
      <c r="N42" s="15"/>
      <c r="O42" s="15"/>
    </row>
    <row r="43" spans="2:21">
      <c r="B43" s="33" t="s">
        <v>137</v>
      </c>
      <c r="C43" s="9"/>
      <c r="D43" s="15"/>
      <c r="E43" s="15"/>
      <c r="F43" s="15"/>
      <c r="G43" s="15"/>
      <c r="H43" s="15"/>
      <c r="I43" s="15"/>
      <c r="J43" s="15"/>
      <c r="K43" s="15"/>
      <c r="L43" s="15"/>
      <c r="M43" s="15"/>
      <c r="N43" s="15"/>
      <c r="O43" s="15"/>
    </row>
    <row r="44" spans="2:21">
      <c r="B44" s="33" t="s">
        <v>136</v>
      </c>
      <c r="C44" s="15"/>
      <c r="D44" s="15"/>
      <c r="E44" s="15"/>
      <c r="F44" s="15"/>
      <c r="G44" s="15"/>
      <c r="H44" s="15"/>
      <c r="I44" s="15"/>
      <c r="J44" s="15"/>
      <c r="K44" s="15"/>
      <c r="L44" s="15"/>
      <c r="M44" s="15"/>
      <c r="N44" s="15"/>
      <c r="O44" s="15"/>
    </row>
    <row r="45" spans="2:21">
      <c r="B45" s="33" t="s">
        <v>141</v>
      </c>
      <c r="C45" s="15"/>
      <c r="D45" s="15"/>
      <c r="E45" s="15"/>
      <c r="F45" s="15"/>
      <c r="G45" s="15"/>
      <c r="H45" s="15"/>
      <c r="I45" s="15"/>
      <c r="J45" s="15"/>
      <c r="K45" s="15"/>
      <c r="L45" s="15"/>
      <c r="M45" s="15"/>
      <c r="N45" s="15"/>
      <c r="O45" s="15"/>
    </row>
    <row r="46" spans="2:21">
      <c r="B46" s="15"/>
      <c r="C46" s="15"/>
      <c r="D46" s="15"/>
      <c r="E46" s="15"/>
      <c r="F46" s="15"/>
      <c r="G46" s="15"/>
      <c r="H46" s="15"/>
      <c r="I46" s="15"/>
      <c r="J46" s="15"/>
      <c r="K46" s="15"/>
      <c r="L46" s="15"/>
      <c r="M46" s="15"/>
      <c r="N46" s="15"/>
      <c r="O46" s="15"/>
    </row>
    <row r="47" spans="2:21">
      <c r="B47" s="15"/>
      <c r="C47" s="15"/>
      <c r="D47" s="15"/>
      <c r="E47" s="15"/>
      <c r="F47" s="15"/>
      <c r="G47" s="15"/>
      <c r="H47" s="15"/>
      <c r="I47" s="15"/>
      <c r="J47" s="15"/>
      <c r="K47" s="15"/>
      <c r="L47" s="15"/>
      <c r="M47" s="15"/>
      <c r="N47" s="15"/>
      <c r="O47" s="15"/>
    </row>
    <row r="48" spans="2:21" ht="18">
      <c r="B48" s="28" t="s">
        <v>154</v>
      </c>
      <c r="L48" s="15"/>
      <c r="M48" s="15"/>
      <c r="N48" s="15"/>
      <c r="O48" s="15"/>
      <c r="P48" s="15"/>
      <c r="Q48" s="15"/>
      <c r="R48" s="15"/>
      <c r="S48" s="15"/>
      <c r="T48" s="15"/>
      <c r="U48" s="15"/>
    </row>
    <row r="49" spans="2:21" ht="18">
      <c r="B49" s="28" t="s">
        <v>155</v>
      </c>
      <c r="L49" s="15"/>
      <c r="M49" s="15"/>
      <c r="N49" s="15"/>
      <c r="O49" s="15"/>
      <c r="P49" s="15"/>
      <c r="Q49" s="15"/>
      <c r="R49" s="15"/>
      <c r="S49" s="15"/>
      <c r="T49" s="15"/>
      <c r="U49" s="15"/>
    </row>
    <row r="50" spans="2:21" ht="13.5" thickBot="1">
      <c r="K50" s="15"/>
      <c r="L50" s="15"/>
      <c r="M50" s="15"/>
      <c r="N50" s="15"/>
      <c r="O50" s="15"/>
      <c r="P50" s="15"/>
      <c r="Q50" s="15"/>
      <c r="R50" s="15"/>
      <c r="S50" s="15"/>
      <c r="T50" s="15"/>
      <c r="U50" s="15"/>
    </row>
    <row r="51" spans="2:21" ht="13.5" thickBot="1">
      <c r="B51" s="15" t="s">
        <v>157</v>
      </c>
      <c r="C51" s="30">
        <v>1</v>
      </c>
      <c r="D51" s="15"/>
      <c r="K51" s="15"/>
      <c r="L51" s="15"/>
      <c r="M51" s="15"/>
      <c r="N51" s="15"/>
      <c r="O51" s="15"/>
      <c r="P51" s="15"/>
      <c r="Q51" s="15"/>
      <c r="R51" s="15"/>
      <c r="S51" s="15"/>
      <c r="T51" s="15"/>
      <c r="U51" s="15"/>
    </row>
    <row r="52" spans="2:21" ht="13.5" thickBot="1">
      <c r="B52" s="15" t="s">
        <v>156</v>
      </c>
      <c r="C52" s="30">
        <v>24</v>
      </c>
      <c r="K52" s="15"/>
      <c r="L52" s="15"/>
      <c r="M52" s="15"/>
      <c r="N52" s="15"/>
      <c r="O52" s="15"/>
      <c r="P52" s="15"/>
      <c r="Q52" s="15"/>
      <c r="R52" s="15"/>
      <c r="S52" s="15"/>
      <c r="T52" s="15"/>
      <c r="U52" s="15"/>
    </row>
    <row r="53" spans="2:21">
      <c r="B53" s="15" t="s">
        <v>142</v>
      </c>
      <c r="C53" s="1">
        <f>LN((C3)^2+1)</f>
        <v>8.6177696241052412E-2</v>
      </c>
      <c r="K53" s="15"/>
      <c r="L53" s="15"/>
      <c r="M53" s="15"/>
      <c r="N53" s="15"/>
      <c r="O53" s="15"/>
      <c r="P53" s="15"/>
      <c r="Q53" s="15"/>
      <c r="R53" s="15"/>
      <c r="S53" s="15"/>
      <c r="T53" s="15"/>
      <c r="U53" s="15"/>
    </row>
    <row r="54" spans="2:21">
      <c r="B54" s="15" t="s">
        <v>162</v>
      </c>
      <c r="C54" s="1">
        <f>SQRT((2*C53)/C52)</f>
        <v>8.474358197972498E-2</v>
      </c>
      <c r="I54" s="9"/>
      <c r="K54" s="15"/>
      <c r="L54" s="15"/>
      <c r="M54" s="15"/>
      <c r="N54" s="15"/>
      <c r="O54" s="15"/>
      <c r="P54" s="15"/>
      <c r="Q54" s="15"/>
      <c r="R54" s="15"/>
      <c r="S54" s="15"/>
      <c r="T54" s="15"/>
      <c r="U54" s="15"/>
    </row>
    <row r="55" spans="2:21">
      <c r="B55" s="15" t="s">
        <v>158</v>
      </c>
      <c r="C55" s="1">
        <f>TINV(0.1,C52-2)</f>
        <v>1.7171443743802424</v>
      </c>
      <c r="F55" s="15"/>
      <c r="I55" s="9"/>
      <c r="K55" s="15"/>
      <c r="L55" s="15"/>
      <c r="M55" s="15"/>
      <c r="N55" s="15"/>
      <c r="O55" s="15"/>
      <c r="P55" s="15"/>
      <c r="Q55" s="15"/>
      <c r="R55" s="15"/>
      <c r="S55" s="15"/>
      <c r="T55" s="15"/>
      <c r="U55" s="15"/>
    </row>
    <row r="56" spans="2:21">
      <c r="C56" s="15"/>
      <c r="D56" s="15"/>
      <c r="E56" s="9"/>
      <c r="F56" s="15"/>
      <c r="G56" s="15"/>
      <c r="H56" s="15"/>
      <c r="I56" s="15"/>
      <c r="J56" s="15"/>
      <c r="K56" s="15"/>
      <c r="L56" s="15"/>
      <c r="M56" s="15"/>
      <c r="N56" s="15"/>
      <c r="O56" s="15"/>
    </row>
    <row r="57" spans="2:21" ht="18">
      <c r="B57" s="36" t="s">
        <v>132</v>
      </c>
      <c r="C57" s="36" t="str">
        <f>FIXED(100*EXP(LN(C51)-(C55*C54)),2)&amp;" - "&amp;FIXED(100*EXP(LN(C51)+(C55*C54)),2)&amp;"%"</f>
        <v>86.46 - 115.66%</v>
      </c>
      <c r="D57" s="15"/>
      <c r="E57" s="15"/>
      <c r="F57" s="15"/>
      <c r="G57" s="15"/>
      <c r="H57" s="15"/>
      <c r="I57" s="15"/>
      <c r="J57" s="15"/>
      <c r="K57" s="15"/>
      <c r="L57" s="15"/>
      <c r="M57" s="15"/>
      <c r="N57" s="15"/>
      <c r="O57" s="15"/>
    </row>
    <row r="58" spans="2:21" ht="12.75" customHeight="1">
      <c r="B58" s="15"/>
      <c r="C58" s="36"/>
      <c r="D58" s="15"/>
      <c r="E58" s="15"/>
      <c r="F58" s="15"/>
      <c r="G58" s="15"/>
      <c r="H58" s="15"/>
      <c r="I58" s="15"/>
      <c r="J58" s="15"/>
      <c r="K58" s="15"/>
      <c r="L58" s="15"/>
      <c r="M58" s="15"/>
      <c r="N58" s="15"/>
      <c r="O58" s="15"/>
    </row>
    <row r="59" spans="2:21">
      <c r="B59" s="15" t="s">
        <v>160</v>
      </c>
      <c r="D59" s="15"/>
      <c r="E59" s="15"/>
      <c r="F59" s="15"/>
      <c r="G59" s="15"/>
      <c r="H59" s="15"/>
      <c r="I59" s="15"/>
      <c r="J59" s="15"/>
      <c r="K59" s="15"/>
      <c r="L59" s="15"/>
      <c r="M59" s="15"/>
      <c r="N59" s="15"/>
      <c r="O59" s="15"/>
    </row>
    <row r="60" spans="2:21">
      <c r="B60" s="15" t="s">
        <v>161</v>
      </c>
      <c r="C60" s="15"/>
      <c r="D60" s="15"/>
      <c r="E60" s="15"/>
      <c r="F60" s="15"/>
      <c r="G60" s="15"/>
      <c r="H60" s="15"/>
      <c r="I60" s="15"/>
      <c r="J60" s="15"/>
      <c r="K60" s="15"/>
      <c r="L60" s="15"/>
      <c r="M60" s="15"/>
      <c r="N60" s="15"/>
      <c r="O60" s="15"/>
    </row>
    <row r="61" spans="2:21">
      <c r="B61" s="15" t="s">
        <v>163</v>
      </c>
      <c r="C61" s="15"/>
      <c r="D61" s="15"/>
      <c r="E61" s="15"/>
      <c r="F61" s="15"/>
      <c r="G61" s="15"/>
      <c r="H61" s="15"/>
      <c r="I61" s="15"/>
      <c r="J61" s="15"/>
      <c r="K61" s="15"/>
      <c r="L61" s="15"/>
      <c r="M61" s="15"/>
      <c r="N61" s="15"/>
      <c r="O61" s="15"/>
    </row>
    <row r="62" spans="2:21">
      <c r="B62" s="15"/>
      <c r="C62" s="15"/>
      <c r="D62" s="15"/>
      <c r="E62" s="15"/>
      <c r="F62" s="15"/>
      <c r="G62" s="15"/>
      <c r="H62" s="15"/>
      <c r="I62" s="15"/>
      <c r="J62" s="15"/>
      <c r="K62" s="15"/>
      <c r="L62" s="15"/>
      <c r="M62" s="15"/>
      <c r="N62" s="15"/>
      <c r="O62" s="15"/>
    </row>
    <row r="63" spans="2:21">
      <c r="B63" s="15"/>
      <c r="C63" s="15"/>
      <c r="D63" s="15"/>
      <c r="E63" s="15"/>
      <c r="F63" s="15"/>
      <c r="G63" s="15"/>
      <c r="H63" s="15"/>
      <c r="I63" s="15"/>
      <c r="J63" s="15"/>
      <c r="K63" s="15"/>
      <c r="L63" s="15"/>
      <c r="M63" s="15"/>
      <c r="N63" s="15"/>
      <c r="O63" s="15"/>
    </row>
    <row r="64" spans="2:21">
      <c r="B64" s="15"/>
      <c r="C64" s="15"/>
      <c r="D64" s="15"/>
      <c r="E64" s="15"/>
      <c r="F64" s="15"/>
      <c r="G64" s="15"/>
      <c r="H64" s="15"/>
      <c r="I64" s="15"/>
      <c r="J64" s="15"/>
      <c r="K64" s="15"/>
      <c r="L64" s="15"/>
      <c r="M64" s="15"/>
      <c r="N64" s="15"/>
      <c r="O64" s="15"/>
    </row>
    <row r="65" spans="2:15">
      <c r="B65" s="15"/>
      <c r="C65" s="15"/>
      <c r="D65" s="15"/>
      <c r="E65" s="15"/>
      <c r="F65" s="15"/>
      <c r="G65" s="15"/>
      <c r="H65" s="15"/>
      <c r="I65" s="15"/>
      <c r="J65" s="15"/>
      <c r="K65" s="15"/>
      <c r="L65" s="15"/>
      <c r="M65" s="15"/>
      <c r="N65" s="15"/>
      <c r="O65" s="15"/>
    </row>
    <row r="66" spans="2:15">
      <c r="B66" s="15"/>
      <c r="C66" s="15"/>
      <c r="D66" s="15"/>
      <c r="E66" s="15"/>
      <c r="F66" s="15"/>
      <c r="G66" s="15"/>
      <c r="H66" s="15"/>
      <c r="I66" s="15"/>
      <c r="J66" s="15"/>
      <c r="K66" s="15"/>
      <c r="L66" s="15"/>
      <c r="M66" s="15"/>
      <c r="N66" s="15"/>
      <c r="O66" s="15"/>
    </row>
    <row r="67" spans="2:15">
      <c r="B67" s="15"/>
      <c r="C67" s="15"/>
      <c r="D67" s="15"/>
      <c r="E67" s="15"/>
      <c r="F67" s="15"/>
      <c r="G67" s="15"/>
      <c r="H67" s="15"/>
      <c r="I67" s="15"/>
      <c r="J67" s="15"/>
      <c r="K67" s="15"/>
      <c r="L67" s="15"/>
      <c r="M67" s="15"/>
      <c r="N67" s="15"/>
      <c r="O67" s="15"/>
    </row>
    <row r="68" spans="2:15">
      <c r="B68" s="15"/>
      <c r="C68" s="15"/>
      <c r="D68" s="15"/>
      <c r="E68" s="15"/>
      <c r="F68" s="15"/>
      <c r="G68" s="15"/>
      <c r="H68" s="15"/>
      <c r="I68" s="15"/>
      <c r="J68" s="15"/>
      <c r="K68" s="15"/>
      <c r="L68" s="15"/>
      <c r="M68" s="15"/>
      <c r="N68" s="15"/>
      <c r="O68" s="15"/>
    </row>
    <row r="69" spans="2:15">
      <c r="B69" s="15"/>
      <c r="C69" s="15"/>
      <c r="D69" s="15"/>
      <c r="E69" s="15"/>
      <c r="F69" s="15"/>
      <c r="G69" s="15"/>
      <c r="H69" s="15"/>
      <c r="I69" s="15"/>
      <c r="J69" s="15"/>
      <c r="K69" s="15"/>
      <c r="L69" s="15"/>
      <c r="M69" s="15"/>
      <c r="N69" s="15"/>
      <c r="O69" s="15"/>
    </row>
    <row r="70" spans="2:15">
      <c r="B70" s="15"/>
      <c r="C70" s="15"/>
      <c r="D70" s="15"/>
      <c r="E70" s="15"/>
      <c r="F70" s="15"/>
      <c r="G70" s="15"/>
      <c r="H70" s="15"/>
      <c r="I70" s="15"/>
      <c r="J70" s="15"/>
      <c r="K70" s="15"/>
      <c r="L70" s="15"/>
      <c r="M70" s="15"/>
      <c r="N70" s="15"/>
      <c r="O70" s="15"/>
    </row>
    <row r="71" spans="2:15">
      <c r="B71" s="15"/>
      <c r="C71" s="15"/>
      <c r="D71" s="15"/>
      <c r="E71" s="15"/>
      <c r="F71" s="15"/>
      <c r="G71" s="15"/>
      <c r="H71" s="15"/>
      <c r="I71" s="15"/>
      <c r="J71" s="15"/>
      <c r="K71" s="15"/>
      <c r="L71" s="15"/>
      <c r="M71" s="15"/>
      <c r="N71" s="15"/>
      <c r="O71" s="15"/>
    </row>
    <row r="72" spans="2:15">
      <c r="B72" s="15"/>
      <c r="C72" s="15"/>
      <c r="D72" s="15"/>
      <c r="E72" s="15"/>
      <c r="F72" s="15"/>
      <c r="G72" s="15"/>
      <c r="H72" s="15"/>
      <c r="I72" s="15"/>
      <c r="J72" s="15"/>
      <c r="K72" s="15"/>
      <c r="L72" s="15"/>
      <c r="M72" s="15"/>
      <c r="N72" s="15"/>
      <c r="O72" s="15"/>
    </row>
    <row r="73" spans="2:15">
      <c r="B73" s="15"/>
      <c r="C73" s="15"/>
      <c r="D73" s="15"/>
      <c r="E73" s="15"/>
      <c r="F73" s="15"/>
      <c r="G73" s="15"/>
      <c r="H73" s="15"/>
      <c r="I73" s="15"/>
      <c r="J73" s="15"/>
      <c r="K73" s="15"/>
      <c r="L73" s="15"/>
      <c r="M73" s="15"/>
      <c r="N73" s="15"/>
      <c r="O73" s="15"/>
    </row>
    <row r="74" spans="2:15">
      <c r="B74" s="15"/>
      <c r="C74" s="15"/>
      <c r="D74" s="15"/>
      <c r="E74" s="15"/>
      <c r="F74" s="15"/>
      <c r="G74" s="15"/>
      <c r="H74" s="15"/>
      <c r="I74" s="15"/>
      <c r="J74" s="15"/>
      <c r="K74" s="15"/>
      <c r="L74" s="15"/>
      <c r="M74" s="15"/>
      <c r="N74" s="15"/>
      <c r="O74" s="15"/>
    </row>
    <row r="75" spans="2:15">
      <c r="B75" s="15"/>
      <c r="C75" s="15"/>
      <c r="D75" s="15"/>
      <c r="E75" s="15"/>
      <c r="F75" s="15"/>
      <c r="G75" s="15"/>
      <c r="H75" s="15"/>
      <c r="I75" s="15"/>
      <c r="J75" s="15"/>
      <c r="K75" s="15"/>
      <c r="L75" s="15"/>
      <c r="M75" s="15"/>
      <c r="N75" s="15"/>
      <c r="O75" s="15"/>
    </row>
    <row r="76" spans="2:15">
      <c r="B76" s="15" t="s">
        <v>135</v>
      </c>
      <c r="C76" s="15"/>
      <c r="D76" s="15"/>
      <c r="E76" s="15"/>
      <c r="F76" s="15"/>
      <c r="G76" s="15"/>
      <c r="H76" s="15"/>
      <c r="I76" s="15"/>
      <c r="J76" s="15"/>
      <c r="K76" s="15"/>
      <c r="L76" s="15"/>
      <c r="M76" s="15"/>
      <c r="N76" s="15"/>
      <c r="O76" s="15"/>
    </row>
    <row r="77" spans="2:15">
      <c r="B77" s="33" t="s">
        <v>144</v>
      </c>
      <c r="C77" s="15"/>
      <c r="D77" s="15"/>
      <c r="E77" s="15"/>
      <c r="F77" s="15"/>
      <c r="G77" s="15"/>
      <c r="H77" s="15"/>
      <c r="I77" s="15"/>
      <c r="J77" s="15"/>
      <c r="K77" s="15"/>
      <c r="L77" s="15"/>
      <c r="M77" s="15"/>
      <c r="N77" s="15"/>
      <c r="O77" s="15"/>
    </row>
    <row r="78" spans="2:15">
      <c r="B78" s="33"/>
      <c r="C78" s="15"/>
      <c r="D78" s="15"/>
      <c r="E78" s="15"/>
      <c r="F78" s="15"/>
      <c r="G78" s="15"/>
      <c r="H78" s="15"/>
      <c r="I78" s="15"/>
      <c r="J78" s="15"/>
      <c r="K78" s="15"/>
      <c r="L78" s="15"/>
      <c r="M78" s="15"/>
      <c r="N78" s="15"/>
      <c r="O78" s="15"/>
    </row>
    <row r="79" spans="2:15">
      <c r="C79" s="15"/>
      <c r="D79" s="15"/>
      <c r="E79" s="15"/>
      <c r="F79" s="15"/>
      <c r="G79" s="15"/>
      <c r="H79" s="15"/>
      <c r="I79" s="15"/>
      <c r="J79" s="15"/>
      <c r="K79" s="15"/>
      <c r="L79" s="15"/>
      <c r="M79" s="15"/>
      <c r="N79" s="15"/>
      <c r="O79" s="15"/>
    </row>
    <row r="80" spans="2:15" ht="18">
      <c r="B80" s="28" t="s">
        <v>153</v>
      </c>
      <c r="C80" s="15"/>
      <c r="D80" s="15"/>
      <c r="E80" s="15"/>
      <c r="F80" s="15"/>
      <c r="G80" s="15"/>
      <c r="H80" s="15"/>
      <c r="I80" s="15"/>
      <c r="J80" s="15"/>
      <c r="K80" s="15"/>
      <c r="L80" s="15"/>
      <c r="M80" s="15"/>
      <c r="N80" s="15"/>
      <c r="O80" s="15"/>
    </row>
    <row r="81" spans="2:15" ht="18">
      <c r="B81" s="28" t="s">
        <v>159</v>
      </c>
      <c r="C81" s="15"/>
      <c r="D81" s="15"/>
      <c r="E81" s="15"/>
      <c r="F81" s="15"/>
      <c r="G81" s="15"/>
      <c r="H81" s="15"/>
      <c r="I81" s="15"/>
      <c r="J81" s="15"/>
      <c r="K81" s="15"/>
      <c r="L81" s="15"/>
      <c r="M81" s="15"/>
      <c r="N81" s="15"/>
      <c r="O81" s="15"/>
    </row>
    <row r="82" spans="2:15" ht="13.5" thickBot="1">
      <c r="B82" s="15"/>
      <c r="C82" s="15"/>
      <c r="D82" s="15"/>
      <c r="E82" s="15"/>
      <c r="F82" s="15"/>
      <c r="G82" s="15"/>
      <c r="H82" s="15"/>
      <c r="I82" s="15"/>
      <c r="J82" s="15"/>
      <c r="K82" s="15"/>
      <c r="L82" s="15"/>
      <c r="M82" s="15"/>
      <c r="N82" s="15"/>
      <c r="O82" s="15"/>
    </row>
    <row r="83" spans="2:15" ht="13.5" thickBot="1">
      <c r="B83" s="37" t="s">
        <v>164</v>
      </c>
      <c r="C83" s="30">
        <v>1</v>
      </c>
      <c r="D83" s="15"/>
      <c r="E83" s="15"/>
      <c r="F83" s="15"/>
      <c r="G83" s="15"/>
      <c r="H83" s="15"/>
      <c r="I83" s="15"/>
      <c r="J83" s="15"/>
      <c r="K83" s="15"/>
      <c r="L83" s="15"/>
      <c r="M83" s="15"/>
      <c r="N83" s="15"/>
      <c r="O83" s="15"/>
    </row>
    <row r="84" spans="2:15">
      <c r="B84" s="15" t="s">
        <v>165</v>
      </c>
      <c r="C84" s="15">
        <f>SQRT(LN(($C$3)^2+1))</f>
        <v>0.29356037920852401</v>
      </c>
      <c r="D84" s="15"/>
      <c r="E84" s="15"/>
      <c r="F84" s="15"/>
      <c r="G84" s="15"/>
      <c r="H84" s="15"/>
      <c r="I84" s="15"/>
      <c r="J84" s="15"/>
      <c r="K84" s="15"/>
      <c r="L84" s="15"/>
      <c r="M84" s="15"/>
      <c r="N84" s="15"/>
      <c r="O84" s="15"/>
    </row>
    <row r="85" spans="2:15">
      <c r="B85" s="15"/>
      <c r="C85" s="15"/>
      <c r="D85" s="15"/>
      <c r="E85" s="15"/>
      <c r="F85" s="15"/>
      <c r="G85" s="15"/>
      <c r="H85" s="15"/>
      <c r="I85" s="15"/>
      <c r="J85" s="15"/>
      <c r="K85" s="15"/>
      <c r="L85" s="15"/>
      <c r="M85" s="15"/>
      <c r="N85" s="15"/>
      <c r="O85" s="15"/>
    </row>
    <row r="86" spans="2:15" ht="18">
      <c r="B86" s="36" t="s">
        <v>132</v>
      </c>
      <c r="C86" s="36" t="str">
        <f>FIXED(100*EXP(-$C$83*$C$84),2)&amp;" - "&amp;FIXED(100*EXP($C$83*$C$84),2)&amp;"%"</f>
        <v>74.56 - 134.12%</v>
      </c>
      <c r="D86" s="15"/>
      <c r="E86" s="15"/>
      <c r="F86" s="15"/>
      <c r="G86" s="15"/>
      <c r="H86" s="15"/>
      <c r="I86" s="15"/>
      <c r="J86" s="15"/>
      <c r="K86" s="15"/>
      <c r="L86" s="15"/>
      <c r="M86" s="15"/>
      <c r="N86" s="15"/>
      <c r="O86" s="15"/>
    </row>
    <row r="87" spans="2:15">
      <c r="B87" s="15"/>
      <c r="C87" s="15"/>
      <c r="D87" s="15"/>
      <c r="E87" s="15"/>
      <c r="F87" s="15"/>
      <c r="G87" s="15"/>
      <c r="H87" s="15"/>
      <c r="I87" s="15"/>
      <c r="J87" s="15"/>
      <c r="K87" s="15"/>
      <c r="L87" s="15"/>
      <c r="M87" s="15"/>
      <c r="N87" s="15"/>
      <c r="O87" s="15"/>
    </row>
    <row r="88" spans="2:15">
      <c r="C88" s="15"/>
      <c r="D88" s="15"/>
      <c r="E88" s="15"/>
      <c r="F88" s="15"/>
      <c r="G88" s="15"/>
      <c r="H88" s="15"/>
      <c r="I88" s="15"/>
      <c r="J88" s="15"/>
      <c r="K88" s="15"/>
      <c r="L88" s="15"/>
      <c r="M88" s="15"/>
      <c r="N88" s="15"/>
      <c r="O88" s="15"/>
    </row>
    <row r="89" spans="2:15">
      <c r="C89" s="15"/>
      <c r="D89" s="15"/>
      <c r="E89" s="15"/>
      <c r="F89" s="15"/>
      <c r="G89" s="15"/>
      <c r="H89" s="15"/>
      <c r="I89" s="15"/>
      <c r="J89" s="15"/>
      <c r="K89" s="15"/>
      <c r="L89" s="15"/>
      <c r="M89" s="15"/>
      <c r="N89" s="15"/>
      <c r="O89" s="15"/>
    </row>
    <row r="90" spans="2:15">
      <c r="B90" s="15"/>
      <c r="C90" s="15"/>
      <c r="D90" s="15"/>
      <c r="E90" s="15"/>
      <c r="F90" s="15"/>
      <c r="G90" s="15"/>
      <c r="H90" s="15"/>
      <c r="I90" s="15"/>
      <c r="J90" s="15"/>
      <c r="K90" s="15"/>
      <c r="L90" s="15"/>
      <c r="M90" s="15"/>
      <c r="N90" s="15"/>
      <c r="O90" s="15"/>
    </row>
    <row r="91" spans="2:15">
      <c r="B91" s="15"/>
      <c r="C91" s="15"/>
      <c r="D91" s="15"/>
      <c r="E91" s="15"/>
      <c r="F91" s="15"/>
      <c r="G91" s="15"/>
      <c r="H91" s="15"/>
      <c r="I91" s="15"/>
      <c r="J91" s="15"/>
      <c r="K91" s="15"/>
      <c r="L91" s="15"/>
      <c r="M91" s="15"/>
      <c r="N91" s="15"/>
      <c r="O91" s="15"/>
    </row>
    <row r="92" spans="2:15">
      <c r="B92" s="15"/>
      <c r="C92" s="15"/>
      <c r="D92" s="15"/>
      <c r="E92" s="15"/>
      <c r="F92" s="15"/>
      <c r="G92" s="15"/>
      <c r="H92" s="15"/>
      <c r="I92" s="15"/>
      <c r="J92" s="15"/>
      <c r="K92" s="15"/>
      <c r="L92" s="15"/>
      <c r="M92" s="15"/>
      <c r="N92" s="15"/>
      <c r="O92" s="15"/>
    </row>
    <row r="93" spans="2:15">
      <c r="B93" s="15"/>
      <c r="C93" s="15"/>
      <c r="D93" s="15"/>
      <c r="E93" s="15"/>
      <c r="F93" s="15"/>
      <c r="G93" s="15"/>
      <c r="H93" s="15"/>
      <c r="I93" s="15"/>
      <c r="J93" s="15"/>
      <c r="K93" s="15"/>
      <c r="L93" s="15"/>
      <c r="M93" s="15"/>
      <c r="N93" s="15"/>
      <c r="O93" s="15"/>
    </row>
    <row r="94" spans="2:15">
      <c r="B94" s="15"/>
      <c r="C94" s="15"/>
      <c r="D94" s="15"/>
      <c r="E94" s="15"/>
      <c r="F94" s="15"/>
      <c r="G94" s="15"/>
      <c r="H94" s="15"/>
      <c r="I94" s="15"/>
      <c r="J94" s="15"/>
      <c r="K94" s="15"/>
      <c r="L94" s="15"/>
      <c r="M94" s="15"/>
      <c r="N94" s="15"/>
      <c r="O94" s="15"/>
    </row>
    <row r="95" spans="2:15">
      <c r="B95" s="15"/>
      <c r="C95" s="15"/>
      <c r="D95" s="15"/>
      <c r="E95" s="15"/>
      <c r="F95" s="15"/>
      <c r="G95" s="15"/>
      <c r="H95" s="15"/>
      <c r="I95" s="15"/>
      <c r="J95" s="15"/>
      <c r="K95" s="15"/>
      <c r="L95" s="15"/>
      <c r="M95" s="15"/>
      <c r="N95" s="15"/>
      <c r="O95" s="15"/>
    </row>
    <row r="96" spans="2:15">
      <c r="B96" s="15"/>
      <c r="C96" s="15"/>
      <c r="D96" s="15"/>
      <c r="E96" s="15"/>
      <c r="F96" s="15"/>
      <c r="G96" s="15"/>
      <c r="H96" s="15"/>
      <c r="I96" s="15"/>
      <c r="J96" s="15"/>
      <c r="K96" s="15"/>
      <c r="L96" s="15"/>
      <c r="M96" s="15"/>
      <c r="N96" s="15"/>
      <c r="O96" s="15"/>
    </row>
    <row r="97" spans="2:15">
      <c r="B97" s="15"/>
      <c r="C97" s="15"/>
      <c r="D97" s="15"/>
      <c r="E97" s="15"/>
      <c r="F97" s="15"/>
      <c r="G97" s="15"/>
      <c r="H97" s="15"/>
      <c r="I97" s="15"/>
      <c r="J97" s="15"/>
      <c r="K97" s="15"/>
      <c r="L97" s="15"/>
      <c r="M97" s="15"/>
      <c r="N97" s="15"/>
      <c r="O97" s="15"/>
    </row>
    <row r="98" spans="2:15">
      <c r="B98" s="15"/>
      <c r="C98" s="15"/>
      <c r="D98" s="15"/>
      <c r="E98" s="15"/>
      <c r="F98" s="15"/>
      <c r="G98" s="15"/>
      <c r="H98" s="15"/>
      <c r="I98" s="15"/>
      <c r="J98" s="15"/>
      <c r="K98" s="15"/>
      <c r="L98" s="15"/>
      <c r="M98" s="15"/>
      <c r="N98" s="15"/>
      <c r="O98" s="15"/>
    </row>
    <row r="99" spans="2:15">
      <c r="B99" s="15"/>
      <c r="C99" s="15"/>
      <c r="D99" s="15"/>
      <c r="E99" s="15"/>
      <c r="F99" s="15"/>
      <c r="G99" s="15"/>
      <c r="H99" s="15"/>
      <c r="I99" s="15"/>
      <c r="J99" s="15"/>
      <c r="K99" s="15"/>
      <c r="L99" s="15"/>
      <c r="M99" s="15"/>
      <c r="N99" s="15"/>
      <c r="O99" s="15"/>
    </row>
    <row r="100" spans="2:15">
      <c r="B100" s="15"/>
      <c r="C100" s="15"/>
      <c r="D100" s="15"/>
      <c r="E100" s="15"/>
      <c r="F100" s="15"/>
      <c r="G100" s="15"/>
      <c r="H100" s="15"/>
      <c r="I100" s="15"/>
      <c r="J100" s="15"/>
      <c r="K100" s="15"/>
      <c r="L100" s="15"/>
      <c r="M100" s="15"/>
      <c r="N100" s="15"/>
      <c r="O100" s="15"/>
    </row>
    <row r="101" spans="2:15">
      <c r="B101" s="15"/>
      <c r="C101" s="15"/>
      <c r="D101" s="15"/>
      <c r="E101" s="15"/>
      <c r="F101" s="15"/>
      <c r="G101" s="15"/>
      <c r="H101" s="15"/>
      <c r="I101" s="15"/>
      <c r="J101" s="15"/>
      <c r="K101" s="15"/>
      <c r="L101" s="15"/>
      <c r="M101" s="15"/>
      <c r="N101" s="15"/>
      <c r="O101" s="15"/>
    </row>
    <row r="102" spans="2:15">
      <c r="B102" s="15"/>
      <c r="C102" s="15"/>
      <c r="D102" s="15"/>
      <c r="E102" s="15"/>
      <c r="F102" s="15"/>
      <c r="G102" s="15"/>
      <c r="H102" s="15"/>
      <c r="I102" s="15"/>
      <c r="J102" s="15"/>
      <c r="K102" s="15"/>
      <c r="L102" s="15"/>
      <c r="M102" s="15"/>
      <c r="N102" s="15"/>
      <c r="O102" s="15"/>
    </row>
    <row r="103" spans="2:15">
      <c r="B103" s="15"/>
      <c r="C103" s="15"/>
      <c r="D103" s="15"/>
      <c r="E103" s="15"/>
      <c r="F103" s="15"/>
      <c r="G103" s="15"/>
      <c r="H103" s="15"/>
      <c r="I103" s="15"/>
      <c r="J103" s="15"/>
      <c r="K103" s="15"/>
      <c r="L103" s="15"/>
      <c r="M103" s="15"/>
      <c r="N103" s="15"/>
      <c r="O103" s="15"/>
    </row>
    <row r="104" spans="2:15">
      <c r="B104" s="15"/>
      <c r="C104" s="15"/>
      <c r="D104" s="15"/>
      <c r="E104" s="15"/>
      <c r="F104" s="15"/>
      <c r="G104" s="15"/>
      <c r="H104" s="15"/>
      <c r="I104" s="15"/>
      <c r="J104" s="15"/>
      <c r="K104" s="15"/>
      <c r="L104" s="15"/>
      <c r="M104" s="15"/>
      <c r="N104" s="15"/>
      <c r="O104" s="15"/>
    </row>
    <row r="105" spans="2:15">
      <c r="B105" s="15"/>
      <c r="C105" s="15"/>
      <c r="D105" s="15"/>
      <c r="E105" s="15"/>
      <c r="G105" s="15"/>
      <c r="H105" s="15"/>
      <c r="I105" s="15"/>
      <c r="J105" s="15"/>
      <c r="K105" s="15"/>
      <c r="L105" s="15"/>
      <c r="M105" s="15"/>
      <c r="N105" s="15"/>
      <c r="O105" s="15"/>
    </row>
    <row r="106" spans="2:15">
      <c r="B106" s="15" t="s">
        <v>138</v>
      </c>
      <c r="C106" s="15"/>
      <c r="D106" s="15"/>
      <c r="E106" s="15"/>
      <c r="F106" s="15"/>
      <c r="G106" s="15"/>
      <c r="H106" s="15"/>
      <c r="I106" s="15"/>
      <c r="J106" s="15"/>
      <c r="K106" s="15"/>
      <c r="L106" s="15"/>
      <c r="M106" s="15"/>
      <c r="N106" s="15"/>
      <c r="O106" s="15"/>
    </row>
    <row r="107" spans="2:15">
      <c r="B107" s="33" t="s">
        <v>144</v>
      </c>
      <c r="C107" s="15"/>
      <c r="D107" s="15"/>
      <c r="E107" s="15"/>
      <c r="F107" s="15"/>
      <c r="G107" s="15"/>
      <c r="H107" s="15"/>
      <c r="I107" s="15"/>
      <c r="J107" s="15"/>
      <c r="K107" s="15"/>
      <c r="L107" s="15"/>
      <c r="M107" s="15"/>
      <c r="N107" s="15"/>
      <c r="O107" s="15"/>
    </row>
    <row r="108" spans="2:15">
      <c r="B108" s="42" t="s">
        <v>199</v>
      </c>
      <c r="C108" s="15"/>
      <c r="D108" s="15"/>
      <c r="E108" s="15"/>
      <c r="F108" s="15"/>
      <c r="G108" s="15"/>
      <c r="H108" s="15"/>
      <c r="I108" s="15"/>
      <c r="J108" s="15"/>
      <c r="K108" s="15"/>
      <c r="L108" s="15"/>
      <c r="M108" s="15"/>
      <c r="N108" s="15"/>
      <c r="O108" s="15"/>
    </row>
    <row r="109" spans="2:15">
      <c r="B109" s="33"/>
      <c r="C109" s="15"/>
      <c r="D109" s="15"/>
      <c r="E109" s="15"/>
      <c r="F109" s="15"/>
      <c r="G109" s="15"/>
      <c r="H109" s="15"/>
      <c r="I109" s="15"/>
      <c r="J109" s="15"/>
      <c r="K109" s="15"/>
      <c r="L109" s="15"/>
      <c r="M109" s="15"/>
      <c r="N109" s="15"/>
      <c r="O109" s="15"/>
    </row>
    <row r="110" spans="2:15" ht="18">
      <c r="B110" s="28" t="s">
        <v>153</v>
      </c>
    </row>
    <row r="111" spans="2:15" ht="18">
      <c r="B111" s="28" t="s">
        <v>179</v>
      </c>
    </row>
    <row r="112" spans="2:15" ht="13.5" thickBot="1"/>
    <row r="113" spans="2:15" ht="13.5" thickBot="1">
      <c r="B113" s="15" t="s">
        <v>183</v>
      </c>
      <c r="C113" s="30">
        <v>0.25</v>
      </c>
    </row>
    <row r="114" spans="2:15" ht="13.5" thickBot="1">
      <c r="B114" s="15" t="s">
        <v>180</v>
      </c>
      <c r="C114" s="30">
        <f>C115</f>
        <v>8.6177696241052412E-2</v>
      </c>
      <c r="D114" s="15" t="s">
        <v>190</v>
      </c>
    </row>
    <row r="115" spans="2:15" ht="13.5" thickBot="1">
      <c r="B115" s="15" t="s">
        <v>142</v>
      </c>
      <c r="C115" s="30">
        <f>LN((C3)^2+1)</f>
        <v>8.6177696241052412E-2</v>
      </c>
      <c r="D115" s="15" t="s">
        <v>189</v>
      </c>
    </row>
    <row r="116" spans="2:15" ht="13.5" thickBot="1">
      <c r="B116" s="15" t="s">
        <v>181</v>
      </c>
      <c r="C116" s="30">
        <f>0.1356^2</f>
        <v>1.8387359999999998E-2</v>
      </c>
      <c r="D116" s="15" t="s">
        <v>191</v>
      </c>
    </row>
    <row r="117" spans="2:15">
      <c r="B117" s="15" t="s">
        <v>182</v>
      </c>
      <c r="C117" s="1">
        <f>(LN(1.25)^2+0.05)/C113^2</f>
        <v>1.596688711889878</v>
      </c>
    </row>
    <row r="118" spans="2:15">
      <c r="B118" s="15" t="s">
        <v>192</v>
      </c>
      <c r="C118" s="1">
        <f>SQRT((C117*C115)-(C114-C115)-C116)</f>
        <v>0.3452703213494655</v>
      </c>
    </row>
    <row r="119" spans="2:15" ht="18">
      <c r="B119" s="36" t="s">
        <v>132</v>
      </c>
      <c r="C119" s="36" t="str">
        <f>FIXED(100*EXP(-$C$118),2)&amp;" - "&amp;FIXED(100*EXP($C$118),2)&amp;"% (Individual BE)"</f>
        <v>70.80 - 141.24% (Individual BE)</v>
      </c>
      <c r="D119" s="15"/>
    </row>
    <row r="125" spans="2:15">
      <c r="B125" s="15"/>
      <c r="C125" s="15"/>
      <c r="D125" s="15"/>
      <c r="E125" s="15"/>
      <c r="F125" s="15"/>
      <c r="G125" s="15"/>
      <c r="H125" s="15"/>
      <c r="I125" s="15"/>
      <c r="J125" s="15"/>
      <c r="K125" s="15"/>
      <c r="L125" s="15"/>
      <c r="M125" s="15"/>
      <c r="N125" s="15"/>
      <c r="O125" s="15"/>
    </row>
    <row r="126" spans="2:15">
      <c r="B126" s="15"/>
      <c r="C126" s="15"/>
      <c r="D126" s="15"/>
      <c r="E126" s="15"/>
      <c r="F126" s="15"/>
      <c r="G126" s="15"/>
      <c r="H126" s="15"/>
      <c r="I126" s="15"/>
      <c r="J126" s="15"/>
      <c r="K126" s="15"/>
      <c r="L126" s="15"/>
      <c r="M126" s="15"/>
      <c r="N126" s="15"/>
      <c r="O126" s="15"/>
    </row>
    <row r="127" spans="2:15">
      <c r="B127" s="15"/>
      <c r="C127" s="15"/>
      <c r="D127" s="15"/>
      <c r="E127" s="15"/>
      <c r="F127" s="15"/>
      <c r="G127" s="15"/>
      <c r="H127" s="15"/>
      <c r="I127" s="15"/>
      <c r="J127" s="15"/>
      <c r="K127" s="15"/>
      <c r="L127" s="15"/>
      <c r="M127" s="15"/>
      <c r="N127" s="15"/>
      <c r="O127" s="15"/>
    </row>
    <row r="128" spans="2:15">
      <c r="B128" s="15"/>
      <c r="C128" s="15"/>
      <c r="D128" s="15"/>
      <c r="E128" s="15"/>
      <c r="F128" s="15"/>
      <c r="G128" s="15"/>
      <c r="H128" s="15"/>
      <c r="I128" s="15"/>
      <c r="J128" s="15"/>
      <c r="K128" s="15"/>
      <c r="L128" s="15"/>
      <c r="M128" s="15"/>
      <c r="N128" s="15"/>
      <c r="O128" s="15"/>
    </row>
    <row r="129" spans="2:15">
      <c r="B129" s="15"/>
      <c r="C129" s="15"/>
      <c r="D129" s="15"/>
      <c r="E129" s="15"/>
      <c r="F129" s="15"/>
      <c r="G129" s="15"/>
      <c r="H129" s="15"/>
      <c r="I129" s="15"/>
      <c r="J129" s="15"/>
      <c r="K129" s="15"/>
      <c r="L129" s="15"/>
      <c r="M129" s="15"/>
      <c r="N129" s="15"/>
      <c r="O129" s="15"/>
    </row>
    <row r="130" spans="2:15">
      <c r="B130" s="15"/>
      <c r="C130" s="15"/>
      <c r="D130" s="15"/>
      <c r="E130" s="15"/>
      <c r="F130" s="15"/>
      <c r="G130" s="15"/>
      <c r="H130" s="15"/>
      <c r="I130" s="15"/>
      <c r="J130" s="15"/>
      <c r="K130" s="15"/>
      <c r="L130" s="15"/>
      <c r="M130" s="15"/>
      <c r="N130" s="15"/>
      <c r="O130" s="15"/>
    </row>
    <row r="131" spans="2:15">
      <c r="B131" s="15"/>
      <c r="C131" s="15"/>
      <c r="D131" s="15"/>
      <c r="E131" s="15"/>
      <c r="F131" s="15"/>
      <c r="G131" s="15"/>
      <c r="H131" s="15"/>
      <c r="I131" s="15"/>
      <c r="J131" s="15"/>
      <c r="K131" s="15"/>
      <c r="L131" s="15"/>
      <c r="M131" s="15"/>
      <c r="N131" s="15"/>
      <c r="O131" s="15"/>
    </row>
    <row r="132" spans="2:15">
      <c r="B132" s="15"/>
      <c r="C132" s="15"/>
      <c r="D132" s="15"/>
      <c r="E132" s="15"/>
      <c r="F132" s="15"/>
      <c r="G132" s="15"/>
      <c r="H132" s="15"/>
      <c r="I132" s="15"/>
      <c r="J132" s="15"/>
      <c r="K132" s="15"/>
      <c r="L132" s="15"/>
      <c r="M132" s="15"/>
      <c r="N132" s="15"/>
      <c r="O132" s="15"/>
    </row>
    <row r="133" spans="2:15">
      <c r="B133" s="15"/>
      <c r="C133" s="15"/>
      <c r="D133" s="15"/>
      <c r="E133" s="15"/>
      <c r="F133" s="15"/>
      <c r="G133" s="15"/>
      <c r="H133" s="15"/>
      <c r="I133" s="15"/>
      <c r="J133" s="15"/>
      <c r="K133" s="15"/>
      <c r="L133" s="15"/>
      <c r="M133" s="15"/>
      <c r="N133" s="15"/>
      <c r="O133" s="15"/>
    </row>
    <row r="134" spans="2:15">
      <c r="B134" s="15"/>
      <c r="C134" s="15"/>
      <c r="D134" s="15"/>
      <c r="E134" s="15"/>
      <c r="F134" s="15"/>
      <c r="G134" s="15"/>
      <c r="H134" s="15"/>
      <c r="I134" s="15"/>
      <c r="J134" s="15"/>
      <c r="K134" s="15"/>
      <c r="L134" s="15"/>
      <c r="M134" s="15"/>
      <c r="N134" s="15"/>
      <c r="O134" s="15"/>
    </row>
    <row r="135" spans="2:15">
      <c r="B135" s="15"/>
      <c r="C135" s="15"/>
      <c r="D135" s="15"/>
      <c r="E135" s="15"/>
      <c r="F135" s="15"/>
      <c r="G135" s="15"/>
      <c r="H135" s="15"/>
      <c r="I135" s="15"/>
      <c r="J135" s="15"/>
      <c r="K135" s="15"/>
      <c r="L135" s="15"/>
      <c r="M135" s="15"/>
      <c r="N135" s="15"/>
      <c r="O135" s="15"/>
    </row>
    <row r="136" spans="2:15">
      <c r="C136" s="15"/>
      <c r="D136" s="15"/>
      <c r="E136" s="15"/>
      <c r="F136" s="15"/>
      <c r="G136" s="15"/>
      <c r="H136" s="15"/>
      <c r="I136" s="15"/>
      <c r="J136" s="15"/>
      <c r="K136" s="15"/>
      <c r="L136" s="15"/>
      <c r="M136" s="15"/>
      <c r="N136" s="15"/>
      <c r="O136" s="15"/>
    </row>
    <row r="137" spans="2:15">
      <c r="C137" s="15"/>
      <c r="D137" s="15"/>
      <c r="E137" s="15"/>
      <c r="F137" s="15"/>
      <c r="G137" s="15"/>
      <c r="H137" s="15"/>
      <c r="I137" s="15"/>
      <c r="J137" s="15"/>
      <c r="K137" s="15"/>
      <c r="L137" s="15"/>
      <c r="M137" s="15"/>
      <c r="N137" s="15"/>
      <c r="O137" s="15"/>
    </row>
    <row r="138" spans="2:15">
      <c r="C138" s="15"/>
      <c r="D138" s="15"/>
      <c r="E138" s="15"/>
      <c r="F138" s="15"/>
      <c r="G138" s="15"/>
      <c r="H138" s="15"/>
      <c r="I138" s="15"/>
      <c r="J138" s="15"/>
      <c r="K138" s="15"/>
      <c r="L138" s="15"/>
      <c r="M138" s="15"/>
      <c r="N138" s="15"/>
      <c r="O138" s="15"/>
    </row>
    <row r="139" spans="2:15">
      <c r="C139" s="15"/>
      <c r="D139" s="15"/>
      <c r="E139" s="15"/>
      <c r="F139" s="15"/>
      <c r="G139" s="15"/>
      <c r="H139" s="15"/>
      <c r="I139" s="15"/>
      <c r="J139" s="15"/>
      <c r="K139" s="15"/>
      <c r="L139" s="15"/>
      <c r="M139" s="15"/>
      <c r="N139" s="15"/>
      <c r="O139" s="15"/>
    </row>
    <row r="140" spans="2:15">
      <c r="C140" s="15"/>
      <c r="D140" s="15"/>
      <c r="E140" s="15"/>
      <c r="F140" s="15"/>
      <c r="G140" s="15"/>
      <c r="H140" s="15"/>
      <c r="I140" s="15"/>
      <c r="J140" s="15"/>
      <c r="K140" s="15"/>
      <c r="L140" s="15"/>
      <c r="M140" s="15"/>
      <c r="N140" s="15"/>
      <c r="O140" s="15"/>
    </row>
    <row r="141" spans="2:15">
      <c r="C141" s="15"/>
      <c r="D141" s="15"/>
      <c r="E141" s="15"/>
      <c r="F141" s="15"/>
      <c r="G141" s="15"/>
      <c r="H141" s="15"/>
      <c r="I141" s="15"/>
      <c r="J141" s="15"/>
      <c r="K141" s="15"/>
      <c r="L141" s="15"/>
      <c r="M141" s="15"/>
      <c r="N141" s="15"/>
      <c r="O141" s="15"/>
    </row>
    <row r="142" spans="2:15">
      <c r="C142" s="15"/>
      <c r="D142" s="15"/>
      <c r="E142" s="15"/>
      <c r="F142" s="15"/>
      <c r="G142" s="15"/>
      <c r="H142" s="15"/>
      <c r="I142" s="15"/>
      <c r="J142" s="15"/>
      <c r="K142" s="15"/>
      <c r="L142" s="15"/>
      <c r="M142" s="15"/>
      <c r="N142" s="15"/>
      <c r="O142" s="15"/>
    </row>
    <row r="143" spans="2:15">
      <c r="B143" s="15" t="s">
        <v>138</v>
      </c>
      <c r="C143" s="15"/>
      <c r="D143" s="15"/>
      <c r="E143" s="15"/>
      <c r="F143" s="15"/>
      <c r="G143" s="15"/>
      <c r="H143" s="15"/>
      <c r="I143" s="15"/>
      <c r="J143" s="15"/>
      <c r="K143" s="15"/>
      <c r="L143" s="15"/>
      <c r="M143" s="15"/>
      <c r="N143" s="15"/>
      <c r="O143" s="15"/>
    </row>
    <row r="144" spans="2:15">
      <c r="B144" s="33" t="s">
        <v>178</v>
      </c>
      <c r="C144" s="15"/>
      <c r="D144" s="15"/>
      <c r="E144" s="15"/>
      <c r="F144" s="15"/>
      <c r="G144" s="15"/>
      <c r="H144" s="15"/>
      <c r="I144" s="15"/>
      <c r="J144" s="15"/>
      <c r="K144" s="15"/>
      <c r="L144" s="15"/>
      <c r="M144" s="15"/>
      <c r="N144" s="15"/>
      <c r="O144" s="15"/>
    </row>
    <row r="145" spans="2:15">
      <c r="B145" s="33" t="s">
        <v>144</v>
      </c>
      <c r="C145" s="15"/>
      <c r="D145" s="15"/>
      <c r="E145" s="15"/>
      <c r="F145" s="15"/>
      <c r="G145" s="15"/>
      <c r="H145" s="15"/>
      <c r="I145" s="15"/>
      <c r="J145" s="15"/>
      <c r="K145" s="15"/>
      <c r="L145" s="15"/>
      <c r="M145" s="15"/>
      <c r="N145" s="15"/>
      <c r="O145" s="15"/>
    </row>
    <row r="146" spans="2:15">
      <c r="B146" s="33"/>
      <c r="C146" s="15"/>
      <c r="D146" s="15"/>
      <c r="E146" s="15"/>
      <c r="F146" s="15"/>
      <c r="G146" s="15"/>
      <c r="H146" s="15"/>
      <c r="I146" s="15"/>
      <c r="J146" s="15"/>
      <c r="K146" s="15"/>
      <c r="L146" s="15"/>
      <c r="M146" s="15"/>
      <c r="N146" s="15"/>
      <c r="O146" s="15"/>
    </row>
    <row r="147" spans="2:15">
      <c r="B147" s="15"/>
      <c r="C147" s="15"/>
      <c r="D147" s="15"/>
      <c r="E147" s="15"/>
      <c r="F147" s="15"/>
      <c r="G147" s="15"/>
      <c r="H147" s="15"/>
      <c r="I147" s="15"/>
      <c r="J147" s="15"/>
      <c r="K147" s="15"/>
      <c r="L147" s="15"/>
      <c r="M147" s="15"/>
      <c r="N147" s="15"/>
      <c r="O147" s="15"/>
    </row>
    <row r="148" spans="2:15" ht="18">
      <c r="B148" s="28" t="s">
        <v>170</v>
      </c>
      <c r="C148" s="15"/>
      <c r="D148" s="15"/>
      <c r="E148" s="15"/>
      <c r="F148" s="15"/>
      <c r="G148" s="15"/>
      <c r="H148" s="15"/>
      <c r="I148" s="15"/>
      <c r="J148" s="15"/>
      <c r="K148" s="15"/>
      <c r="L148" s="15"/>
      <c r="M148" s="15"/>
      <c r="N148" s="15"/>
      <c r="O148" s="15"/>
    </row>
    <row r="149" spans="2:15" ht="18">
      <c r="B149" s="28" t="s">
        <v>171</v>
      </c>
      <c r="C149" s="15"/>
      <c r="D149" s="15"/>
      <c r="E149" s="15"/>
      <c r="F149" s="15"/>
      <c r="G149" s="15"/>
      <c r="H149" s="15"/>
      <c r="I149" s="15"/>
      <c r="J149" s="15"/>
      <c r="K149" s="15"/>
      <c r="L149" s="15"/>
      <c r="M149" s="15"/>
      <c r="N149" s="15"/>
      <c r="O149" s="15"/>
    </row>
    <row r="150" spans="2:15" ht="13.5" thickBot="1">
      <c r="B150" s="15"/>
      <c r="C150" s="15"/>
      <c r="D150" s="15"/>
      <c r="E150" s="15"/>
      <c r="F150" s="15"/>
      <c r="G150" s="15"/>
      <c r="H150" s="15"/>
      <c r="I150" s="15"/>
      <c r="J150" s="15"/>
      <c r="K150" s="15"/>
      <c r="L150" s="15"/>
      <c r="M150" s="15"/>
      <c r="N150" s="15"/>
      <c r="O150" s="15"/>
    </row>
    <row r="151" spans="2:15" ht="13.5" thickBot="1">
      <c r="B151" s="15" t="s">
        <v>174</v>
      </c>
      <c r="C151" s="30">
        <v>24</v>
      </c>
      <c r="D151" s="15"/>
      <c r="E151" s="15"/>
      <c r="F151" s="15"/>
      <c r="G151" s="15"/>
      <c r="H151" s="15"/>
      <c r="I151" s="15"/>
      <c r="J151" s="15"/>
      <c r="K151" s="15"/>
      <c r="L151" s="15"/>
      <c r="M151" s="15"/>
      <c r="N151" s="15"/>
      <c r="O151" s="15"/>
    </row>
    <row r="152" spans="2:15" ht="13.5" thickBot="1">
      <c r="B152" s="15" t="s">
        <v>173</v>
      </c>
      <c r="C152" s="29">
        <v>0.05</v>
      </c>
      <c r="D152" s="15" t="s">
        <v>177</v>
      </c>
      <c r="E152" s="15"/>
      <c r="F152" s="15"/>
      <c r="G152" s="15"/>
      <c r="H152" s="15"/>
      <c r="I152" s="15"/>
      <c r="J152" s="15"/>
      <c r="K152" s="15"/>
      <c r="L152" s="15"/>
      <c r="M152" s="15"/>
      <c r="N152" s="15"/>
      <c r="O152" s="15"/>
    </row>
    <row r="153" spans="2:15" ht="13.5" thickBot="1">
      <c r="B153" s="15" t="s">
        <v>172</v>
      </c>
      <c r="C153" s="29">
        <v>0.1</v>
      </c>
      <c r="D153" s="15" t="str">
        <f>" (producer risk, corresponding to a power of "&amp;ROUND(100*(1-C153),2)&amp;"% to determine bioequivalence)"</f>
        <v xml:space="preserve"> (producer risk, corresponding to a power of 90% to determine bioequivalence)</v>
      </c>
      <c r="E153" s="15"/>
      <c r="F153" s="15"/>
      <c r="G153" s="15"/>
      <c r="H153" s="15"/>
      <c r="I153" s="15"/>
      <c r="J153" s="15"/>
      <c r="K153" s="15"/>
      <c r="L153" s="15"/>
      <c r="M153" s="15"/>
      <c r="N153" s="15"/>
      <c r="O153" s="15"/>
    </row>
    <row r="154" spans="2:15">
      <c r="B154" s="15" t="s">
        <v>165</v>
      </c>
      <c r="C154" s="15">
        <f>C37</f>
        <v>0.29356037920852401</v>
      </c>
      <c r="D154" s="15"/>
      <c r="E154" s="15"/>
      <c r="F154" s="15"/>
      <c r="G154" s="15"/>
      <c r="H154" s="15"/>
      <c r="I154" s="15"/>
      <c r="J154" s="15"/>
      <c r="K154" s="15"/>
      <c r="L154" s="15"/>
      <c r="M154" s="15"/>
      <c r="N154" s="15"/>
      <c r="O154" s="15"/>
    </row>
    <row r="155" spans="2:15">
      <c r="B155" s="15" t="s">
        <v>175</v>
      </c>
      <c r="C155" s="15">
        <f>TINV(($C$152*2),$C$151-2)</f>
        <v>1.7171443743802424</v>
      </c>
      <c r="D155" s="15"/>
      <c r="E155" s="15"/>
      <c r="F155" s="15"/>
      <c r="G155" s="15"/>
      <c r="H155" s="15"/>
      <c r="I155" s="15"/>
      <c r="J155" s="15"/>
      <c r="K155" s="15"/>
      <c r="L155" s="15"/>
      <c r="M155" s="15"/>
      <c r="N155" s="15"/>
      <c r="O155" s="15"/>
    </row>
    <row r="156" spans="2:15">
      <c r="B156" s="15" t="s">
        <v>176</v>
      </c>
      <c r="C156" s="15">
        <f>TINV($C$153,$C$151-2)</f>
        <v>1.7171443743802424</v>
      </c>
      <c r="D156" s="15"/>
      <c r="E156" s="15"/>
      <c r="F156" s="15"/>
      <c r="G156" s="15"/>
      <c r="H156" s="15"/>
      <c r="I156" s="15"/>
      <c r="J156" s="15"/>
      <c r="K156" s="15"/>
      <c r="L156" s="15"/>
      <c r="M156" s="15"/>
      <c r="N156" s="15"/>
      <c r="O156" s="15"/>
    </row>
    <row r="157" spans="2:15">
      <c r="B157" s="15"/>
      <c r="C157" s="15"/>
      <c r="D157" s="15"/>
      <c r="E157" s="15"/>
      <c r="F157" s="15"/>
      <c r="G157" s="15"/>
      <c r="H157" s="15"/>
      <c r="I157" s="15"/>
      <c r="J157" s="15"/>
      <c r="K157" s="15"/>
      <c r="L157" s="15"/>
      <c r="M157" s="15"/>
      <c r="N157" s="15"/>
      <c r="O157" s="15"/>
    </row>
    <row r="158" spans="2:15" ht="18">
      <c r="B158" s="36" t="s">
        <v>132</v>
      </c>
      <c r="C158" s="36" t="str">
        <f>FIXED(100*EXP(-($C$155+$C$156)*(1/SQRT($C$151/2))*$C$154),2)&amp;" - "&amp;FIXED(100*EXP(($C$155+$C$156)*(1/SQRT($C$151/2))*$C$154),2)&amp;"%"</f>
        <v>74.75 - 133.78%</v>
      </c>
      <c r="D158" s="15"/>
      <c r="E158" s="15"/>
      <c r="F158" s="15"/>
      <c r="G158" s="15"/>
      <c r="H158" s="15"/>
      <c r="I158" s="15"/>
      <c r="J158" s="15"/>
      <c r="K158" s="15"/>
      <c r="L158" s="15"/>
      <c r="M158" s="15"/>
      <c r="N158" s="15"/>
      <c r="O158" s="15"/>
    </row>
    <row r="159" spans="2:15">
      <c r="B159" s="15"/>
      <c r="C159" s="15"/>
      <c r="D159" s="15"/>
      <c r="E159" s="15"/>
      <c r="F159" s="15"/>
      <c r="G159" s="15"/>
      <c r="H159" s="15"/>
      <c r="I159" s="15"/>
      <c r="J159" s="15"/>
      <c r="K159" s="15"/>
      <c r="L159" s="15"/>
      <c r="M159" s="15"/>
      <c r="N159" s="15"/>
      <c r="O159" s="15"/>
    </row>
    <row r="160" spans="2:15">
      <c r="B160" s="15"/>
      <c r="C160" s="15"/>
      <c r="D160" s="15"/>
      <c r="E160" s="15"/>
      <c r="F160" s="15"/>
      <c r="G160" s="15"/>
      <c r="H160" s="15"/>
      <c r="I160" s="15"/>
      <c r="J160" s="15"/>
      <c r="K160" s="15"/>
      <c r="L160" s="15"/>
      <c r="M160" s="15"/>
      <c r="N160" s="15"/>
      <c r="O160" s="15"/>
    </row>
    <row r="161" spans="2:15">
      <c r="B161" s="15"/>
      <c r="C161" s="15"/>
      <c r="D161" s="15"/>
      <c r="E161" s="15"/>
      <c r="F161" s="15"/>
      <c r="G161" s="15"/>
      <c r="H161" s="15"/>
      <c r="I161" s="15"/>
      <c r="J161" s="15"/>
      <c r="K161" s="15"/>
      <c r="L161" s="15"/>
      <c r="M161" s="15"/>
      <c r="N161" s="15"/>
      <c r="O161" s="15"/>
    </row>
    <row r="162" spans="2:15">
      <c r="B162" s="15"/>
      <c r="C162" s="15"/>
      <c r="D162" s="15"/>
      <c r="E162" s="15"/>
      <c r="F162" s="15"/>
      <c r="G162" s="15"/>
      <c r="H162" s="15"/>
      <c r="I162" s="15"/>
      <c r="J162" s="15"/>
      <c r="K162" s="15"/>
      <c r="L162" s="15"/>
      <c r="M162" s="15"/>
      <c r="N162" s="15"/>
      <c r="O162" s="15"/>
    </row>
    <row r="163" spans="2:15">
      <c r="B163" s="15"/>
      <c r="C163" s="15"/>
      <c r="D163" s="15"/>
      <c r="E163" s="15"/>
      <c r="F163" s="15"/>
      <c r="G163" s="15"/>
      <c r="H163" s="15"/>
      <c r="I163" s="15"/>
      <c r="J163" s="15"/>
      <c r="K163" s="15"/>
      <c r="L163" s="15"/>
      <c r="M163" s="15"/>
      <c r="N163" s="15"/>
      <c r="O163" s="15"/>
    </row>
    <row r="164" spans="2:15">
      <c r="B164" s="15"/>
      <c r="C164" s="15"/>
      <c r="D164" s="15"/>
      <c r="E164" s="15"/>
      <c r="F164" s="15"/>
      <c r="G164" s="15"/>
      <c r="H164" s="15"/>
      <c r="I164" s="15"/>
      <c r="J164" s="15"/>
      <c r="K164" s="15"/>
      <c r="L164" s="15"/>
      <c r="M164" s="15"/>
      <c r="N164" s="15"/>
      <c r="O164" s="15"/>
    </row>
    <row r="165" spans="2:15">
      <c r="B165" s="15"/>
      <c r="C165" s="15"/>
      <c r="D165" s="15"/>
      <c r="E165" s="15"/>
      <c r="F165" s="15"/>
      <c r="G165" s="15"/>
      <c r="H165" s="15"/>
      <c r="I165" s="15"/>
      <c r="J165" s="15"/>
      <c r="K165" s="15"/>
      <c r="L165" s="15"/>
      <c r="M165" s="15"/>
      <c r="N165" s="15"/>
      <c r="O165" s="15"/>
    </row>
    <row r="166" spans="2:15">
      <c r="B166" s="15"/>
      <c r="C166" s="15"/>
      <c r="D166" s="15"/>
      <c r="E166" s="15"/>
      <c r="F166" s="15"/>
      <c r="G166" s="15"/>
      <c r="H166" s="15"/>
      <c r="I166" s="15"/>
      <c r="J166" s="15"/>
      <c r="K166" s="15"/>
      <c r="L166" s="15"/>
      <c r="M166" s="15"/>
      <c r="N166" s="15"/>
      <c r="O166" s="15"/>
    </row>
    <row r="167" spans="2:15">
      <c r="B167" s="15"/>
      <c r="C167" s="15"/>
      <c r="D167" s="15"/>
      <c r="E167" s="15"/>
      <c r="F167" s="15"/>
      <c r="G167" s="15"/>
      <c r="H167" s="15"/>
      <c r="I167" s="15"/>
      <c r="J167" s="15"/>
      <c r="K167" s="15"/>
      <c r="L167" s="15"/>
      <c r="M167" s="15"/>
      <c r="N167" s="15"/>
      <c r="O167" s="15"/>
    </row>
    <row r="168" spans="2:15">
      <c r="B168" s="15"/>
      <c r="C168" s="15"/>
      <c r="D168" s="15"/>
      <c r="E168" s="15"/>
      <c r="F168" s="15"/>
      <c r="G168" s="15"/>
      <c r="H168" s="15"/>
      <c r="I168" s="15"/>
      <c r="J168" s="15"/>
      <c r="K168" s="15"/>
      <c r="L168" s="15"/>
      <c r="M168" s="15"/>
      <c r="N168" s="15"/>
      <c r="O168" s="15"/>
    </row>
    <row r="169" spans="2:15">
      <c r="B169" s="15"/>
      <c r="C169" s="15"/>
      <c r="D169" s="15"/>
      <c r="E169" s="15"/>
      <c r="F169" s="15"/>
      <c r="G169" s="15"/>
      <c r="H169" s="15"/>
      <c r="I169" s="15"/>
      <c r="J169" s="15"/>
      <c r="K169" s="15"/>
      <c r="L169" s="15"/>
      <c r="M169" s="15"/>
      <c r="N169" s="15"/>
      <c r="O169" s="15"/>
    </row>
    <row r="170" spans="2:15">
      <c r="B170" s="15"/>
      <c r="C170" s="15"/>
      <c r="D170" s="15"/>
      <c r="E170" s="15"/>
      <c r="F170" s="15"/>
      <c r="G170" s="15"/>
      <c r="H170" s="15"/>
      <c r="I170" s="15"/>
      <c r="J170" s="15"/>
      <c r="K170" s="15"/>
      <c r="L170" s="15"/>
      <c r="M170" s="15"/>
      <c r="N170" s="15"/>
      <c r="O170" s="15"/>
    </row>
    <row r="171" spans="2:15">
      <c r="B171" s="15"/>
      <c r="C171" s="15"/>
      <c r="D171" s="15"/>
      <c r="E171" s="15"/>
      <c r="F171" s="15"/>
      <c r="G171" s="15"/>
      <c r="H171" s="15"/>
      <c r="I171" s="15"/>
      <c r="J171" s="15"/>
      <c r="K171" s="15"/>
      <c r="L171" s="15"/>
      <c r="M171" s="15"/>
      <c r="N171" s="15"/>
      <c r="O171" s="15"/>
    </row>
    <row r="172" spans="2:15">
      <c r="B172" s="15"/>
      <c r="C172" s="15"/>
      <c r="D172" s="15"/>
      <c r="E172" s="15"/>
      <c r="F172" s="15"/>
      <c r="G172" s="15"/>
      <c r="H172" s="15"/>
      <c r="I172" s="15"/>
      <c r="J172" s="15"/>
      <c r="K172" s="15"/>
      <c r="L172" s="15"/>
      <c r="M172" s="15"/>
      <c r="N172" s="15"/>
      <c r="O172" s="15"/>
    </row>
    <row r="173" spans="2:15">
      <c r="B173" s="15"/>
      <c r="C173" s="15"/>
      <c r="D173" s="15"/>
      <c r="E173" s="15"/>
      <c r="F173" s="15"/>
      <c r="G173" s="15"/>
      <c r="H173" s="15"/>
      <c r="I173" s="15"/>
      <c r="J173" s="15"/>
      <c r="K173" s="15"/>
      <c r="L173" s="15"/>
      <c r="M173" s="15"/>
      <c r="N173" s="15"/>
      <c r="O173" s="15"/>
    </row>
    <row r="174" spans="2:15">
      <c r="B174" s="15"/>
      <c r="C174" s="15"/>
      <c r="D174" s="15"/>
      <c r="E174" s="15"/>
      <c r="F174" s="15"/>
      <c r="G174" s="15"/>
      <c r="H174" s="15"/>
      <c r="I174" s="15"/>
      <c r="J174" s="15"/>
      <c r="K174" s="15"/>
      <c r="L174" s="15"/>
      <c r="M174" s="15"/>
      <c r="N174" s="15"/>
      <c r="O174" s="15"/>
    </row>
    <row r="175" spans="2:15">
      <c r="B175" s="15"/>
      <c r="C175" s="15"/>
      <c r="D175" s="15"/>
      <c r="E175" s="15"/>
      <c r="F175" s="15"/>
      <c r="G175" s="15"/>
      <c r="H175" s="15"/>
      <c r="I175" s="15"/>
      <c r="J175" s="15"/>
      <c r="K175" s="15"/>
      <c r="L175" s="15"/>
      <c r="M175" s="15"/>
      <c r="N175" s="15"/>
      <c r="O175" s="15"/>
    </row>
    <row r="176" spans="2:15">
      <c r="B176" s="15" t="s">
        <v>138</v>
      </c>
      <c r="C176" s="15"/>
      <c r="D176" s="15"/>
      <c r="E176" s="15"/>
      <c r="F176" s="15"/>
      <c r="G176" s="15"/>
      <c r="H176" s="15"/>
      <c r="I176" s="15"/>
      <c r="J176" s="15"/>
      <c r="K176" s="15"/>
      <c r="L176" s="15"/>
      <c r="M176" s="15"/>
      <c r="N176" s="15"/>
      <c r="O176" s="15"/>
    </row>
    <row r="177" spans="2:15">
      <c r="B177" s="33" t="s">
        <v>144</v>
      </c>
      <c r="C177" s="15"/>
      <c r="D177" s="15"/>
      <c r="E177" s="15"/>
      <c r="F177" s="15"/>
      <c r="G177" s="15"/>
      <c r="H177" s="15"/>
      <c r="I177" s="15"/>
      <c r="J177" s="15"/>
      <c r="K177" s="15"/>
      <c r="L177" s="15"/>
      <c r="M177" s="15"/>
      <c r="N177" s="15"/>
      <c r="O177" s="15"/>
    </row>
    <row r="178" spans="2:15">
      <c r="B178" s="42" t="s">
        <v>199</v>
      </c>
      <c r="C178" s="15"/>
      <c r="D178" s="15"/>
      <c r="E178" s="15"/>
      <c r="F178" s="15"/>
      <c r="G178" s="15"/>
      <c r="H178" s="15"/>
      <c r="I178" s="15"/>
      <c r="J178" s="15"/>
      <c r="K178" s="15"/>
      <c r="L178" s="15"/>
      <c r="M178" s="15"/>
      <c r="N178" s="15"/>
      <c r="O178" s="15"/>
    </row>
    <row r="179" spans="2:15">
      <c r="B179" s="15"/>
      <c r="C179" s="15"/>
      <c r="D179" s="15"/>
      <c r="E179" s="15"/>
      <c r="F179" s="15"/>
      <c r="G179" s="15"/>
      <c r="H179" s="15"/>
      <c r="I179" s="15"/>
      <c r="J179" s="15"/>
      <c r="K179" s="15"/>
      <c r="L179" s="15"/>
      <c r="M179" s="15"/>
      <c r="N179" s="15"/>
      <c r="O179" s="15"/>
    </row>
    <row r="180" spans="2:15">
      <c r="B180" s="15"/>
      <c r="C180" s="15"/>
      <c r="D180" s="15"/>
      <c r="E180" s="15"/>
      <c r="F180" s="15"/>
      <c r="G180" s="15"/>
      <c r="H180" s="15"/>
      <c r="I180" s="15"/>
      <c r="J180" s="15"/>
      <c r="K180" s="15"/>
      <c r="L180" s="15"/>
      <c r="M180" s="15"/>
      <c r="N180" s="15"/>
      <c r="O180" s="15"/>
    </row>
    <row r="181" spans="2:15">
      <c r="B181" s="15"/>
      <c r="C181" s="15"/>
      <c r="D181" s="15"/>
      <c r="E181" s="15"/>
      <c r="F181" s="15"/>
      <c r="G181" s="15"/>
      <c r="H181" s="15"/>
      <c r="I181" s="15"/>
      <c r="J181" s="15"/>
      <c r="K181" s="15"/>
      <c r="L181" s="15"/>
      <c r="M181" s="15"/>
      <c r="N181" s="15"/>
      <c r="O181" s="15"/>
    </row>
    <row r="182" spans="2:15">
      <c r="B182" s="15"/>
      <c r="C182" s="15"/>
      <c r="D182" s="15"/>
      <c r="E182" s="15"/>
      <c r="F182" s="15"/>
      <c r="G182" s="15"/>
      <c r="H182" s="15"/>
      <c r="I182" s="15"/>
      <c r="J182" s="15"/>
      <c r="K182" s="15"/>
      <c r="L182" s="15"/>
      <c r="M182" s="15"/>
      <c r="N182" s="15"/>
      <c r="O182" s="15"/>
    </row>
    <row r="183" spans="2:15">
      <c r="B183" s="15"/>
      <c r="C183" s="15"/>
      <c r="D183" s="15"/>
      <c r="E183" s="15"/>
      <c r="F183" s="15"/>
      <c r="G183" s="15"/>
      <c r="H183" s="15"/>
      <c r="I183" s="15"/>
      <c r="J183" s="15"/>
      <c r="K183" s="15"/>
      <c r="L183" s="15"/>
      <c r="M183" s="15"/>
      <c r="N183" s="15"/>
      <c r="O183" s="15"/>
    </row>
    <row r="184" spans="2:15">
      <c r="B184" s="15"/>
      <c r="C184" s="15"/>
      <c r="D184" s="15"/>
      <c r="E184" s="15"/>
      <c r="F184" s="15"/>
      <c r="G184" s="15"/>
      <c r="H184" s="15"/>
      <c r="I184" s="15"/>
      <c r="J184" s="15"/>
      <c r="K184" s="15"/>
      <c r="L184" s="15"/>
      <c r="M184" s="15"/>
      <c r="N184" s="15"/>
      <c r="O184" s="15"/>
    </row>
    <row r="185" spans="2:15">
      <c r="B185" s="15"/>
      <c r="C185" s="15"/>
      <c r="D185" s="15"/>
      <c r="E185" s="15"/>
      <c r="F185" s="15"/>
      <c r="G185" s="15"/>
      <c r="H185" s="15"/>
      <c r="I185" s="15"/>
      <c r="J185" s="15"/>
      <c r="K185" s="15"/>
      <c r="L185" s="15"/>
      <c r="M185" s="15"/>
      <c r="N185" s="15"/>
      <c r="O185" s="15"/>
    </row>
    <row r="186" spans="2:15">
      <c r="B186" s="15"/>
      <c r="C186" s="15"/>
      <c r="D186" s="15"/>
      <c r="E186" s="15"/>
      <c r="F186" s="15"/>
      <c r="G186" s="15"/>
      <c r="H186" s="15"/>
      <c r="I186" s="15"/>
      <c r="J186" s="15"/>
      <c r="K186" s="15"/>
      <c r="L186" s="15"/>
      <c r="M186" s="15"/>
      <c r="N186" s="15"/>
      <c r="O186" s="15"/>
    </row>
    <row r="187" spans="2:15">
      <c r="B187" s="15"/>
      <c r="C187" s="15"/>
      <c r="D187" s="15"/>
      <c r="E187" s="15"/>
      <c r="F187" s="15"/>
      <c r="G187" s="15"/>
      <c r="H187" s="15"/>
      <c r="I187" s="15"/>
      <c r="J187" s="15"/>
      <c r="K187" s="15"/>
      <c r="L187" s="15"/>
      <c r="M187" s="15"/>
      <c r="N187" s="15"/>
      <c r="O187" s="15"/>
    </row>
    <row r="188" spans="2:15">
      <c r="B188" s="15"/>
      <c r="C188" s="15"/>
      <c r="D188" s="15"/>
      <c r="E188" s="15"/>
      <c r="F188" s="15"/>
      <c r="G188" s="15"/>
      <c r="H188" s="15"/>
      <c r="I188" s="15"/>
      <c r="J188" s="15"/>
      <c r="K188" s="15"/>
      <c r="L188" s="15"/>
      <c r="M188" s="15"/>
      <c r="N188" s="15"/>
      <c r="O188" s="15"/>
    </row>
    <row r="189" spans="2:15">
      <c r="B189" s="15"/>
      <c r="C189" s="15"/>
      <c r="D189" s="15"/>
      <c r="E189" s="15"/>
      <c r="F189" s="15"/>
      <c r="G189" s="15"/>
      <c r="H189" s="15"/>
      <c r="I189" s="15"/>
      <c r="J189" s="15"/>
      <c r="K189" s="15"/>
      <c r="L189" s="15"/>
      <c r="M189" s="15"/>
      <c r="N189" s="15"/>
      <c r="O189" s="15"/>
    </row>
  </sheetData>
  <hyperlinks>
    <hyperlink ref="B44" r:id="rId1" xr:uid="{00000000-0004-0000-0A00-000000000000}"/>
    <hyperlink ref="B43" r:id="rId2" xr:uid="{00000000-0004-0000-0A00-000001000000}"/>
    <hyperlink ref="B45" r:id="rId3" xr:uid="{00000000-0004-0000-0A00-000002000000}"/>
    <hyperlink ref="B22" r:id="rId4" xr:uid="{00000000-0004-0000-0A00-000003000000}"/>
    <hyperlink ref="B23" r:id="rId5" xr:uid="{00000000-0004-0000-0A00-000004000000}"/>
    <hyperlink ref="B77" r:id="rId6" xr:uid="{00000000-0004-0000-0A00-000005000000}"/>
    <hyperlink ref="B107" r:id="rId7" xr:uid="{00000000-0004-0000-0A00-000006000000}"/>
    <hyperlink ref="B177" r:id="rId8" xr:uid="{00000000-0004-0000-0A00-000007000000}"/>
    <hyperlink ref="B144" r:id="rId9" xr:uid="{00000000-0004-0000-0A00-000008000000}"/>
    <hyperlink ref="B145" r:id="rId10" xr:uid="{00000000-0004-0000-0A00-000009000000}"/>
    <hyperlink ref="B108" r:id="rId11" xr:uid="{00000000-0004-0000-0A00-00000A000000}"/>
    <hyperlink ref="B178" r:id="rId12" xr:uid="{00000000-0004-0000-0A00-00000B000000}"/>
  </hyperlinks>
  <pageMargins left="0.75" right="0.75" top="1" bottom="1" header="0.5" footer="0.5"/>
  <pageSetup orientation="portrait" horizontalDpi="4294967293" verticalDpi="0"/>
  <headerFooter alignWithMargins="0"/>
  <drawing r:id="rId13"/>
  <legacyDrawing r:id="rId14"/>
  <oleObjects>
    <mc:AlternateContent xmlns:mc="http://schemas.openxmlformats.org/markup-compatibility/2006">
      <mc:Choice Requires="x14">
        <oleObject progId="Equation.3" shapeId="29697" r:id="rId15">
          <objectPr defaultSize="0" autoPict="0" r:id="rId16">
            <anchor moveWithCells="1" sizeWithCells="1">
              <from>
                <xdr:col>1</xdr:col>
                <xdr:colOff>19050</xdr:colOff>
                <xdr:row>30</xdr:row>
                <xdr:rowOff>38100</xdr:rowOff>
              </from>
              <to>
                <xdr:col>5</xdr:col>
                <xdr:colOff>114300</xdr:colOff>
                <xdr:row>33</xdr:row>
                <xdr:rowOff>133350</xdr:rowOff>
              </to>
            </anchor>
          </objectPr>
        </oleObject>
      </mc:Choice>
      <mc:Fallback>
        <oleObject progId="Equation.3" shapeId="29697" r:id="rId15"/>
      </mc:Fallback>
    </mc:AlternateContent>
  </oleObjects>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G53"/>
  <sheetViews>
    <sheetView workbookViewId="0">
      <selection activeCell="C3" sqref="C3"/>
    </sheetView>
  </sheetViews>
  <sheetFormatPr defaultColWidth="9.140625" defaultRowHeight="12.75"/>
  <cols>
    <col min="1" max="1" width="5.140625" style="1" customWidth="1"/>
    <col min="2" max="2" width="21.42578125" style="1" customWidth="1"/>
    <col min="3" max="16384" width="9.140625" style="1"/>
  </cols>
  <sheetData>
    <row r="1" spans="2:6" ht="26.25">
      <c r="B1" s="17" t="s">
        <v>77</v>
      </c>
      <c r="F1" s="9" t="s">
        <v>122</v>
      </c>
    </row>
    <row r="2" spans="2:6" ht="13.5" thickBot="1">
      <c r="C2" s="14"/>
    </row>
    <row r="3" spans="2:6" ht="16.5" thickBot="1">
      <c r="B3" s="1" t="s">
        <v>22</v>
      </c>
      <c r="C3" s="3">
        <v>1</v>
      </c>
      <c r="D3" s="1" t="s">
        <v>23</v>
      </c>
    </row>
    <row r="4" spans="2:6" ht="13.5" thickBot="1">
      <c r="B4" s="8" t="s">
        <v>59</v>
      </c>
      <c r="C4" s="2">
        <v>0.05</v>
      </c>
      <c r="D4" s="1" t="s">
        <v>20</v>
      </c>
    </row>
    <row r="5" spans="2:6" ht="13.5" thickBot="1">
      <c r="B5" s="8" t="s">
        <v>18</v>
      </c>
      <c r="C5" s="3">
        <v>25</v>
      </c>
      <c r="D5" s="1" t="s">
        <v>19</v>
      </c>
    </row>
    <row r="6" spans="2:6" ht="13.5" thickBot="1">
      <c r="B6" s="1" t="s">
        <v>38</v>
      </c>
      <c r="C6" s="3">
        <v>5</v>
      </c>
      <c r="D6" s="1" t="s">
        <v>39</v>
      </c>
    </row>
    <row r="7" spans="2:6" ht="13.5" thickBot="1">
      <c r="C7" s="4"/>
    </row>
    <row r="8" spans="2:6" ht="13.5" thickBot="1">
      <c r="B8" s="12" t="s">
        <v>17</v>
      </c>
      <c r="C8" s="11">
        <f>C6/C5</f>
        <v>0.2</v>
      </c>
    </row>
    <row r="10" spans="2:6">
      <c r="B10" s="8" t="s">
        <v>18</v>
      </c>
      <c r="C10" s="1">
        <f>C5</f>
        <v>25</v>
      </c>
    </row>
    <row r="11" spans="2:6">
      <c r="B11" s="1" t="s">
        <v>16</v>
      </c>
      <c r="C11" s="7">
        <v>194</v>
      </c>
    </row>
    <row r="12" spans="2:6">
      <c r="B12" s="1" t="s">
        <v>15</v>
      </c>
      <c r="C12" s="1">
        <f>C11*(C3+1)-2</f>
        <v>386</v>
      </c>
    </row>
    <row r="13" spans="2:6">
      <c r="B13" s="1" t="s">
        <v>14</v>
      </c>
      <c r="C13" s="1">
        <f>TINV(C4,C12)</f>
        <v>1.9661287528933371</v>
      </c>
    </row>
    <row r="14" spans="2:6">
      <c r="B14" s="1" t="s">
        <v>40</v>
      </c>
      <c r="C14" s="7">
        <f>(C3+1)*C13^2*C10^2/(C3*C6^2)</f>
        <v>193.28311364769547</v>
      </c>
    </row>
    <row r="18" spans="2:5">
      <c r="E18" s="5"/>
    </row>
    <row r="19" spans="2:5" ht="14.25">
      <c r="C19" s="16" t="s">
        <v>63</v>
      </c>
      <c r="D19" s="16" t="s">
        <v>64</v>
      </c>
      <c r="E19" s="16" t="s">
        <v>66</v>
      </c>
    </row>
    <row r="20" spans="2:5">
      <c r="B20" s="1" t="s">
        <v>11</v>
      </c>
      <c r="C20" s="1">
        <f>CEILING(C11,1)</f>
        <v>194</v>
      </c>
      <c r="D20" s="1">
        <f>C20*C3</f>
        <v>194</v>
      </c>
      <c r="E20" s="1">
        <f>C20+D20</f>
        <v>388</v>
      </c>
    </row>
    <row r="26" spans="2:5" ht="18">
      <c r="B26" s="28" t="s">
        <v>123</v>
      </c>
    </row>
    <row r="27" spans="2:5" ht="20.25" customHeight="1"/>
    <row r="50" spans="2:7">
      <c r="G50" s="6"/>
    </row>
    <row r="51" spans="2:7">
      <c r="G51" s="6"/>
    </row>
    <row r="52" spans="2:7">
      <c r="G52" s="6"/>
    </row>
    <row r="53" spans="2:7">
      <c r="B53" s="9" t="s">
        <v>125</v>
      </c>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S_Precision">
                <anchor moveWithCells="1" sizeWithCells="1">
                  <from>
                    <xdr:col>1</xdr:col>
                    <xdr:colOff>95250</xdr:colOff>
                    <xdr:row>21</xdr:row>
                    <xdr:rowOff>76200</xdr:rowOff>
                  </from>
                  <to>
                    <xdr:col>2</xdr:col>
                    <xdr:colOff>514350</xdr:colOff>
                    <xdr:row>23</xdr:row>
                    <xdr:rowOff>19050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G53"/>
  <sheetViews>
    <sheetView workbookViewId="0">
      <selection activeCell="C4" sqref="C4"/>
    </sheetView>
  </sheetViews>
  <sheetFormatPr defaultColWidth="9.140625" defaultRowHeight="12.75"/>
  <cols>
    <col min="1" max="1" width="5.140625" style="1" customWidth="1"/>
    <col min="2" max="2" width="21.42578125" style="1" customWidth="1"/>
    <col min="3" max="16384" width="9.140625" style="1"/>
  </cols>
  <sheetData>
    <row r="1" spans="2:7" ht="26.25">
      <c r="B1" s="17" t="s">
        <v>78</v>
      </c>
      <c r="G1" s="9" t="s">
        <v>122</v>
      </c>
    </row>
    <row r="2" spans="2:7">
      <c r="C2" s="14"/>
    </row>
    <row r="3" spans="2:7" ht="13.5" thickBot="1">
      <c r="C3" s="10"/>
    </row>
    <row r="4" spans="2:7" ht="13.5" thickBot="1">
      <c r="B4" s="8" t="s">
        <v>59</v>
      </c>
      <c r="C4" s="2">
        <v>0.05</v>
      </c>
      <c r="D4" s="1" t="s">
        <v>20</v>
      </c>
    </row>
    <row r="5" spans="2:7" ht="16.5" thickBot="1">
      <c r="B5" s="8" t="s">
        <v>26</v>
      </c>
      <c r="C5" s="3">
        <v>10</v>
      </c>
      <c r="D5" s="1" t="s">
        <v>19</v>
      </c>
    </row>
    <row r="6" spans="2:7" ht="13.5" thickBot="1">
      <c r="B6" s="1" t="s">
        <v>38</v>
      </c>
      <c r="C6" s="3">
        <v>5</v>
      </c>
      <c r="D6" s="1" t="s">
        <v>39</v>
      </c>
    </row>
    <row r="7" spans="2:7" ht="13.5" thickBot="1">
      <c r="C7" s="4"/>
    </row>
    <row r="8" spans="2:7" ht="13.5" thickBot="1">
      <c r="B8" s="12" t="s">
        <v>17</v>
      </c>
      <c r="C8" s="11">
        <f>C6/C5</f>
        <v>0.5</v>
      </c>
    </row>
    <row r="10" spans="2:7" ht="15.75">
      <c r="B10" s="8" t="s">
        <v>26</v>
      </c>
      <c r="C10" s="1">
        <f>C5</f>
        <v>10</v>
      </c>
    </row>
    <row r="11" spans="2:7">
      <c r="B11" s="1" t="s">
        <v>0</v>
      </c>
      <c r="C11" s="7">
        <v>34</v>
      </c>
    </row>
    <row r="12" spans="2:7">
      <c r="B12" s="1" t="s">
        <v>2</v>
      </c>
      <c r="C12" s="1">
        <f>C11-2</f>
        <v>32</v>
      </c>
    </row>
    <row r="13" spans="2:7">
      <c r="B13" s="1" t="s">
        <v>13</v>
      </c>
      <c r="C13" s="1">
        <f>TINV(C4,C12)</f>
        <v>2.0369333434601011</v>
      </c>
    </row>
    <row r="14" spans="2:7">
      <c r="B14" s="1" t="s">
        <v>41</v>
      </c>
      <c r="C14" s="7">
        <f>2*C13^2*C10^2/(C6^2)</f>
        <v>33.192779565596368</v>
      </c>
    </row>
    <row r="18" spans="2:5">
      <c r="E18" s="5"/>
    </row>
    <row r="19" spans="2:5">
      <c r="C19" s="9"/>
      <c r="D19" s="9"/>
    </row>
    <row r="20" spans="2:5">
      <c r="B20" s="1" t="s">
        <v>11</v>
      </c>
      <c r="C20" s="1">
        <f>CEILING(C11,1)</f>
        <v>34</v>
      </c>
    </row>
    <row r="26" spans="2:5" ht="18">
      <c r="B26" s="28" t="s">
        <v>123</v>
      </c>
    </row>
    <row r="27" spans="2:5" ht="20.25" customHeight="1"/>
    <row r="35" spans="2:2">
      <c r="B35" s="9" t="s">
        <v>125</v>
      </c>
    </row>
    <row r="50" spans="7:7">
      <c r="G50" s="6"/>
    </row>
    <row r="51" spans="7:7">
      <c r="G51" s="6"/>
    </row>
    <row r="52" spans="7:7">
      <c r="G52" s="6"/>
    </row>
    <row r="53" spans="7:7">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SS_Precision">
                <anchor moveWithCells="1" sizeWithCells="1">
                  <from>
                    <xdr:col>1</xdr:col>
                    <xdr:colOff>95250</xdr:colOff>
                    <xdr:row>21</xdr:row>
                    <xdr:rowOff>76200</xdr:rowOff>
                  </from>
                  <to>
                    <xdr:col>2</xdr:col>
                    <xdr:colOff>514350</xdr:colOff>
                    <xdr:row>23</xdr:row>
                    <xdr:rowOff>19050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G51"/>
  <sheetViews>
    <sheetView zoomScaleNormal="100" workbookViewId="0">
      <selection activeCell="C3" sqref="C3"/>
    </sheetView>
  </sheetViews>
  <sheetFormatPr defaultColWidth="9.140625" defaultRowHeight="12.75"/>
  <cols>
    <col min="1" max="1" width="5.140625" style="1" customWidth="1"/>
    <col min="2" max="2" width="21.42578125" style="1" customWidth="1"/>
    <col min="3" max="3" width="9.140625" style="1"/>
    <col min="4" max="5" width="12.42578125" style="1" bestFit="1" customWidth="1"/>
    <col min="6" max="6" width="9.140625" style="1"/>
    <col min="7" max="7" width="12.42578125" style="1" bestFit="1" customWidth="1"/>
    <col min="8" max="16384" width="9.140625" style="1"/>
  </cols>
  <sheetData>
    <row r="1" spans="2:5" ht="26.25">
      <c r="B1" s="17" t="s">
        <v>116</v>
      </c>
    </row>
    <row r="2" spans="2:5" ht="13.5" thickBot="1">
      <c r="C2" s="14"/>
      <c r="E2" s="9" t="s">
        <v>122</v>
      </c>
    </row>
    <row r="3" spans="2:5" ht="13.5" thickBot="1">
      <c r="B3" s="1" t="s">
        <v>1</v>
      </c>
      <c r="C3" s="2">
        <v>0.8</v>
      </c>
    </row>
    <row r="4" spans="2:5" ht="13.5" thickBot="1">
      <c r="B4" s="8" t="s">
        <v>59</v>
      </c>
      <c r="C4" s="2">
        <v>0.05</v>
      </c>
      <c r="D4" s="1" t="s">
        <v>20</v>
      </c>
    </row>
    <row r="5" spans="2:5" ht="16.5" thickBot="1">
      <c r="B5" s="1" t="s">
        <v>82</v>
      </c>
      <c r="C5" s="18">
        <v>0.1</v>
      </c>
      <c r="D5" s="1" t="s">
        <v>83</v>
      </c>
    </row>
    <row r="6" spans="2:5" ht="16.5" thickBot="1">
      <c r="B6" s="1" t="s">
        <v>85</v>
      </c>
      <c r="C6" s="18">
        <v>0.3</v>
      </c>
      <c r="D6" s="1" t="s">
        <v>87</v>
      </c>
    </row>
    <row r="7" spans="2:5" ht="13.5" thickBot="1">
      <c r="C7" s="4"/>
    </row>
    <row r="8" spans="2:5" ht="13.5" thickBot="1">
      <c r="B8" s="12" t="s">
        <v>17</v>
      </c>
      <c r="C8" s="19">
        <f>C6-C5</f>
        <v>0.19999999999999998</v>
      </c>
      <c r="D8" s="1" t="s">
        <v>84</v>
      </c>
    </row>
    <row r="10" spans="2:5" ht="15.75">
      <c r="B10" s="1" t="s">
        <v>111</v>
      </c>
      <c r="C10" s="1">
        <v>5</v>
      </c>
      <c r="D10" s="1" t="s">
        <v>86</v>
      </c>
    </row>
    <row r="11" spans="2:5">
      <c r="B11" s="1" t="s">
        <v>0</v>
      </c>
      <c r="C11" s="7">
        <v>25</v>
      </c>
    </row>
    <row r="18" spans="2:5">
      <c r="B18" s="1" t="s">
        <v>58</v>
      </c>
      <c r="C18" s="1">
        <v>0.80651155791193363</v>
      </c>
      <c r="E18" s="5"/>
    </row>
    <row r="19" spans="2:5">
      <c r="C19" s="16"/>
      <c r="D19" s="16"/>
      <c r="E19" s="16"/>
    </row>
    <row r="20" spans="2:5">
      <c r="B20" s="1" t="s">
        <v>11</v>
      </c>
      <c r="C20" s="1">
        <f>CEILING(C11,1)</f>
        <v>25</v>
      </c>
      <c r="D20" s="1" t="s">
        <v>129</v>
      </c>
    </row>
    <row r="21" spans="2:5">
      <c r="B21" s="1" t="s">
        <v>112</v>
      </c>
      <c r="C21" s="1">
        <f>C10</f>
        <v>5</v>
      </c>
      <c r="D21" s="1" t="s">
        <v>114</v>
      </c>
    </row>
    <row r="23" spans="2:5">
      <c r="D23" s="9" t="s">
        <v>121</v>
      </c>
    </row>
    <row r="25" spans="2:5" ht="20.25" customHeight="1">
      <c r="B25" s="1" t="s">
        <v>113</v>
      </c>
    </row>
    <row r="26" spans="2:5">
      <c r="B26" s="1" t="s">
        <v>88</v>
      </c>
    </row>
    <row r="28" spans="2:5" ht="15.75">
      <c r="B28" s="1" t="s">
        <v>115</v>
      </c>
    </row>
    <row r="29" spans="2:5">
      <c r="D29" s="9"/>
    </row>
    <row r="30" spans="2:5" ht="18">
      <c r="B30" s="28" t="s">
        <v>123</v>
      </c>
    </row>
    <row r="39" spans="2:7">
      <c r="B39" s="9" t="s">
        <v>128</v>
      </c>
    </row>
    <row r="48" spans="2:7">
      <c r="G48" s="6"/>
    </row>
    <row r="49" spans="7:7">
      <c r="G49" s="6"/>
    </row>
    <row r="50" spans="7:7">
      <c r="G50" s="6"/>
    </row>
    <row r="51" spans="7:7">
      <c r="G51"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SS_Proportion">
                <anchor moveWithCells="1" sizeWithCells="1">
                  <from>
                    <xdr:col>1</xdr:col>
                    <xdr:colOff>95250</xdr:colOff>
                    <xdr:row>21</xdr:row>
                    <xdr:rowOff>76200</xdr:rowOff>
                  </from>
                  <to>
                    <xdr:col>2</xdr:col>
                    <xdr:colOff>514350</xdr:colOff>
                    <xdr:row>23</xdr:row>
                    <xdr:rowOff>19050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D61"/>
  <sheetViews>
    <sheetView workbookViewId="0">
      <selection activeCell="C15" sqref="C15"/>
    </sheetView>
  </sheetViews>
  <sheetFormatPr defaultColWidth="9.140625" defaultRowHeight="12.75"/>
  <cols>
    <col min="1" max="1" width="5.140625" style="1" customWidth="1"/>
    <col min="2" max="2" width="10.42578125" style="1" customWidth="1"/>
    <col min="3" max="16384" width="9.140625" style="1"/>
  </cols>
  <sheetData>
    <row r="1" spans="2:4" ht="26.25">
      <c r="B1" s="17" t="s">
        <v>79</v>
      </c>
    </row>
    <row r="3" spans="2:4">
      <c r="B3" s="1" t="s">
        <v>42</v>
      </c>
    </row>
    <row r="4" spans="2:4">
      <c r="B4" s="1" t="s">
        <v>43</v>
      </c>
    </row>
    <row r="5" spans="2:4">
      <c r="B5" s="1" t="s">
        <v>44</v>
      </c>
    </row>
    <row r="13" spans="2:4">
      <c r="B13" s="1" t="s">
        <v>45</v>
      </c>
    </row>
    <row r="14" spans="2:4" ht="13.5" thickBot="1"/>
    <row r="15" spans="2:4" ht="15" thickBot="1">
      <c r="B15" s="8" t="s">
        <v>46</v>
      </c>
      <c r="C15" s="3">
        <v>20</v>
      </c>
    </row>
    <row r="16" spans="2:4" ht="13.5" thickBot="1">
      <c r="B16" s="15" t="s">
        <v>12</v>
      </c>
      <c r="C16" s="3">
        <v>3</v>
      </c>
      <c r="D16" s="1" t="s">
        <v>49</v>
      </c>
    </row>
    <row r="17" spans="2:4" ht="13.5" thickBot="1">
      <c r="B17" s="12" t="s">
        <v>47</v>
      </c>
      <c r="C17" s="3">
        <v>0.5</v>
      </c>
      <c r="D17" s="1" t="s">
        <v>48</v>
      </c>
    </row>
    <row r="19" spans="2:4">
      <c r="B19" s="1" t="s">
        <v>50</v>
      </c>
    </row>
    <row r="20" spans="2:4">
      <c r="C20" s="1">
        <f>1-((C16*C17^2)/(1+(C16-1)*C17))</f>
        <v>0.625</v>
      </c>
    </row>
    <row r="22" spans="2:4" ht="14.25">
      <c r="B22" s="8" t="s">
        <v>51</v>
      </c>
      <c r="C22" s="1">
        <f>C15*C20</f>
        <v>12.5</v>
      </c>
    </row>
    <row r="24" spans="2:4">
      <c r="B24" s="9" t="s">
        <v>52</v>
      </c>
    </row>
    <row r="33" spans="2:4" ht="13.5" thickBot="1"/>
    <row r="34" spans="2:4" ht="15" thickBot="1">
      <c r="B34" s="8" t="s">
        <v>46</v>
      </c>
      <c r="C34" s="3">
        <v>20</v>
      </c>
    </row>
    <row r="35" spans="2:4" ht="13.5" thickBot="1">
      <c r="B35" s="15" t="s">
        <v>47</v>
      </c>
      <c r="C35" s="3">
        <v>5</v>
      </c>
      <c r="D35" s="1" t="s">
        <v>53</v>
      </c>
    </row>
    <row r="36" spans="2:4" ht="13.5" thickBot="1">
      <c r="B36" s="12" t="s">
        <v>47</v>
      </c>
      <c r="C36" s="3">
        <v>0.5</v>
      </c>
      <c r="D36" s="1" t="s">
        <v>54</v>
      </c>
    </row>
    <row r="38" spans="2:4">
      <c r="B38" s="1" t="s">
        <v>50</v>
      </c>
    </row>
    <row r="39" spans="2:4">
      <c r="C39" s="1">
        <f>(1+(C35-1)*C36)/C35</f>
        <v>0.6</v>
      </c>
    </row>
    <row r="41" spans="2:4" ht="14.25">
      <c r="B41" s="8" t="s">
        <v>51</v>
      </c>
      <c r="C41" s="1">
        <f>C34*C39</f>
        <v>12</v>
      </c>
    </row>
    <row r="44" spans="2:4">
      <c r="B44" s="9" t="s">
        <v>55</v>
      </c>
    </row>
    <row r="50" spans="2:4" ht="13.5" thickBot="1"/>
    <row r="51" spans="2:4" ht="15" thickBot="1">
      <c r="B51" s="8" t="s">
        <v>46</v>
      </c>
      <c r="C51" s="3">
        <v>20</v>
      </c>
    </row>
    <row r="52" spans="2:4" ht="13.5" thickBot="1">
      <c r="B52" s="15" t="s">
        <v>47</v>
      </c>
      <c r="C52" s="3">
        <v>5</v>
      </c>
      <c r="D52" s="1" t="s">
        <v>53</v>
      </c>
    </row>
    <row r="53" spans="2:4" ht="13.5" thickBot="1">
      <c r="B53" s="12" t="s">
        <v>47</v>
      </c>
      <c r="C53" s="3">
        <v>0.5</v>
      </c>
      <c r="D53" s="1" t="s">
        <v>54</v>
      </c>
    </row>
    <row r="54" spans="2:4" ht="13.5" thickBot="1">
      <c r="B54" s="1" t="s">
        <v>12</v>
      </c>
      <c r="C54" s="3">
        <v>4</v>
      </c>
      <c r="D54" s="1" t="s">
        <v>49</v>
      </c>
    </row>
    <row r="56" spans="2:4">
      <c r="B56" s="1" t="s">
        <v>50</v>
      </c>
    </row>
    <row r="57" spans="2:4">
      <c r="C57" s="1">
        <f>((1+(C52-1)*C53)/C52)-(C54*(C53^2)/(1+(C54-1)*C53))</f>
        <v>0.19999999999999996</v>
      </c>
    </row>
    <row r="59" spans="2:4" ht="14.25">
      <c r="B59" s="8" t="s">
        <v>51</v>
      </c>
      <c r="C59" s="1">
        <f>C51*C57</f>
        <v>3.9999999999999991</v>
      </c>
    </row>
    <row r="61" spans="2:4">
      <c r="B61" s="9" t="s">
        <v>125</v>
      </c>
    </row>
  </sheetData>
  <phoneticPr fontId="2"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1:G32"/>
  <sheetViews>
    <sheetView workbookViewId="0">
      <selection activeCell="C4" sqref="C4"/>
    </sheetView>
  </sheetViews>
  <sheetFormatPr defaultColWidth="9.140625" defaultRowHeight="12.75"/>
  <cols>
    <col min="1" max="1" width="5.28515625" style="1" customWidth="1"/>
    <col min="2" max="2" width="9.140625" style="1"/>
    <col min="3" max="3" width="10.140625" style="1" customWidth="1"/>
    <col min="4" max="6" width="9.140625" style="1"/>
    <col min="7" max="7" width="9.140625" style="1" customWidth="1"/>
    <col min="8" max="16384" width="9.140625" style="1"/>
  </cols>
  <sheetData>
    <row r="1" spans="2:4" ht="7.5" customHeight="1"/>
    <row r="2" spans="2:4" ht="18.75" customHeight="1">
      <c r="B2" s="20" t="s">
        <v>90</v>
      </c>
    </row>
    <row r="3" spans="2:4" ht="18.75" customHeight="1" thickBot="1">
      <c r="B3" s="21" t="s">
        <v>91</v>
      </c>
    </row>
    <row r="4" spans="2:4">
      <c r="B4" s="1" t="s">
        <v>92</v>
      </c>
      <c r="C4" s="22">
        <v>100</v>
      </c>
      <c r="D4" s="1" t="s">
        <v>93</v>
      </c>
    </row>
    <row r="5" spans="2:4">
      <c r="B5" s="1" t="s">
        <v>94</v>
      </c>
      <c r="C5" s="23">
        <v>80</v>
      </c>
      <c r="D5" s="1" t="s">
        <v>95</v>
      </c>
    </row>
    <row r="6" spans="2:4">
      <c r="B6" s="1" t="s">
        <v>96</v>
      </c>
      <c r="C6" s="23">
        <v>125</v>
      </c>
      <c r="D6" s="1" t="s">
        <v>97</v>
      </c>
    </row>
    <row r="7" spans="2:4" ht="13.5" thickBot="1">
      <c r="B7" s="1" t="s">
        <v>98</v>
      </c>
      <c r="C7" s="24">
        <v>12</v>
      </c>
      <c r="D7" s="1" t="s">
        <v>99</v>
      </c>
    </row>
    <row r="8" spans="2:4" ht="13.5" thickBot="1">
      <c r="B8" s="1" t="s">
        <v>100</v>
      </c>
      <c r="C8" s="2">
        <v>0.9</v>
      </c>
    </row>
    <row r="9" spans="2:4">
      <c r="B9" s="1" t="s">
        <v>101</v>
      </c>
      <c r="C9" s="25">
        <f>C7-2</f>
        <v>10</v>
      </c>
    </row>
    <row r="10" spans="2:4">
      <c r="B10" s="1" t="s">
        <v>102</v>
      </c>
      <c r="C10" s="25">
        <f>TINV(1-$C$8,$C$9)</f>
        <v>1.812461122811676</v>
      </c>
    </row>
    <row r="11" spans="2:4">
      <c r="B11" s="1" t="s">
        <v>103</v>
      </c>
      <c r="C11" s="25">
        <f>(LN($C$4)-LN($C$5))/$C$10</f>
        <v>0.123116324265233</v>
      </c>
    </row>
    <row r="12" spans="2:4">
      <c r="B12" s="1" t="s">
        <v>104</v>
      </c>
      <c r="C12" s="25">
        <f>(LN($C$6)-LN($C$4))/$C$10</f>
        <v>0.12311632426523252</v>
      </c>
    </row>
    <row r="13" spans="2:4">
      <c r="B13" s="1" t="s">
        <v>105</v>
      </c>
      <c r="C13" s="25">
        <f>(C11^2)*($C$9+2)/2</f>
        <v>9.0945775803492002E-2</v>
      </c>
    </row>
    <row r="14" spans="2:4">
      <c r="B14" s="1" t="s">
        <v>106</v>
      </c>
      <c r="C14" s="25">
        <f>(C12^2)*($C$9+2)/2</f>
        <v>9.094577580349128E-2</v>
      </c>
    </row>
    <row r="15" spans="2:4">
      <c r="B15" s="1" t="s">
        <v>107</v>
      </c>
      <c r="C15" s="25">
        <f>SQRT(EXP($C$13)-1)*100</f>
        <v>30.856055610990801</v>
      </c>
    </row>
    <row r="16" spans="2:4">
      <c r="B16" s="1" t="s">
        <v>108</v>
      </c>
      <c r="C16" s="25">
        <f>SQRT(EXP($C$14)-1)*100</f>
        <v>30.85605561099069</v>
      </c>
    </row>
    <row r="18" spans="2:7" ht="20.25">
      <c r="B18" s="20" t="s">
        <v>109</v>
      </c>
      <c r="C18" s="26">
        <f>(C15+C16)/2</f>
        <v>30.856055610990744</v>
      </c>
      <c r="D18" s="20" t="s">
        <v>110</v>
      </c>
    </row>
    <row r="19" spans="2:7">
      <c r="G19" s="35"/>
    </row>
    <row r="20" spans="2:7">
      <c r="B20" s="21"/>
    </row>
    <row r="21" spans="2:7">
      <c r="C21" s="10"/>
    </row>
    <row r="22" spans="2:7">
      <c r="C22" s="10"/>
    </row>
    <row r="23" spans="2:7">
      <c r="C23" s="10"/>
    </row>
    <row r="24" spans="2:7">
      <c r="C24" s="10"/>
    </row>
    <row r="25" spans="2:7">
      <c r="C25" s="10"/>
    </row>
    <row r="26" spans="2:7">
      <c r="C26" s="14"/>
    </row>
    <row r="27" spans="2:7">
      <c r="C27" s="25"/>
    </row>
    <row r="28" spans="2:7">
      <c r="C28" s="25"/>
    </row>
    <row r="29" spans="2:7">
      <c r="C29" s="25"/>
    </row>
    <row r="30" spans="2:7">
      <c r="C30" s="25"/>
    </row>
    <row r="32" spans="2:7" ht="20.25">
      <c r="B32" s="20"/>
      <c r="C32" s="27"/>
    </row>
  </sheetData>
  <phoneticPr fontId="0" type="noConversion"/>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Intro</vt:lpstr>
      <vt:lpstr>Superiority, Parallel</vt:lpstr>
      <vt:lpstr>Superiority, Crossover</vt:lpstr>
      <vt:lpstr>Equivalence, Parallel</vt:lpstr>
      <vt:lpstr>Equivalence, Crossover</vt:lpstr>
      <vt:lpstr>Non-inferiority, Parallel</vt:lpstr>
      <vt:lpstr>Non-inferiority, Crossover</vt:lpstr>
      <vt:lpstr>Bioequivalence, Parallel</vt:lpstr>
      <vt:lpstr>Bioequivalence, Crossover</vt:lpstr>
      <vt:lpstr>Bioequivalence, Replicate</vt:lpstr>
      <vt:lpstr>Scaled BE - HVD</vt:lpstr>
      <vt:lpstr>Given Precision, Parallel</vt:lpstr>
      <vt:lpstr>Given Precision, Crossover</vt:lpstr>
      <vt:lpstr>Difference Between Proportions</vt:lpstr>
      <vt:lpstr>Variance Correction</vt:lpstr>
      <vt:lpstr>ISV</vt:lpstr>
    </vt:vector>
  </TitlesOfParts>
  <Manager>David Dubins</Manager>
  <Company>University of Toronto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FARTSSIE - Free Analysis Research Tool for Sample Size Iterative Estimation</dc:title>
  <dc:subject>Sample Size Estimation for Clinical Trials</dc:subject>
  <dc:creator>David Dubins</dc:creator>
  <cp:keywords>sample size; Clinical Trial; drug submission templates; standard deviation; standard error; statistics</cp:keywords>
  <dc:description>This program is free to use and distribute. Please do not remove my name or this tag information.</dc:description>
  <cp:lastModifiedBy>David Dubins</cp:lastModifiedBy>
  <dcterms:created xsi:type="dcterms:W3CDTF">2007-02-09T04:12:48Z</dcterms:created>
  <dcterms:modified xsi:type="dcterms:W3CDTF">2021-07-05T14:57:54Z</dcterms:modified>
  <cp:category>Sample Size Estimation</cp:category>
</cp:coreProperties>
</file>