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F1FFF451-D070-42DE-95FA-53B9797B006B}" xr6:coauthVersionLast="47" xr6:coauthVersionMax="47" xr10:uidLastSave="{00000000-0000-0000-0000-000000000000}"/>
  <bookViews>
    <workbookView xWindow="28680" yWindow="270" windowWidth="25440" windowHeight="1527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s="1"/>
  <c r="Y11" i="8" s="1"/>
  <c r="C20" i="28"/>
  <c r="D20" i="28" s="1"/>
  <c r="C12" i="28"/>
  <c r="C13" i="28" s="1"/>
  <c r="Z32" i="28"/>
  <c r="Z33" i="28"/>
  <c r="V11" i="28"/>
  <c r="C10" i="28"/>
  <c r="C15" i="28" s="1"/>
  <c r="C8" i="28"/>
  <c r="D6" i="28"/>
  <c r="Z35" i="28"/>
  <c r="Z36" i="28"/>
  <c r="V15" i="28"/>
  <c r="C20" i="27"/>
  <c r="Y6" i="27"/>
  <c r="Z2" i="27"/>
  <c r="Z32" i="27"/>
  <c r="Z33" i="27"/>
  <c r="C12" i="27"/>
  <c r="C13" i="27" s="1"/>
  <c r="V11" i="27"/>
  <c r="V15" i="27"/>
  <c r="C10" i="27"/>
  <c r="C15" i="27"/>
  <c r="C8" i="27"/>
  <c r="Z35" i="27"/>
  <c r="Z36" i="27"/>
  <c r="C14" i="27"/>
  <c r="D6" i="27"/>
  <c r="W11" i="27"/>
  <c r="X11" i="27"/>
  <c r="Y11" i="27" s="1"/>
  <c r="AD16" i="27" s="1"/>
  <c r="AD17" i="27" s="1"/>
  <c r="K7" i="14"/>
  <c r="K7" i="13"/>
  <c r="Z16" i="27"/>
  <c r="Z17" i="27"/>
  <c r="AA11" i="27"/>
  <c r="AB11" i="27"/>
  <c r="U16" i="27"/>
  <c r="Z19" i="27"/>
  <c r="Z20" i="27"/>
  <c r="C25" i="7"/>
  <c r="U17" i="27"/>
  <c r="V16" i="27"/>
  <c r="V11" i="1"/>
  <c r="V15" i="1" s="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X11" i="11" s="1"/>
  <c r="Y11" i="11" s="1"/>
  <c r="D20" i="11"/>
  <c r="E20" i="11" s="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s="1"/>
  <c r="C12" i="1"/>
  <c r="C13" i="1" s="1"/>
  <c r="D6" i="1"/>
  <c r="C12" i="8"/>
  <c r="C13" i="8" s="1"/>
  <c r="C10" i="7"/>
  <c r="C14" i="7"/>
  <c r="C12" i="7"/>
  <c r="C13" i="7" s="1"/>
  <c r="C21" i="23"/>
  <c r="C8" i="23"/>
  <c r="C20" i="23"/>
  <c r="C20" i="17"/>
  <c r="D20" i="17"/>
  <c r="E20" i="17"/>
  <c r="C20" i="13"/>
  <c r="X11" i="13" s="1"/>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s="1"/>
  <c r="C10" i="13"/>
  <c r="C14" i="13"/>
  <c r="C12" i="12"/>
  <c r="C13" i="12" s="1"/>
  <c r="C10" i="11"/>
  <c r="C14" i="11"/>
  <c r="C12" i="11"/>
  <c r="C13" i="11" s="1"/>
  <c r="C10" i="8"/>
  <c r="C14" i="8"/>
  <c r="C8" i="17"/>
  <c r="C8" i="8"/>
  <c r="AA11" i="13"/>
  <c r="AB11" i="13"/>
  <c r="U16" i="13"/>
  <c r="Z24" i="12"/>
  <c r="Z25" i="12"/>
  <c r="W15" i="12"/>
  <c r="Z27" i="12"/>
  <c r="Z28" i="12"/>
  <c r="C38" i="26"/>
  <c r="C40" i="26"/>
  <c r="AA17" i="1"/>
  <c r="AA20" i="1" s="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Z16" i="8"/>
  <c r="Z17" i="8"/>
  <c r="U18" i="27"/>
  <c r="V17" i="27"/>
  <c r="Z35" i="14"/>
  <c r="Z36" i="14"/>
  <c r="Z27" i="14"/>
  <c r="Z28" i="14"/>
  <c r="Z32" i="14"/>
  <c r="Z33" i="14"/>
  <c r="Z24" i="14"/>
  <c r="Z25" i="14"/>
  <c r="C8" i="12"/>
  <c r="Z35" i="8"/>
  <c r="Z36" i="8"/>
  <c r="Z19" i="8"/>
  <c r="Z20" i="8"/>
  <c r="X11" i="12"/>
  <c r="Y11" i="12" s="1"/>
  <c r="C14" i="12"/>
  <c r="C14" i="17"/>
  <c r="C14" i="18"/>
  <c r="C118" i="26"/>
  <c r="C119" i="26"/>
  <c r="Z16" i="14"/>
  <c r="Z17" i="14"/>
  <c r="X11" i="7"/>
  <c r="Y11" i="7"/>
  <c r="AD19" i="7" s="1"/>
  <c r="AD20" i="7" s="1"/>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Z16" i="7"/>
  <c r="Z17" i="7"/>
  <c r="C57" i="26"/>
  <c r="X12" i="12"/>
  <c r="Y12" i="12" s="1"/>
  <c r="AD24" i="12" s="1"/>
  <c r="AD25" i="12" s="1"/>
  <c r="Z33" i="8"/>
  <c r="Y12" i="14"/>
  <c r="Z19" i="7"/>
  <c r="Z20" i="7"/>
  <c r="V12" i="7"/>
  <c r="Z35" i="7"/>
  <c r="D20" i="7"/>
  <c r="X12" i="7" s="1"/>
  <c r="W16" i="11"/>
  <c r="Z27" i="8"/>
  <c r="Z28" i="8"/>
  <c r="U17" i="11"/>
  <c r="V17" i="11"/>
  <c r="U19" i="27"/>
  <c r="V18" i="27"/>
  <c r="Z24" i="8"/>
  <c r="Z25" i="8"/>
  <c r="AD19" i="14"/>
  <c r="AD20" i="14"/>
  <c r="AD24" i="14"/>
  <c r="AD25" i="14"/>
  <c r="AD27" i="14"/>
  <c r="AD28" i="14"/>
  <c r="Z36" i="7"/>
  <c r="AA11" i="7"/>
  <c r="AB11" i="7"/>
  <c r="U16" i="7"/>
  <c r="Z32" i="7"/>
  <c r="Z33" i="7"/>
  <c r="Z24" i="7"/>
  <c r="Z25" i="7"/>
  <c r="W15" i="7"/>
  <c r="Z27" i="7"/>
  <c r="Z28" i="7"/>
  <c r="W17" i="11"/>
  <c r="U18" i="11"/>
  <c r="V18" i="11"/>
  <c r="U20" i="27"/>
  <c r="V19" i="27"/>
  <c r="U17" i="7"/>
  <c r="W16" i="7"/>
  <c r="V16" i="7"/>
  <c r="U19" i="11"/>
  <c r="W19" i="11"/>
  <c r="W18" i="11"/>
  <c r="U21" i="27"/>
  <c r="V20" i="27"/>
  <c r="W17" i="7"/>
  <c r="V17" i="7"/>
  <c r="U18" i="7"/>
  <c r="V19" i="11"/>
  <c r="U20" i="11"/>
  <c r="W20" i="11"/>
  <c r="V21" i="27"/>
  <c r="U22" i="27"/>
  <c r="V18" i="7"/>
  <c r="W18" i="7"/>
  <c r="U19" i="7"/>
  <c r="V20" i="11"/>
  <c r="U21" i="11"/>
  <c r="U22" i="11"/>
  <c r="V22" i="11"/>
  <c r="U23" i="27"/>
  <c r="V22" i="27"/>
  <c r="W19" i="7"/>
  <c r="U20" i="7"/>
  <c r="V19" i="7"/>
  <c r="V21" i="11"/>
  <c r="U23" i="11"/>
  <c r="U24" i="11"/>
  <c r="W22" i="11"/>
  <c r="W21" i="11"/>
  <c r="V23" i="27"/>
  <c r="U24" i="27"/>
  <c r="W20" i="7"/>
  <c r="U21" i="7"/>
  <c r="V20" i="7"/>
  <c r="W23" i="11"/>
  <c r="V23" i="11"/>
  <c r="U25" i="27"/>
  <c r="V24" i="27"/>
  <c r="W21" i="7"/>
  <c r="V21" i="7"/>
  <c r="U22" i="7"/>
  <c r="U25" i="11"/>
  <c r="W24" i="11"/>
  <c r="V24" i="11"/>
  <c r="V25" i="27"/>
  <c r="U26" i="27"/>
  <c r="W22" i="7"/>
  <c r="U23" i="7"/>
  <c r="V22" i="7"/>
  <c r="U26" i="11"/>
  <c r="V25" i="11"/>
  <c r="W25" i="11"/>
  <c r="U27" i="27"/>
  <c r="V26" i="27"/>
  <c r="W23" i="7"/>
  <c r="U24" i="7"/>
  <c r="V23" i="7"/>
  <c r="U27" i="11"/>
  <c r="V26" i="11"/>
  <c r="W26" i="11"/>
  <c r="V27" i="27"/>
  <c r="U28" i="27"/>
  <c r="V24" i="7"/>
  <c r="W24" i="7"/>
  <c r="U25" i="7"/>
  <c r="U28" i="11"/>
  <c r="W27" i="11"/>
  <c r="V27" i="11"/>
  <c r="U29" i="27"/>
  <c r="V28" i="27"/>
  <c r="V25" i="7"/>
  <c r="U26" i="7"/>
  <c r="W25" i="7"/>
  <c r="V28" i="11"/>
  <c r="W28" i="11"/>
  <c r="U29" i="11"/>
  <c r="V29" i="27"/>
  <c r="U30" i="27"/>
  <c r="V26" i="7"/>
  <c r="U27" i="7"/>
  <c r="W26" i="7"/>
  <c r="U30" i="11"/>
  <c r="W29" i="11"/>
  <c r="V29" i="11"/>
  <c r="U31" i="27"/>
  <c r="V30" i="27"/>
  <c r="W27" i="7"/>
  <c r="V27" i="7"/>
  <c r="U28" i="7"/>
  <c r="V30" i="11"/>
  <c r="U31" i="11"/>
  <c r="W30" i="11"/>
  <c r="U32" i="27"/>
  <c r="V31" i="27"/>
  <c r="W28" i="7"/>
  <c r="V28" i="7"/>
  <c r="U29" i="7"/>
  <c r="V31" i="11"/>
  <c r="W31" i="11"/>
  <c r="U32" i="11"/>
  <c r="U33" i="27"/>
  <c r="V32" i="27"/>
  <c r="U30" i="7"/>
  <c r="V29" i="7"/>
  <c r="W29" i="7"/>
  <c r="V32" i="11"/>
  <c r="U33" i="11"/>
  <c r="W32" i="11"/>
  <c r="U34" i="27"/>
  <c r="V33" i="27"/>
  <c r="V30" i="7"/>
  <c r="U31" i="7"/>
  <c r="W30" i="7"/>
  <c r="V33" i="11"/>
  <c r="U34" i="11"/>
  <c r="W33" i="11"/>
  <c r="U35" i="27"/>
  <c r="V34" i="27"/>
  <c r="W31" i="7"/>
  <c r="U32" i="7"/>
  <c r="V31" i="7"/>
  <c r="V34" i="11"/>
  <c r="U35" i="11"/>
  <c r="W34" i="11"/>
  <c r="V35" i="27"/>
  <c r="U36" i="27"/>
  <c r="W32" i="7"/>
  <c r="U33" i="7"/>
  <c r="V32" i="7"/>
  <c r="V35" i="11"/>
  <c r="U36" i="11"/>
  <c r="W35" i="11"/>
  <c r="V36" i="27"/>
  <c r="U37" i="27"/>
  <c r="V33" i="7"/>
  <c r="U34" i="7"/>
  <c r="W33" i="7"/>
  <c r="W36" i="11"/>
  <c r="V36" i="11"/>
  <c r="U37" i="11"/>
  <c r="U38" i="27"/>
  <c r="V37" i="27"/>
  <c r="W34" i="7"/>
  <c r="U35" i="7"/>
  <c r="V34" i="7"/>
  <c r="V37" i="11"/>
  <c r="U38" i="11"/>
  <c r="W37" i="11"/>
  <c r="V38" i="27"/>
  <c r="U39" i="27"/>
  <c r="W35" i="7"/>
  <c r="U36" i="7"/>
  <c r="V35" i="7"/>
  <c r="V38" i="11"/>
  <c r="U39" i="11"/>
  <c r="W38" i="11"/>
  <c r="U40" i="27"/>
  <c r="V39" i="27"/>
  <c r="U37" i="7"/>
  <c r="W36" i="7"/>
  <c r="V36" i="7"/>
  <c r="W39" i="11"/>
  <c r="V39" i="11"/>
  <c r="U40" i="11"/>
  <c r="V40" i="27"/>
  <c r="U41" i="27"/>
  <c r="W37" i="7"/>
  <c r="V37" i="7"/>
  <c r="U38" i="7"/>
  <c r="W40" i="11"/>
  <c r="V40" i="11"/>
  <c r="U41" i="11"/>
  <c r="U42" i="27"/>
  <c r="V41" i="27"/>
  <c r="V38" i="7"/>
  <c r="U39" i="7"/>
  <c r="W38" i="7"/>
  <c r="V41" i="11"/>
  <c r="U42" i="11"/>
  <c r="W41" i="11"/>
  <c r="V42" i="27"/>
  <c r="U43" i="27"/>
  <c r="V39" i="7"/>
  <c r="W39" i="7"/>
  <c r="U40" i="7"/>
  <c r="V42" i="11"/>
  <c r="U43" i="11"/>
  <c r="W42" i="11"/>
  <c r="U44" i="27"/>
  <c r="V43" i="27"/>
  <c r="V40" i="7"/>
  <c r="U41" i="7"/>
  <c r="W40" i="7"/>
  <c r="W43" i="11"/>
  <c r="V43" i="11"/>
  <c r="U44" i="11"/>
  <c r="V44" i="27"/>
  <c r="U45" i="27"/>
  <c r="W41" i="7"/>
  <c r="U42" i="7"/>
  <c r="V41" i="7"/>
  <c r="W44" i="11"/>
  <c r="V44" i="11"/>
  <c r="U45" i="11"/>
  <c r="AA17" i="28"/>
  <c r="AA20" i="28" s="1"/>
  <c r="U46" i="27"/>
  <c r="V45" i="27"/>
  <c r="V42" i="7"/>
  <c r="U43" i="7"/>
  <c r="W42" i="7"/>
  <c r="V45" i="11"/>
  <c r="U46" i="11"/>
  <c r="W45" i="11"/>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24" i="29"/>
  <c r="D28" i="29"/>
  <c r="D29" i="29"/>
  <c r="C33" i="29"/>
  <c r="G36" i="30"/>
  <c r="G34" i="30"/>
  <c r="G37" i="30"/>
  <c r="G35" i="30"/>
  <c r="D40" i="30"/>
  <c r="E44" i="30"/>
  <c r="D48" i="30"/>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14"/>
  <c r="C17" i="13"/>
  <c r="C17" i="12"/>
  <c r="C16" i="12"/>
  <c r="C17" i="11"/>
  <c r="C16" i="11"/>
  <c r="C17" i="8"/>
  <c r="C17" i="7"/>
  <c r="C17" i="28"/>
  <c r="C17" i="1"/>
  <c r="C17" i="27"/>
  <c r="C16" i="27"/>
  <c r="X12" i="8" l="1"/>
  <c r="X12" i="11"/>
  <c r="Y12" i="11" s="1"/>
  <c r="AD27" i="11" s="1"/>
  <c r="AD28" i="11" s="1"/>
  <c r="X12" i="13"/>
  <c r="Y12" i="13" s="1"/>
  <c r="D20" i="13"/>
  <c r="E20" i="13" s="1"/>
  <c r="Y11" i="13"/>
  <c r="AD19" i="12"/>
  <c r="AD20" i="12" s="1"/>
  <c r="AD16" i="12"/>
  <c r="AD17" i="12" s="1"/>
  <c r="AD27" i="12"/>
  <c r="AD28" i="12" s="1"/>
  <c r="AD16" i="11"/>
  <c r="AD17" i="11" s="1"/>
  <c r="AD19" i="11"/>
  <c r="AD20" i="11" s="1"/>
  <c r="AD24" i="11"/>
  <c r="AD25" i="11" s="1"/>
  <c r="Y12" i="8"/>
  <c r="AD27" i="8" s="1"/>
  <c r="AD28" i="8" s="1"/>
  <c r="AD19" i="8"/>
  <c r="AD20" i="8" s="1"/>
  <c r="AD16" i="8"/>
  <c r="AD17" i="8" s="1"/>
  <c r="Y12" i="7"/>
  <c r="AD16" i="7"/>
  <c r="AD17" i="7" s="1"/>
  <c r="E20" i="7"/>
  <c r="AD19" i="27"/>
  <c r="AD20" i="27" s="1"/>
  <c r="C14" i="28"/>
  <c r="E20" i="28"/>
  <c r="W11" i="28"/>
  <c r="W11" i="1"/>
  <c r="AA11" i="1" s="1"/>
  <c r="AB11" i="1" s="1"/>
  <c r="U16" i="1" s="1"/>
  <c r="C14" i="1"/>
  <c r="F17" i="24"/>
  <c r="C14" i="24"/>
  <c r="C16" i="24" s="1"/>
  <c r="C18" i="24" s="1"/>
  <c r="C21" i="24" s="1"/>
  <c r="F18" i="24"/>
  <c r="F21" i="24" s="1"/>
  <c r="F16" i="33"/>
  <c r="F18" i="33" s="1"/>
  <c r="C17" i="33"/>
  <c r="C19" i="33" s="1"/>
  <c r="C21" i="33" s="1"/>
  <c r="C17" i="32"/>
  <c r="C19" i="32" s="1"/>
  <c r="C21" i="32" s="1"/>
  <c r="C18" i="32"/>
  <c r="C18" i="12"/>
  <c r="C18" i="13"/>
  <c r="C18" i="27"/>
  <c r="C18" i="11"/>
  <c r="C18" i="14"/>
  <c r="C18" i="8"/>
  <c r="C18" i="7"/>
  <c r="C16" i="28"/>
  <c r="C16" i="1"/>
  <c r="AD16" i="13" l="1"/>
  <c r="AD17" i="13" s="1"/>
  <c r="AD19" i="13"/>
  <c r="AD20" i="13" s="1"/>
  <c r="AD27" i="13"/>
  <c r="AD28" i="13" s="1"/>
  <c r="AD24" i="13"/>
  <c r="AD25" i="13" s="1"/>
  <c r="AD24" i="8"/>
  <c r="AD25" i="8" s="1"/>
  <c r="AD24" i="7"/>
  <c r="AD25" i="7" s="1"/>
  <c r="AD27" i="7"/>
  <c r="AD28" i="7" s="1"/>
  <c r="C18" i="28"/>
  <c r="Z16" i="28"/>
  <c r="Z17" i="28" s="1"/>
  <c r="X11" i="28"/>
  <c r="Y11" i="28" s="1"/>
  <c r="Z19" i="28"/>
  <c r="Z20" i="28" s="1"/>
  <c r="AA11" i="28"/>
  <c r="AB11" i="28" s="1"/>
  <c r="U16" i="28" s="1"/>
  <c r="Z19" i="1"/>
  <c r="Z20" i="1" s="1"/>
  <c r="Z16" i="1"/>
  <c r="Z17" i="1" s="1"/>
  <c r="X11" i="1"/>
  <c r="Y11" i="1" s="1"/>
  <c r="C18" i="1"/>
  <c r="U17" i="1"/>
  <c r="V16" i="1"/>
  <c r="F17" i="33"/>
  <c r="F19" i="33" s="1"/>
  <c r="F21" i="33" s="1"/>
  <c r="AD16" i="28" l="1"/>
  <c r="AD17" i="28" s="1"/>
  <c r="AD19" i="28"/>
  <c r="AD20" i="28" s="1"/>
  <c r="V16" i="28"/>
  <c r="U17" i="28"/>
  <c r="AD16" i="1"/>
  <c r="AD17" i="1" s="1"/>
  <c r="AD19" i="1"/>
  <c r="AD20" i="1" s="1"/>
  <c r="V17" i="1"/>
  <c r="U18" i="1"/>
  <c r="U18" i="28" l="1"/>
  <c r="V17" i="28"/>
  <c r="V18" i="1"/>
  <c r="U19" i="1"/>
  <c r="U19" i="28" l="1"/>
  <c r="V18" i="28"/>
  <c r="V19" i="1"/>
  <c r="U20" i="1"/>
  <c r="U20" i="28" l="1"/>
  <c r="V19" i="28"/>
  <c r="V20" i="1"/>
  <c r="U21" i="1"/>
  <c r="U21" i="28" l="1"/>
  <c r="V20" i="28"/>
  <c r="U22" i="1"/>
  <c r="V21" i="1"/>
  <c r="U22" i="28" l="1"/>
  <c r="V21" i="28"/>
  <c r="V22" i="1"/>
  <c r="U23" i="1"/>
  <c r="U23" i="28" l="1"/>
  <c r="V22" i="28"/>
  <c r="V23" i="1"/>
  <c r="U24" i="1"/>
  <c r="U24" i="28" l="1"/>
  <c r="V23" i="28"/>
  <c r="V24" i="1"/>
  <c r="U25" i="1"/>
  <c r="U25" i="28" l="1"/>
  <c r="V24" i="28"/>
  <c r="U26" i="1"/>
  <c r="V25" i="1"/>
  <c r="U26" i="28" l="1"/>
  <c r="V25" i="28"/>
  <c r="V26" i="1"/>
  <c r="U27" i="1"/>
  <c r="U27" i="28" l="1"/>
  <c r="V26" i="28"/>
  <c r="V27" i="1"/>
  <c r="U28" i="1"/>
  <c r="V27" i="28" l="1"/>
  <c r="U28" i="28"/>
  <c r="V28" i="1"/>
  <c r="U29" i="1"/>
  <c r="U29" i="28" l="1"/>
  <c r="V28" i="28"/>
  <c r="V29" i="1"/>
  <c r="U30" i="1"/>
  <c r="V29" i="28" l="1"/>
  <c r="U30" i="28"/>
  <c r="V30" i="1"/>
  <c r="U31" i="1"/>
  <c r="U31" i="28" l="1"/>
  <c r="V30" i="28"/>
  <c r="V31" i="1"/>
  <c r="U32" i="1"/>
  <c r="V31" i="28" l="1"/>
  <c r="U32" i="28"/>
  <c r="U33" i="1"/>
  <c r="V32" i="1"/>
  <c r="U33" i="28" l="1"/>
  <c r="V32" i="28"/>
  <c r="V33" i="1"/>
  <c r="U34" i="1"/>
  <c r="U34" i="28" l="1"/>
  <c r="V33" i="28"/>
  <c r="U35" i="1"/>
  <c r="V34" i="1"/>
  <c r="V34" i="28" l="1"/>
  <c r="U35" i="28"/>
  <c r="V35" i="1"/>
  <c r="U36" i="1"/>
  <c r="V35" i="28" l="1"/>
  <c r="U36" i="28"/>
  <c r="U37" i="1"/>
  <c r="V36" i="1"/>
  <c r="U37" i="28" l="1"/>
  <c r="V36" i="28"/>
  <c r="U38" i="1"/>
  <c r="V37" i="1"/>
  <c r="U38" i="28" l="1"/>
  <c r="V37" i="28"/>
  <c r="U39" i="1"/>
  <c r="V38" i="1"/>
  <c r="U39" i="28" l="1"/>
  <c r="V38" i="28"/>
  <c r="V39" i="1"/>
  <c r="U40" i="1"/>
  <c r="V39" i="28" l="1"/>
  <c r="U40" i="28"/>
  <c r="V40" i="1"/>
  <c r="U41" i="1"/>
  <c r="V40" i="28" l="1"/>
  <c r="U41" i="28"/>
  <c r="V41" i="1"/>
  <c r="U42" i="1"/>
  <c r="U42" i="28" l="1"/>
  <c r="V41" i="28"/>
  <c r="V42" i="1"/>
  <c r="U43" i="1"/>
  <c r="V42" i="28" l="1"/>
  <c r="U43" i="28"/>
  <c r="U44" i="1"/>
  <c r="V43" i="1"/>
  <c r="V43" i="28" l="1"/>
  <c r="U44" i="28"/>
  <c r="V44" i="1"/>
  <c r="U45" i="1"/>
  <c r="U45" i="28" l="1"/>
  <c r="V44" i="28"/>
  <c r="U46" i="1"/>
  <c r="V45" i="1"/>
  <c r="U46" i="28" l="1"/>
  <c r="V45" i="28"/>
  <c r="V46" i="1"/>
  <c r="U47" i="1"/>
  <c r="V47" i="1" s="1"/>
  <c r="U47" i="28" l="1"/>
  <c r="V47" i="28" s="1"/>
  <c r="V46" i="28"/>
  <c r="AE17" i="1"/>
  <c r="AE20" i="1" s="1"/>
  <c r="AA33" i="1"/>
  <c r="AA36" i="1" s="1"/>
  <c r="AA33" i="28" l="1"/>
  <c r="AA36" i="28" s="1"/>
  <c r="AE17" i="28"/>
  <c r="AE20"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<sst xmlns="http://schemas.openxmlformats.org/spreadsheetml/2006/main" count="1209" uniqueCount="347">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</sst>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50</xdr:row>
      <xdr:rowOff>66675</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477251" y="3810001"/>
          <a:ext cx="4143374" cy="498157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22</xdr:row>
          <xdr:rowOff>152400</xdr:rowOff>
        </xdr:from>
        <xdr:to>
          <xdr:col>9</xdr:col>
          <xdr:colOff>447675</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470297</xdr:colOff>
      <xdr:row>24</xdr:row>
      <xdr:rowOff>65484</xdr:rowOff>
    </xdr:from>
    <xdr:to>
      <xdr:col>9</xdr:col>
      <xdr:colOff>59531</xdr:colOff>
      <xdr:row>25</xdr:row>
      <xdr:rowOff>29764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887641" y="4423172"/>
          <a:ext cx="196453" cy="12501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12</xdr:col>
      <xdr:colOff>361950</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51047"/>
          <a:ext cx="4191000" cy="112267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58</xdr:row>
      <xdr:rowOff>159288</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228600</xdr:colOff>
      <xdr:row>25</xdr:row>
      <xdr:rowOff>90691</xdr:rowOff>
    </xdr:from>
    <xdr:to>
      <xdr:col>11</xdr:col>
      <xdr:colOff>483878</xdr:colOff>
      <xdr:row>29</xdr:row>
      <xdr:rowOff>102120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012682" y="4457936"/>
          <a:ext cx="4104155" cy="65938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571500</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(2WXO)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36</xdr:row>
      <xdr:rowOff>133350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5067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twoCellAnchor>
    <xdr:from>
      <xdr:col>8</xdr:col>
      <xdr:colOff>155509</xdr:colOff>
      <xdr:row>24</xdr:row>
      <xdr:rowOff>116632</xdr:rowOff>
    </xdr:from>
    <xdr:to>
      <xdr:col>8</xdr:col>
      <xdr:colOff>349897</xdr:colOff>
      <xdr:row>25</xdr:row>
      <xdr:rowOff>97193</xdr:rowOff>
    </xdr:to>
    <xdr:sp macro="" textlink="">
      <xdr:nvSpPr>
        <xdr:cNvPr id="2" name="Line 25">
          <a:extLst>
            <a:ext uri="{FF2B5EF4-FFF2-40B4-BE49-F238E27FC236}">
              <a16:creationId xmlns:a16="http://schemas.microsoft.com/office/drawing/2014/main" id="{64CDF44F-684E-4DC8-B2AA-C3D510A301F6}"/>
            </a:ext>
          </a:extLst>
        </xdr:cNvPr>
        <xdr:cNvSpPr>
          <a:spLocks noChangeShapeType="1"/>
        </xdr:cNvSpPr>
      </xdr:nvSpPr>
      <xdr:spPr bwMode="auto">
        <a:xfrm flipH="1" flipV="1">
          <a:off x="5864029" y="4321887"/>
          <a:ext cx="194388" cy="142551"/>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4</xdr:col>
      <xdr:colOff>428625</xdr:colOff>
      <xdr:row>25</xdr:row>
      <xdr:rowOff>64771</xdr:rowOff>
    </xdr:from>
    <xdr:to>
      <xdr:col>11</xdr:col>
      <xdr:colOff>561975</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3419475" y="4474846"/>
          <a:ext cx="4400550"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10</xdr:col>
          <xdr:colOff>66675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5</xdr:col>
      <xdr:colOff>1806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3175</xdr:rowOff>
    </xdr:from>
    <xdr:to>
      <xdr:col>19</xdr:col>
      <xdr:colOff>601580</xdr:colOff>
      <xdr:row>90</xdr:row>
      <xdr:rowOff>66675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14535" y="1279525"/>
          <a:ext cx="4721895" cy="138842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1" baseline="0">
              <a:solidFill>
                <a:schemeClr val="dk1"/>
              </a:solidFill>
              <a:effectLst/>
              <a:latin typeface="+mn-lt"/>
              <a:ea typeface="+mn-ea"/>
              <a:cs typeface="+mn-cs"/>
            </a:rPr>
            <a:t>Note: For Unscaled Sample Size Estimation</a:t>
          </a:r>
          <a:r>
            <a:rPr lang="en-CA" sz="1000" baseline="0">
              <a:solidFill>
                <a:schemeClr val="dk1"/>
              </a:solidFill>
              <a:effectLst/>
              <a:latin typeface="+mn-lt"/>
              <a:ea typeface="+mn-ea"/>
              <a:cs typeface="+mn-cs"/>
            </a:rPr>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theta0=0.90,  # Replace this desired T/R ratio of PK parameter, if available </a:t>
          </a:r>
        </a:p>
        <a:p>
          <a:r>
            <a:rPr lang="en-CA" sz="1000" baseline="0">
              <a:solidFill>
                <a:srgbClr val="0070C0"/>
              </a:solidFill>
              <a:latin typeface="+mn-lt"/>
              <a:ea typeface="+mn-ea"/>
              <a:cs typeface="+mn-cs"/>
            </a:rPr>
            <a:t>   theta1=0.8,  </a:t>
          </a:r>
        </a:p>
        <a:p>
          <a:r>
            <a:rPr lang="en-CA" sz="1000" baseline="0">
              <a:solidFill>
                <a:srgbClr val="0070C0"/>
              </a:solidFill>
              <a:latin typeface="+mn-lt"/>
              <a:ea typeface="+mn-ea"/>
              <a:cs typeface="+mn-cs"/>
            </a:rPr>
            <a:t>   theta2=1.25, </a:t>
          </a:r>
        </a:p>
        <a:p>
          <a:r>
            <a:rPr lang="en-CA" sz="1000" baseline="0">
              <a:solidFill>
                <a:srgbClr val="0070C0"/>
              </a:solidFill>
              <a:latin typeface="+mn-lt"/>
              <a:ea typeface="+mn-ea"/>
              <a:cs typeface="+mn-cs"/>
            </a:rPr>
            <a:t>   CV=IntraCV,  # Replace IntraCV with the actual number (in decimal, not %)</a:t>
          </a:r>
        </a:p>
        <a:p>
          <a:pPr eaLnBrk="1" fontAlgn="auto" latinLnBrk="0" hangingPunct="1"/>
          <a:r>
            <a:rPr lang="en-CA" sz="1000" baseline="0">
              <a:solidFill>
                <a:srgbClr val="0070C0"/>
              </a:solidFill>
              <a:latin typeface="+mn-lt"/>
              <a:ea typeface="+mn-ea"/>
              <a:cs typeface="+mn-cs"/>
            </a:rPr>
            <a:t>   design = "2x2x4",  # 3PSR: "2x3x3", 4PSR: "2x2x4"</a:t>
          </a:r>
        </a:p>
        <a:p>
          <a:r>
            <a:rPr lang="en-CA" sz="1000" baseline="0">
              <a:solidFill>
                <a:srgbClr val="0070C0"/>
              </a:solidFill>
              <a:latin typeface="+mn-lt"/>
              <a:ea typeface="+mn-ea"/>
              <a:cs typeface="+mn-cs"/>
            </a:rPr>
            <a:t>   method = "exact",  </a:t>
          </a:r>
        </a:p>
        <a:p>
          <a:r>
            <a:rPr lang="en-CA" sz="1000" baseline="0">
              <a:solidFill>
                <a:srgbClr val="0070C0"/>
              </a:solidFill>
              <a:latin typeface="+mn-lt"/>
              <a:ea typeface="+mn-ea"/>
              <a:cs typeface="+mn-cs"/>
            </a:rPr>
            <a:t>   robust = FALSE,  </a:t>
          </a:r>
        </a:p>
        <a:p>
          <a:r>
            <a:rPr lang="en-CA" sz="1000" baseline="0">
              <a:solidFill>
                <a:srgbClr val="0070C0"/>
              </a:solidFill>
              <a:latin typeface="+mn-lt"/>
              <a:ea typeface="+mn-ea"/>
              <a:cs typeface="+mn-cs"/>
            </a:rPr>
            <a:t>   print = FALSE,  </a:t>
          </a:r>
        </a:p>
        <a:p>
          <a:r>
            <a:rPr lang="en-CA" sz="1000" baseline="0">
              <a:solidFill>
                <a:srgbClr val="0070C0"/>
              </a:solidFill>
              <a:latin typeface="+mn-lt"/>
              <a:ea typeface="+mn-ea"/>
              <a:cs typeface="+mn-cs"/>
            </a:rPr>
            <a:t>   details = FALSE, </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a:p>
        <a:p>
          <a:r>
            <a:rPr lang="en-CA" sz="1000" b="1"/>
            <a:t>For</a:t>
          </a:r>
          <a:r>
            <a:rPr lang="en-CA" sz="1000" b="1" baseline="0"/>
            <a:t> HVD Sample Size Estimation (TPD and EMA)</a:t>
          </a:r>
          <a:r>
            <a:rPr lang="en-CA" sz="1000" b="0" baseline="0"/>
            <a:t>:</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000" b="1" i="0">
              <a:solidFill>
                <a:schemeClr val="dk1"/>
              </a:solidFill>
              <a:effectLst/>
              <a:latin typeface="+mn-lt"/>
              <a:ea typeface="+mn-ea"/>
              <a:cs typeface="+mn-cs"/>
            </a:rPr>
            <a:t>RSABE()</a:t>
          </a:r>
          <a:r>
            <a:rPr lang="en-US" sz="10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000" b="1">
              <a:solidFill>
                <a:schemeClr val="dk1"/>
              </a:solidFill>
              <a:effectLst/>
              <a:latin typeface="+mn-lt"/>
              <a:ea typeface="+mn-ea"/>
              <a:cs typeface="+mn-cs"/>
            </a:rPr>
            <a:t>For</a:t>
          </a:r>
          <a:r>
            <a:rPr lang="en-CA" sz="1000" b="1" baseline="0">
              <a:solidFill>
                <a:schemeClr val="dk1"/>
              </a:solidFill>
              <a:effectLst/>
              <a:latin typeface="+mn-lt"/>
              <a:ea typeface="+mn-ea"/>
              <a:cs typeface="+mn-cs"/>
            </a:rPr>
            <a:t> NTID Reference-Scaled Sample Size Estimation (FDA)</a:t>
          </a:r>
          <a:r>
            <a:rPr lang="en-CA" sz="10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ISV from Published Point Estimate and CI</a:t>
          </a:r>
          <a:endParaRPr lang="en-CA"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library(PowerTOST)</a:t>
          </a:r>
        </a:p>
        <a:p>
          <a:r>
            <a:rPr lang="en-CA" sz="1000" baseline="0">
              <a:solidFill>
                <a:srgbClr val="0070C0"/>
              </a:solidFill>
              <a:effectLst/>
              <a:latin typeface="+mn-lt"/>
              <a:ea typeface="+mn-ea"/>
              <a:cs typeface="+mn-cs"/>
            </a:rPr>
            <a:t>CVfromCI(</a:t>
          </a:r>
        </a:p>
        <a:p>
          <a:r>
            <a:rPr lang="en-CA" sz="1000" baseline="0">
              <a:solidFill>
                <a:srgbClr val="0070C0"/>
              </a:solidFill>
              <a:effectLst/>
              <a:latin typeface="+mn-lt"/>
              <a:ea typeface="+mn-ea"/>
              <a:cs typeface="+mn-cs"/>
            </a:rPr>
            <a:t>  pe=1.023,            # Point Estimate (T/R Ratio)</a:t>
          </a:r>
        </a:p>
        <a:p>
          <a:r>
            <a:rPr lang="en-CA" sz="1000" baseline="0">
              <a:solidFill>
                <a:srgbClr val="0070C0"/>
              </a:solidFill>
              <a:effectLst/>
              <a:latin typeface="+mn-lt"/>
              <a:ea typeface="+mn-ea"/>
              <a:cs typeface="+mn-cs"/>
            </a:rPr>
            <a:t>  lower=0.91,         # Lower CI</a:t>
          </a:r>
        </a:p>
        <a:p>
          <a:r>
            <a:rPr lang="en-CA" sz="1000" baseline="0">
              <a:solidFill>
                <a:srgbClr val="0070C0"/>
              </a:solidFill>
              <a:effectLst/>
              <a:latin typeface="+mn-lt"/>
              <a:ea typeface="+mn-ea"/>
              <a:cs typeface="+mn-cs"/>
            </a:rPr>
            <a:t>  upper=1.15,         # Upper CI</a:t>
          </a:r>
        </a:p>
        <a:p>
          <a:r>
            <a:rPr lang="en-CA" sz="1000" baseline="0">
              <a:solidFill>
                <a:srgbClr val="0070C0"/>
              </a:solidFill>
              <a:effectLst/>
              <a:latin typeface="+mn-lt"/>
              <a:ea typeface="+mn-ea"/>
              <a:cs typeface="+mn-cs"/>
            </a:rPr>
            <a:t>  n=22,                     # Total number of subjects per period</a:t>
          </a:r>
        </a:p>
        <a:p>
          <a:r>
            <a:rPr lang="en-CA" sz="1000" baseline="0">
              <a:solidFill>
                <a:srgbClr val="0070C0"/>
              </a:solidFill>
              <a:effectLst/>
              <a:latin typeface="+mn-lt"/>
              <a:ea typeface="+mn-ea"/>
              <a:cs typeface="+mn-cs"/>
            </a:rPr>
            <a:t>  design="2x2x4"   # 4PSR: "2x2x4", 3PSR: "2x3x3"</a:t>
          </a:r>
        </a:p>
        <a:p>
          <a:r>
            <a:rPr lang="en-CA" sz="1000" baseline="0">
              <a:solidFill>
                <a:srgbClr val="0070C0"/>
              </a:solidFill>
              <a:effectLst/>
              <a:latin typeface="+mn-lt"/>
              <a:ea typeface="+mn-ea"/>
              <a:cs typeface="+mn-cs"/>
            </a:rPr>
            <a:t>)</a:t>
          </a:r>
          <a:endParaRPr lang="en-CA" sz="1000">
            <a:solidFill>
              <a:srgbClr val="0070C0"/>
            </a:solidFill>
            <a:effectLst/>
          </a:endParaRPr>
        </a:p>
        <a:p>
          <a:pPr eaLnBrk="1" fontAlgn="auto" latinLnBrk="0" hangingPunct="1"/>
          <a:r>
            <a:rPr lang="en-CA" sz="1000" baseline="0">
              <a:solidFill>
                <a:srgbClr val="0070C0"/>
              </a:solidFill>
              <a:effectLst/>
              <a:latin typeface="+mn-lt"/>
              <a:ea typeface="+mn-ea"/>
              <a:cs typeface="+mn-cs"/>
            </a:rPr>
            <a:t># replace pe (point estimate), lower, upper, and n with published data.</a:t>
          </a:r>
          <a:endParaRPr lang="en-CA" sz="1000">
            <a:solidFill>
              <a:srgbClr val="0070C0"/>
            </a:solidFill>
            <a:effectLst/>
          </a:endParaRP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40625" defaultRowHeight="12.75"/>
  <cols>
    <col min="1" max="1" width="5.140625" style="64" customWidth="1"/>
    <col min="2" max="2" width="10.42578125" style="64" customWidth="1"/>
    <col min="3" max="16384" width="9.140625" style="64"/>
  </cols>
  <sheetData>
    <row r="2" spans="2:9" ht="20.25">
      <c r="C2" s="65" t="s">
        <v>238</v>
      </c>
      <c r="I2" s="66" t="s">
        <v>328</v>
      </c>
    </row>
    <row r="3" spans="2:9" ht="20.25">
      <c r="C3" s="65" t="s">
        <v>239</v>
      </c>
    </row>
    <row r="4" spans="2:9">
      <c r="B4" s="67" t="s">
        <v>79</v>
      </c>
    </row>
    <row r="6" spans="2:9">
      <c r="B6" s="68" t="s">
        <v>329</v>
      </c>
    </row>
    <row r="8" spans="2:9">
      <c r="B8" s="69"/>
    </row>
    <row r="9" spans="2:9">
      <c r="B9" s="70"/>
    </row>
    <row r="10" spans="2:9">
      <c r="B10" s="71"/>
    </row>
    <row r="11" spans="2:9">
      <c r="B11" s="71"/>
    </row>
    <row r="12" spans="2:9">
      <c r="B12" s="71"/>
    </row>
    <row r="28" spans="2:9">
      <c r="B28" s="72" t="s">
        <v>88</v>
      </c>
    </row>
    <row r="29" spans="2:9">
      <c r="B29" s="73" t="s">
        <v>194</v>
      </c>
    </row>
    <row r="30" spans="2:9" ht="22.5" customHeight="1">
      <c r="B30" s="143" t="s">
        <v>128</v>
      </c>
      <c r="C30" s="143"/>
      <c r="D30" s="143"/>
      <c r="E30" s="143"/>
      <c r="F30" s="143"/>
      <c r="G30" s="143"/>
      <c r="H30" s="143"/>
      <c r="I30" s="143"/>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0"/>
    <col min="22" max="23" width="12.28515625" style="50" bestFit="1" customWidth="1"/>
    <col min="24" max="32" width="9.140625" style="50"/>
    <col min="33" max="16384" width="9.140625" style="1"/>
  </cols>
  <sheetData>
    <row r="1" spans="2:31" ht="27" thickBot="1">
      <c r="B1" s="17" t="s">
        <v>67</v>
      </c>
      <c r="E1" s="9" t="s">
        <v>120</v>
      </c>
    </row>
    <row r="2" spans="2:31" ht="13.5" thickBot="1">
      <c r="B2" s="1" t="s">
        <v>1</v>
      </c>
      <c r="C2" s="2">
        <v>0.9</v>
      </c>
      <c r="D2" s="1" t="s">
        <v>21</v>
      </c>
    </row>
    <row r="3" spans="2:31" ht="16.5"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5" thickBot="1">
      <c r="B6" s="1" t="s">
        <v>17</v>
      </c>
      <c r="C6" s="3">
        <v>8</v>
      </c>
      <c r="D6" s="1" t="s">
        <v>24</v>
      </c>
      <c r="U6" s="50">
        <v>2</v>
      </c>
    </row>
    <row r="7" spans="2:31" ht="13.5" thickBot="1">
      <c r="C7" s="4"/>
    </row>
    <row r="8" spans="2:31" ht="13.5" thickBot="1">
      <c r="B8" s="12" t="s">
        <v>116</v>
      </c>
      <c r="C8" s="11">
        <f>C6/C5</f>
        <v>0.2</v>
      </c>
    </row>
    <row r="10" spans="2:31">
      <c r="B10" s="8" t="s">
        <v>18</v>
      </c>
      <c r="C10" s="1">
        <f>C5</f>
        <v>40</v>
      </c>
      <c r="V10" s="50" t="s">
        <v>210</v>
      </c>
      <c r="W10" s="50" t="s">
        <v>208</v>
      </c>
      <c r="X10" s="50" t="s">
        <v>211</v>
      </c>
      <c r="Y10" s="50" t="s">
        <v>209</v>
      </c>
      <c r="AA10" s="50" t="s">
        <v>222</v>
      </c>
      <c r="AB10" s="50" t="s">
        <v>223</v>
      </c>
    </row>
    <row r="11" spans="2:31" ht="15.7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75">
      <c r="B12" s="1" t="s">
        <v>60</v>
      </c>
      <c r="C12" s="1">
        <f>C11*(C3+1)-2</f>
        <v>4</v>
      </c>
      <c r="U12" s="50" t="s">
        <v>205</v>
      </c>
      <c r="V12" s="53">
        <f>V11+C6</f>
        <v>168</v>
      </c>
      <c r="W12" s="50">
        <f>$C$5</f>
        <v>40</v>
      </c>
      <c r="X12" s="50">
        <f>W12/SQRT(D20)</f>
        <v>23.094010767585033</v>
      </c>
      <c r="Y12" s="50">
        <f>TINV($C$4*2,$D$20-1)*X12</f>
        <v>67.434178433881996</v>
      </c>
    </row>
    <row r="13" spans="2:31" ht="15.75">
      <c r="B13" s="1" t="s">
        <v>61</v>
      </c>
      <c r="C13" s="1">
        <f>TINV(C4,C12)</f>
        <v>2.7764451051977934</v>
      </c>
      <c r="Y13" s="50" t="b">
        <v>1</v>
      </c>
      <c r="AC13" s="50" t="b">
        <v>0</v>
      </c>
    </row>
    <row r="14" spans="2:31">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4.2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5" thickBot="1">
      <c r="B5" s="8" t="s">
        <v>26</v>
      </c>
      <c r="C5" s="3">
        <v>20</v>
      </c>
      <c r="D5" s="1" t="s">
        <v>115</v>
      </c>
      <c r="U5" s="1" t="s">
        <v>55</v>
      </c>
    </row>
    <row r="6" spans="2:31" ht="16.5" thickBot="1">
      <c r="B6" s="1" t="s">
        <v>17</v>
      </c>
      <c r="C6" s="3">
        <v>10</v>
      </c>
      <c r="D6" s="1" t="s">
        <v>24</v>
      </c>
      <c r="U6" s="1">
        <v>1</v>
      </c>
    </row>
    <row r="7" spans="2:31" ht="13.5" thickBot="1">
      <c r="C7" s="4"/>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123</v>
      </c>
      <c r="U45" s="1">
        <f t="shared" si="2"/>
        <v>154.54545454545459</v>
      </c>
      <c r="V45" s="1">
        <f t="shared" si="0"/>
        <v>1.919325201047218E-5</v>
      </c>
      <c r="W45" s="1">
        <f t="shared" si="1"/>
        <v>1.092015353404756E-4</v>
      </c>
    </row>
    <row r="46" spans="2:27">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69</v>
      </c>
      <c r="E1" s="9" t="s">
        <v>120</v>
      </c>
    </row>
    <row r="2" spans="2:31" ht="13.5" thickBot="1">
      <c r="B2" s="1" t="s">
        <v>1</v>
      </c>
      <c r="C2" s="2">
        <v>0.9</v>
      </c>
      <c r="D2" s="1" t="s">
        <v>21</v>
      </c>
    </row>
    <row r="3" spans="2:31" ht="16.5"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5" thickBot="1">
      <c r="B6" s="1" t="s">
        <v>17</v>
      </c>
      <c r="C6" s="3">
        <v>10</v>
      </c>
      <c r="D6" s="1" t="s">
        <v>28</v>
      </c>
      <c r="U6" s="1">
        <v>2</v>
      </c>
    </row>
    <row r="7" spans="2:31" ht="16.5" thickBot="1">
      <c r="B7" s="12" t="s">
        <v>5</v>
      </c>
      <c r="C7" s="3">
        <v>0</v>
      </c>
      <c r="D7" s="1" t="s">
        <v>56</v>
      </c>
      <c r="AC7" s="47" t="s">
        <v>229</v>
      </c>
    </row>
    <row r="8" spans="2:31" ht="13.5" thickBot="1">
      <c r="B8" s="12" t="s">
        <v>116</v>
      </c>
      <c r="C8" s="11">
        <f>C6/C5</f>
        <v>0.2</v>
      </c>
    </row>
    <row r="10" spans="2:31" ht="13.5"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4.2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5" thickBot="1">
      <c r="B5" s="8" t="s">
        <v>26</v>
      </c>
      <c r="C5" s="3">
        <v>20</v>
      </c>
      <c r="D5" s="1" t="s">
        <v>30</v>
      </c>
      <c r="U5" s="1" t="s">
        <v>55</v>
      </c>
    </row>
    <row r="6" spans="2:31" ht="16.5" thickBot="1">
      <c r="B6" s="1" t="s">
        <v>17</v>
      </c>
      <c r="C6" s="3">
        <v>10</v>
      </c>
      <c r="D6" s="1" t="s">
        <v>28</v>
      </c>
      <c r="U6" s="1">
        <v>1</v>
      </c>
    </row>
    <row r="7" spans="2:31" ht="16.5" thickBot="1">
      <c r="B7" s="12" t="s">
        <v>5</v>
      </c>
      <c r="C7" s="3">
        <v>2</v>
      </c>
      <c r="D7" s="1" t="s">
        <v>56</v>
      </c>
      <c r="I7" s="9" t="str">
        <f>IF(C7&gt;=C6,"WARNING: Expected mean difference higher than maximum allowable difference.","")</f>
        <v/>
      </c>
    </row>
    <row r="8" spans="2:31" ht="16.5" thickBot="1">
      <c r="B8" s="12" t="s">
        <v>117</v>
      </c>
      <c r="C8" s="11">
        <f>C6/C10</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71</v>
      </c>
      <c r="F1" s="9" t="s">
        <v>120</v>
      </c>
    </row>
    <row r="2" spans="2:31" ht="13.5" thickBot="1">
      <c r="B2" s="1" t="s">
        <v>1</v>
      </c>
      <c r="C2" s="2">
        <v>0.9</v>
      </c>
      <c r="D2" s="1" t="s">
        <v>21</v>
      </c>
      <c r="N2" s="43"/>
    </row>
    <row r="3" spans="2:31" ht="16.5"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3.5" thickBot="1">
      <c r="B8" s="12" t="s">
        <v>116</v>
      </c>
      <c r="C8" s="11">
        <f>C6/C5</f>
        <v>0.25</v>
      </c>
    </row>
    <row r="10" spans="2:31" ht="13.5"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4.2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5" thickBot="1">
      <c r="B5" s="8" t="s">
        <v>26</v>
      </c>
      <c r="C5" s="3">
        <v>20</v>
      </c>
      <c r="D5" s="1" t="s">
        <v>30</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3" t="s">
        <v>210</v>
      </c>
      <c r="W10" s="43" t="s">
        <v>208</v>
      </c>
      <c r="X10" s="43" t="s">
        <v>211</v>
      </c>
      <c r="Y10" s="43" t="s">
        <v>209</v>
      </c>
      <c r="AA10" s="43" t="s">
        <v>222</v>
      </c>
      <c r="AB10" s="43" t="s">
        <v>223</v>
      </c>
    </row>
    <row r="11" spans="2:31" ht="16.5"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75">
      <c r="B12" s="1" t="s">
        <v>35</v>
      </c>
      <c r="C12" s="1">
        <f>C11*(C3+1)-2</f>
        <v>4</v>
      </c>
      <c r="U12" s="43"/>
    </row>
    <row r="13" spans="2:31" ht="15.75">
      <c r="B13" s="1" t="s">
        <v>36</v>
      </c>
      <c r="C13" s="1">
        <f>TINV(C4*2,C12)</f>
        <v>2.1318467863266499</v>
      </c>
      <c r="Y13" s="1" t="b">
        <v>0</v>
      </c>
      <c r="AC13" s="1" t="b">
        <v>1</v>
      </c>
    </row>
    <row r="14" spans="2:31">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123</v>
      </c>
    </row>
    <row r="61" spans="2:2">
      <c r="B61" s="9" t="s">
        <v>233</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180975</xdr:colOff>
                    <xdr:row>22</xdr:row>
                    <xdr:rowOff>152400</xdr:rowOff>
                  </from>
                  <to>
                    <xdr:col>9</xdr:col>
                    <xdr:colOff>447675</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5" thickBot="1">
      <c r="B5" s="1" t="s">
        <v>118</v>
      </c>
      <c r="C5" s="42">
        <v>0.25</v>
      </c>
      <c r="D5" s="1" t="s">
        <v>125</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c r="B67" s="9" t="s">
        <v>123</v>
      </c>
      <c r="G67" s="6"/>
    </row>
    <row r="68" spans="2:7">
      <c r="G68" s="6"/>
    </row>
    <row r="69" spans="2:7">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571500</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Normal="100"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0"/>
    <col min="27" max="27" width="20.42578125" style="50" bestFit="1" customWidth="1"/>
    <col min="28" max="34" width="9.140625" style="50"/>
    <col min="35" max="16384" width="9.140625" style="1"/>
  </cols>
  <sheetData>
    <row r="1" spans="2:31" ht="27"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5" thickBot="1">
      <c r="B5" s="1" t="s">
        <v>118</v>
      </c>
      <c r="C5" s="42">
        <v>0.65</v>
      </c>
      <c r="D5" s="1" t="s">
        <v>125</v>
      </c>
      <c r="U5" s="50" t="s">
        <v>55</v>
      </c>
      <c r="Y5" s="50">
        <v>3</v>
      </c>
    </row>
    <row r="6" spans="2:31" ht="16.5" thickBot="1">
      <c r="B6" s="1" t="s">
        <v>33</v>
      </c>
      <c r="C6" s="42">
        <v>0.9</v>
      </c>
      <c r="D6" s="1" t="str">
        <f>IF(C6=1,"","(to "&amp;ROUND(100/C6,1)&amp;"%)")&amp;IF(OR($C$6&lt;$C$7,$C$6&gt;$C$8)," WARNING: Ratio outside BE limits.","")</f>
        <v>(to 111.1%)</v>
      </c>
      <c r="U6" s="50">
        <v>1</v>
      </c>
      <c r="Y6" s="50">
        <f>INDEX(Z2:Z4,Y5,1)</f>
        <v>0.5</v>
      </c>
    </row>
    <row r="7" spans="2:31" ht="13.5" thickBot="1">
      <c r="B7" s="1" t="s">
        <v>9</v>
      </c>
      <c r="C7" s="13">
        <v>0.8</v>
      </c>
    </row>
    <row r="8" spans="2:31" ht="13.5" thickBot="1">
      <c r="B8" s="1" t="s">
        <v>10</v>
      </c>
      <c r="C8" s="13">
        <f>1/C7</f>
        <v>1.25</v>
      </c>
    </row>
    <row r="10" spans="2:31" ht="15.75">
      <c r="B10" s="8" t="s">
        <v>26</v>
      </c>
      <c r="C10" s="1">
        <f>SQRT(LN((C5)^2+1))</f>
        <v>0.59364626421662003</v>
      </c>
      <c r="V10" s="50" t="s">
        <v>210</v>
      </c>
      <c r="W10" s="50" t="s">
        <v>208</v>
      </c>
      <c r="X10" s="50" t="s">
        <v>211</v>
      </c>
      <c r="Y10" s="50" t="s">
        <v>209</v>
      </c>
      <c r="AA10" s="50" t="s">
        <v>222</v>
      </c>
      <c r="AB10" s="50" t="s">
        <v>223</v>
      </c>
    </row>
    <row r="11" spans="2:31">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2</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c r="B63" s="9" t="s">
        <v>123</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180975</xdr:colOff>
                    <xdr:row>23</xdr:row>
                    <xdr:rowOff>0</xdr:rowOff>
                  </from>
                  <to>
                    <xdr:col>10</xdr:col>
                    <xdr:colOff>66675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40625" defaultRowHeight="12.75"/>
  <cols>
    <col min="1" max="1" width="4.5703125" style="90" customWidth="1"/>
    <col min="2" max="3" width="12" style="90" customWidth="1"/>
    <col min="4" max="13" width="11.5703125" style="90" customWidth="1"/>
    <col min="14" max="16" width="14.28515625" style="90" customWidth="1"/>
    <col min="17" max="16384" width="9.140625" style="90"/>
  </cols>
  <sheetData>
    <row r="2" spans="2:16" ht="25.5">
      <c r="B2" s="96" t="s">
        <v>304</v>
      </c>
      <c r="C2" s="91"/>
    </row>
    <row r="9" spans="2:16">
      <c r="C9" s="129" t="s">
        <v>305</v>
      </c>
      <c r="D9" s="130"/>
      <c r="E9" s="130"/>
      <c r="F9" s="131"/>
      <c r="G9" s="132" t="s">
        <v>306</v>
      </c>
      <c r="H9" s="139"/>
      <c r="I9" s="133"/>
      <c r="J9" s="133"/>
      <c r="K9" s="133"/>
      <c r="L9" s="133"/>
      <c r="M9" s="134"/>
      <c r="N9" s="135" t="s">
        <v>307</v>
      </c>
      <c r="O9" s="136"/>
      <c r="P9" s="137"/>
    </row>
    <row r="10" spans="2:16">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c r="B16" s="95" t="s">
        <v>284</v>
      </c>
      <c r="C16" s="101"/>
      <c r="D16" s="101"/>
      <c r="E16" s="101"/>
      <c r="F16" s="101"/>
      <c r="G16" s="118"/>
      <c r="H16" s="118"/>
      <c r="I16" s="118"/>
      <c r="J16" s="118"/>
      <c r="K16" s="118"/>
      <c r="L16" s="119"/>
      <c r="M16" s="120"/>
      <c r="N16" s="127"/>
      <c r="O16" s="127" t="s">
        <v>308</v>
      </c>
      <c r="P16" s="127" t="s">
        <v>308</v>
      </c>
    </row>
    <row r="17" spans="2:16">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7" customWidth="1"/>
    <col min="2" max="2" width="9.140625" style="77" customWidth="1"/>
    <col min="3" max="16384" width="9.140625" style="77"/>
  </cols>
  <sheetData>
    <row r="2" spans="2:2" ht="23.25">
      <c r="B2" s="76" t="s">
        <v>245</v>
      </c>
    </row>
    <row r="19" spans="2:4" ht="15.75" thickBot="1"/>
    <row r="20" spans="2:4" ht="18.75" thickBot="1">
      <c r="B20" s="77" t="s">
        <v>246</v>
      </c>
      <c r="C20" s="78">
        <v>0.1</v>
      </c>
      <c r="D20" s="89" t="s">
        <v>278</v>
      </c>
    </row>
    <row r="21" spans="2:4" ht="18.75" thickBot="1">
      <c r="B21" s="77" t="s">
        <v>247</v>
      </c>
      <c r="C21" s="79">
        <v>0.2</v>
      </c>
    </row>
    <row r="22" spans="2:4" ht="18">
      <c r="B22" s="77" t="s">
        <v>248</v>
      </c>
      <c r="C22" s="80">
        <f>C20*C21</f>
        <v>2.0000000000000004E-2</v>
      </c>
    </row>
    <row r="23" spans="2:4">
      <c r="C23" s="80"/>
    </row>
    <row r="24" spans="2:4" ht="18">
      <c r="B24" s="77" t="s">
        <v>249</v>
      </c>
      <c r="C24" s="80">
        <f>1-C25</f>
        <v>0.28000000000000003</v>
      </c>
      <c r="D24" s="77" t="s">
        <v>250</v>
      </c>
    </row>
    <row r="25" spans="2:4" ht="18">
      <c r="B25" s="77" t="s">
        <v>251</v>
      </c>
      <c r="C25" s="80">
        <f>1-C20-C21+C22</f>
        <v>0.72</v>
      </c>
      <c r="D25" s="77" t="s">
        <v>252</v>
      </c>
    </row>
    <row r="26" spans="2:4" ht="15.75" thickBot="1"/>
    <row r="27" spans="2:4" ht="15.75" thickBot="1">
      <c r="C27" s="81" t="s">
        <v>277</v>
      </c>
      <c r="D27" s="78">
        <v>50</v>
      </c>
    </row>
    <row r="28" spans="2:4">
      <c r="C28" s="81" t="s">
        <v>253</v>
      </c>
      <c r="D28" s="80">
        <f>D27*C24</f>
        <v>14.000000000000002</v>
      </c>
    </row>
    <row r="29" spans="2:4">
      <c r="C29" s="81" t="s">
        <v>254</v>
      </c>
      <c r="D29" s="80">
        <f>D27/C25</f>
        <v>69.444444444444443</v>
      </c>
    </row>
    <row r="30" spans="2:4" ht="15.75" thickBot="1"/>
    <row r="31" spans="2:4" ht="15.7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7" customWidth="1"/>
    <col min="2" max="16384" width="9.140625" style="77"/>
  </cols>
  <sheetData>
    <row r="2" spans="2:2" ht="23.25">
      <c r="B2" s="76" t="s">
        <v>260</v>
      </c>
    </row>
    <row r="3" spans="2:2" ht="23.25">
      <c r="B3" s="83"/>
    </row>
    <row r="28" spans="3:9" ht="15.75" thickBot="1"/>
    <row r="29" spans="3:9" ht="18.75" thickBot="1">
      <c r="C29" s="77" t="s">
        <v>246</v>
      </c>
      <c r="D29" s="78">
        <v>0.1</v>
      </c>
      <c r="E29" s="89" t="s">
        <v>278</v>
      </c>
    </row>
    <row r="30" spans="3:9" ht="18.75" thickBot="1">
      <c r="C30" s="77" t="s">
        <v>247</v>
      </c>
      <c r="D30" s="78">
        <v>0.01</v>
      </c>
      <c r="E30" s="77" t="s">
        <v>261</v>
      </c>
    </row>
    <row r="31" spans="3:9" ht="18.75"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8">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8">
      <c r="C35" s="77" t="s">
        <v>269</v>
      </c>
      <c r="D35" s="86">
        <f>D29*D31</f>
        <v>3.0000000000000001E-3</v>
      </c>
      <c r="E35" s="87" t="s">
        <v>270</v>
      </c>
      <c r="F35" s="86">
        <f>D36-D37</f>
        <v>2.6999999999999995E-4</v>
      </c>
      <c r="G35" s="86">
        <f>D30-F34-F35-D37</f>
        <v>8.7299999999999999E-3</v>
      </c>
      <c r="H35" s="86"/>
      <c r="I35" s="86"/>
    </row>
    <row r="36" spans="3:9" ht="18">
      <c r="C36" s="77" t="s">
        <v>271</v>
      </c>
      <c r="D36" s="86">
        <f>D30*D31</f>
        <v>2.9999999999999997E-4</v>
      </c>
      <c r="E36" s="87" t="s">
        <v>272</v>
      </c>
      <c r="F36" s="86">
        <f>D35-D37</f>
        <v>2.97E-3</v>
      </c>
      <c r="G36" s="86">
        <f>D31-F36-F35-D37</f>
        <v>2.673E-2</v>
      </c>
      <c r="H36" s="86"/>
      <c r="I36" s="86"/>
    </row>
    <row r="37" spans="3:9" ht="18">
      <c r="C37" s="77" t="s">
        <v>273</v>
      </c>
      <c r="D37" s="86">
        <f>D29*D30*D31</f>
        <v>3.0000000000000001E-5</v>
      </c>
      <c r="E37" s="87" t="s">
        <v>274</v>
      </c>
      <c r="F37" s="88">
        <f>SUM(F34:F36)</f>
        <v>4.2100000000000002E-3</v>
      </c>
      <c r="G37" s="88">
        <f>SUM(G34:G36)</f>
        <v>0.13149</v>
      </c>
      <c r="H37" s="86"/>
      <c r="I37" s="86"/>
    </row>
    <row r="39" spans="3:9" ht="18">
      <c r="C39" s="77" t="s">
        <v>275</v>
      </c>
      <c r="D39" s="86">
        <f>D29+D30+D31-D34-D35-D36+D37</f>
        <v>0.13573000000000002</v>
      </c>
      <c r="E39" s="77" t="s">
        <v>250</v>
      </c>
    </row>
    <row r="40" spans="3:9" ht="18">
      <c r="C40" s="77" t="s">
        <v>276</v>
      </c>
      <c r="D40" s="86">
        <f>1-D39</f>
        <v>0.86426999999999998</v>
      </c>
      <c r="E40" s="77" t="s">
        <v>252</v>
      </c>
    </row>
    <row r="41" spans="3:9" ht="15.75" thickBot="1"/>
    <row r="42" spans="3:9" ht="15.75" thickBot="1">
      <c r="D42" s="81" t="s">
        <v>277</v>
      </c>
      <c r="E42" s="78">
        <v>67</v>
      </c>
    </row>
    <row r="43" spans="3:9">
      <c r="D43" s="81" t="s">
        <v>253</v>
      </c>
      <c r="E43" s="80">
        <f>E42*D39</f>
        <v>9.093910000000001</v>
      </c>
    </row>
    <row r="44" spans="3:9">
      <c r="D44" s="81" t="s">
        <v>254</v>
      </c>
      <c r="E44" s="80">
        <f>E42/D40</f>
        <v>77.522070649218421</v>
      </c>
    </row>
    <row r="45" spans="3:9" ht="15.75" thickBot="1">
      <c r="C45" s="85"/>
    </row>
    <row r="46" spans="3:9" ht="15.7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192</v>
      </c>
    </row>
    <row r="2" spans="2:15" ht="13.5"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39" t="s">
        <v>166</v>
      </c>
    </row>
    <row r="7" spans="2:15" ht="15.75">
      <c r="B7" s="39" t="s">
        <v>167</v>
      </c>
    </row>
    <row r="8" spans="2:15" ht="15.7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8">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136</v>
      </c>
      <c r="C21" s="9"/>
      <c r="D21" s="15"/>
      <c r="E21" s="15"/>
      <c r="F21" s="15"/>
      <c r="G21" s="15"/>
      <c r="H21" s="15"/>
      <c r="I21" s="15"/>
      <c r="J21" s="15"/>
      <c r="K21" s="15"/>
      <c r="L21" s="15"/>
      <c r="M21" s="15"/>
      <c r="N21" s="15"/>
      <c r="O21" s="15"/>
    </row>
    <row r="22" spans="2:16">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8">
      <c r="B40" s="35" t="s">
        <v>130</v>
      </c>
      <c r="C40" s="35" t="str">
        <f>FIXED(100*EXP(-C38),2)&amp;" - "&amp;FIXED(100*EXP(C38),2)&amp;"%"</f>
        <v>76.95 - 129.96%</v>
      </c>
      <c r="D40" s="30"/>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136</v>
      </c>
      <c r="C42" s="9"/>
      <c r="D42" s="15"/>
      <c r="E42" s="15"/>
      <c r="F42" s="15"/>
      <c r="G42" s="15"/>
      <c r="H42" s="15"/>
      <c r="I42" s="15"/>
      <c r="J42" s="15"/>
      <c r="K42" s="15"/>
      <c r="L42" s="15"/>
      <c r="M42" s="15"/>
      <c r="N42" s="15"/>
      <c r="O42" s="15"/>
    </row>
    <row r="43" spans="2:21">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c r="B54" s="15" t="s">
        <v>160</v>
      </c>
      <c r="C54" s="1">
        <f>SQRT((2*C53)/C52)</f>
        <v>8.474358197972498E-2</v>
      </c>
      <c r="I54" s="9"/>
      <c r="K54" s="15"/>
      <c r="L54" s="15"/>
      <c r="M54" s="15"/>
      <c r="N54" s="15"/>
      <c r="O54" s="15"/>
      <c r="P54" s="15"/>
      <c r="Q54" s="15"/>
      <c r="R54" s="15"/>
      <c r="S54" s="15"/>
      <c r="T54" s="15"/>
      <c r="U54" s="15"/>
    </row>
    <row r="55" spans="2:21">
      <c r="B55" s="15" t="s">
        <v>156</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5"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8">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76</v>
      </c>
      <c r="F1" s="9" t="s">
        <v>120</v>
      </c>
    </row>
    <row r="2" spans="2:6" ht="13.5" thickBot="1">
      <c r="C2" s="14"/>
    </row>
    <row r="3" spans="2:6" ht="16.5"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4.2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77</v>
      </c>
      <c r="G1" s="9" t="s">
        <v>120</v>
      </c>
    </row>
    <row r="2" spans="2:7">
      <c r="C2" s="14"/>
    </row>
    <row r="3" spans="2:7" ht="13.5" thickBot="1">
      <c r="C3" s="10"/>
    </row>
    <row r="4" spans="2:7" ht="13.5" thickBot="1">
      <c r="B4" s="8" t="s">
        <v>58</v>
      </c>
      <c r="C4" s="2">
        <v>0.05</v>
      </c>
      <c r="D4" s="1" t="s">
        <v>20</v>
      </c>
    </row>
    <row r="5" spans="2:7" ht="16.5" thickBot="1">
      <c r="B5" s="8" t="s">
        <v>26</v>
      </c>
      <c r="C5" s="3">
        <v>10</v>
      </c>
      <c r="D5" s="1" t="s">
        <v>19</v>
      </c>
    </row>
    <row r="6" spans="2:7" ht="13.5" thickBot="1">
      <c r="B6" s="1" t="s">
        <v>37</v>
      </c>
      <c r="C6" s="3">
        <v>5</v>
      </c>
      <c r="D6" s="1" t="s">
        <v>38</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c r="C19" s="9"/>
      <c r="D19" s="9"/>
    </row>
    <row r="20" spans="2:5">
      <c r="B20" s="1" t="s">
        <v>11</v>
      </c>
      <c r="C20" s="1">
        <f>CEILING(C11,1)</f>
        <v>3</v>
      </c>
    </row>
    <row r="26" spans="2:5" ht="18">
      <c r="B26" s="27" t="s">
        <v>121</v>
      </c>
    </row>
    <row r="27" spans="2:5" ht="20.25" customHeight="1"/>
    <row r="35" spans="2:2">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114</v>
      </c>
    </row>
    <row r="2" spans="2:5" ht="13.5" thickBot="1">
      <c r="C2" s="14"/>
      <c r="E2" s="9" t="s">
        <v>120</v>
      </c>
    </row>
    <row r="3" spans="2:5" ht="13.5" thickBot="1">
      <c r="B3" s="1" t="s">
        <v>1</v>
      </c>
      <c r="C3" s="2">
        <v>0.8</v>
      </c>
    </row>
    <row r="4" spans="2:5" ht="13.5" thickBot="1">
      <c r="B4" s="8" t="s">
        <v>58</v>
      </c>
      <c r="C4" s="2">
        <v>0.05</v>
      </c>
      <c r="D4" s="1" t="s">
        <v>20</v>
      </c>
    </row>
    <row r="5" spans="2:5" ht="16.5" thickBot="1">
      <c r="B5" s="1" t="s">
        <v>81</v>
      </c>
      <c r="C5" s="18">
        <v>0.1</v>
      </c>
      <c r="D5" s="1" t="s">
        <v>82</v>
      </c>
    </row>
    <row r="6" spans="2:5" ht="16.5" thickBot="1">
      <c r="B6" s="1" t="s">
        <v>84</v>
      </c>
      <c r="C6" s="18">
        <v>0.3</v>
      </c>
      <c r="D6" s="1" t="s">
        <v>86</v>
      </c>
    </row>
    <row r="7" spans="2:5" ht="13.5" thickBot="1">
      <c r="C7" s="4"/>
    </row>
    <row r="8" spans="2:5" ht="13.5" thickBot="1">
      <c r="B8" s="12" t="s">
        <v>17</v>
      </c>
      <c r="C8" s="19">
        <f>C6-C5</f>
        <v>0.19999999999999998</v>
      </c>
      <c r="D8" s="1" t="s">
        <v>83</v>
      </c>
    </row>
    <row r="10" spans="2:5" ht="15.75">
      <c r="B10" s="1" t="s">
        <v>109</v>
      </c>
      <c r="C10" s="1">
        <v>5</v>
      </c>
      <c r="D10" s="1" t="s">
        <v>85</v>
      </c>
    </row>
    <row r="11" spans="2:5">
      <c r="B11" s="1" t="s">
        <v>0</v>
      </c>
      <c r="C11" s="7">
        <v>3</v>
      </c>
    </row>
    <row r="18" spans="2:5">
      <c r="B18" s="1" t="s">
        <v>57</v>
      </c>
      <c r="C18" s="1">
        <v>0.80651155791193363</v>
      </c>
      <c r="E18" s="5"/>
    </row>
    <row r="19" spans="2:5">
      <c r="C19" s="16"/>
      <c r="D19" s="16"/>
      <c r="E19" s="16"/>
    </row>
    <row r="20" spans="2:5">
      <c r="B20" s="1" t="s">
        <v>11</v>
      </c>
      <c r="C20" s="1">
        <f>CEILING(C11,1)</f>
        <v>3</v>
      </c>
      <c r="D20" s="1" t="s">
        <v>127</v>
      </c>
    </row>
    <row r="21" spans="2:5">
      <c r="B21" s="1" t="s">
        <v>110</v>
      </c>
      <c r="C21" s="1">
        <f>C10</f>
        <v>5</v>
      </c>
      <c r="D21" s="1" t="s">
        <v>112</v>
      </c>
    </row>
    <row r="23" spans="2:5">
      <c r="D23" s="9" t="s">
        <v>119</v>
      </c>
    </row>
    <row r="25" spans="2:5" ht="20.25" customHeight="1">
      <c r="B25" s="1" t="s">
        <v>111</v>
      </c>
    </row>
    <row r="26" spans="2:5">
      <c r="B26" s="1" t="s">
        <v>87</v>
      </c>
    </row>
    <row r="28" spans="2:5" ht="15.75">
      <c r="B28" s="1" t="s">
        <v>113</v>
      </c>
    </row>
    <row r="29" spans="2:5">
      <c r="D29" s="9"/>
    </row>
    <row r="30" spans="2:5" ht="18">
      <c r="B30" s="27" t="s">
        <v>121</v>
      </c>
    </row>
    <row r="39" spans="2:7">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78</v>
      </c>
    </row>
    <row r="3" spans="2:4">
      <c r="B3" s="1" t="s">
        <v>41</v>
      </c>
    </row>
    <row r="4" spans="2:4">
      <c r="B4" s="1" t="s">
        <v>42</v>
      </c>
    </row>
    <row r="5" spans="2:4">
      <c r="B5" s="1" t="s">
        <v>43</v>
      </c>
    </row>
    <row r="13" spans="2:4">
      <c r="B13" s="1" t="s">
        <v>44</v>
      </c>
    </row>
    <row r="14" spans="2:4" ht="13.5" thickBot="1"/>
    <row r="15" spans="2:4" ht="1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25">
      <c r="B22" s="8" t="s">
        <v>50</v>
      </c>
      <c r="C22" s="1">
        <f>C15*C20</f>
        <v>12.5</v>
      </c>
    </row>
    <row r="24" spans="2:4">
      <c r="B24" s="9" t="s">
        <v>51</v>
      </c>
    </row>
    <row r="33" spans="2:4" ht="13.5" thickBot="1"/>
    <row r="34" spans="2:4" ht="1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25">
      <c r="B41" s="8" t="s">
        <v>50</v>
      </c>
      <c r="C41" s="1">
        <f>C34*C39</f>
        <v>12</v>
      </c>
    </row>
    <row r="44" spans="2:4">
      <c r="B44" s="9" t="s">
        <v>54</v>
      </c>
    </row>
    <row r="50" spans="2:4" ht="13.5" thickBot="1"/>
    <row r="51" spans="2:4" ht="1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25">
      <c r="B59" s="8" t="s">
        <v>50</v>
      </c>
      <c r="C59" s="1">
        <f>C51*C57</f>
        <v>3.9999999999999991</v>
      </c>
    </row>
    <row r="61" spans="2:4">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7" ht="7.5" customHeight="1"/>
    <row r="2" spans="2:7" ht="18.75" customHeight="1">
      <c r="B2" s="140" t="s">
        <v>345</v>
      </c>
    </row>
    <row r="3" spans="2:7" ht="18.75" customHeight="1" thickBot="1">
      <c r="B3" s="21" t="s">
        <v>89</v>
      </c>
    </row>
    <row r="4" spans="2:7">
      <c r="B4" s="1" t="s">
        <v>90</v>
      </c>
      <c r="C4" s="22">
        <v>1</v>
      </c>
      <c r="D4" s="1" t="s">
        <v>91</v>
      </c>
    </row>
    <row r="5" spans="2:7">
      <c r="B5" s="1" t="s">
        <v>92</v>
      </c>
      <c r="C5" s="23">
        <v>0.9</v>
      </c>
      <c r="D5" s="1" t="s">
        <v>93</v>
      </c>
    </row>
    <row r="6" spans="2:7">
      <c r="B6" s="1" t="s">
        <v>94</v>
      </c>
      <c r="C6" s="23">
        <v>1.1000000000000001</v>
      </c>
      <c r="D6" s="1" t="s">
        <v>95</v>
      </c>
    </row>
    <row r="7" spans="2:7" ht="13.5" thickBot="1">
      <c r="B7" s="1" t="s">
        <v>96</v>
      </c>
      <c r="C7" s="24">
        <v>25</v>
      </c>
      <c r="D7" s="1" t="s">
        <v>97</v>
      </c>
    </row>
    <row r="8" spans="2:7" ht="13.5" thickBot="1">
      <c r="B8" s="1" t="s">
        <v>98</v>
      </c>
      <c r="C8" s="2">
        <v>0.9</v>
      </c>
    </row>
    <row r="10" spans="2:7">
      <c r="E10" s="43" t="s">
        <v>326</v>
      </c>
      <c r="F10" s="25"/>
      <c r="G10" s="43"/>
    </row>
    <row r="11" spans="2:7">
      <c r="E11" s="32" t="s">
        <v>321</v>
      </c>
    </row>
    <row r="12" spans="2:7">
      <c r="B12" s="1" t="s">
        <v>99</v>
      </c>
      <c r="C12" s="25">
        <f>C7-2</f>
        <v>23</v>
      </c>
      <c r="E12" s="1" t="s">
        <v>99</v>
      </c>
      <c r="F12" s="25">
        <f>C7-2</f>
        <v>23</v>
      </c>
      <c r="G12" s="43" t="s">
        <v>315</v>
      </c>
    </row>
    <row r="13" spans="2:7">
      <c r="B13" s="1" t="s">
        <v>100</v>
      </c>
      <c r="C13" s="25">
        <f>TINV(1-$C$8,$C$12)</f>
        <v>1.7138715277470482</v>
      </c>
      <c r="E13" s="1" t="s">
        <v>100</v>
      </c>
      <c r="F13" s="25">
        <f>TINV(1-$C$8,$C$12)</f>
        <v>1.7138715277470482</v>
      </c>
    </row>
    <row r="14" spans="2:7">
      <c r="B14" s="1" t="s">
        <v>101</v>
      </c>
      <c r="C14" s="25">
        <f>(LN($C$4)-LN($C$5))/$C$13</f>
        <v>6.1475153739397749E-2</v>
      </c>
      <c r="E14" s="1" t="s">
        <v>314</v>
      </c>
      <c r="F14" s="25">
        <f>1/(C7/2)+1/(C7/2)</f>
        <v>0.16</v>
      </c>
    </row>
    <row r="15" spans="2:7">
      <c r="B15" s="1" t="s">
        <v>102</v>
      </c>
      <c r="C15" s="25">
        <f>(LN($C$6)-LN($C$4))/$C$13</f>
        <v>5.5611041003530717E-2</v>
      </c>
      <c r="E15" s="1" t="s">
        <v>316</v>
      </c>
      <c r="F15" s="25">
        <f>SQRT(0.5*F14)</f>
        <v>0.28284271247461901</v>
      </c>
    </row>
    <row r="16" spans="2:7">
      <c r="B16" s="1" t="s">
        <v>103</v>
      </c>
      <c r="C16" s="25">
        <f>(C14^2)*($C$12+2)/2</f>
        <v>4.7239931591032368E-2</v>
      </c>
      <c r="E16" s="1" t="s">
        <v>317</v>
      </c>
      <c r="F16" s="25">
        <f>(LN($C$4)-LN($C$5))/($F$15*$F$13)</f>
        <v>0.21734749041806845</v>
      </c>
      <c r="G16" s="43" t="s">
        <v>322</v>
      </c>
    </row>
    <row r="17" spans="2:8">
      <c r="B17" s="1" t="s">
        <v>104</v>
      </c>
      <c r="C17" s="25">
        <f>(C15^2)*($C$12+2)/2</f>
        <v>3.8657348518704684E-2</v>
      </c>
      <c r="E17" s="1" t="s">
        <v>318</v>
      </c>
      <c r="F17" s="25">
        <f>(LN($C$6)-LN($C$4))/($F$15*$F$13)</f>
        <v>0.1966147210121986</v>
      </c>
      <c r="G17" s="43" t="s">
        <v>323</v>
      </c>
    </row>
    <row r="18" spans="2:8">
      <c r="B18" s="1" t="s">
        <v>105</v>
      </c>
      <c r="C18" s="25">
        <f>SQRT(EXP($C$16)-1)*100</f>
        <v>21.993980274614049</v>
      </c>
      <c r="E18" s="1" t="s">
        <v>319</v>
      </c>
      <c r="F18" s="25">
        <f>AVERAGE(F16:F17)</f>
        <v>0.20698110571513351</v>
      </c>
      <c r="G18" s="43" t="s">
        <v>324</v>
      </c>
    </row>
    <row r="19" spans="2:8">
      <c r="B19" s="1" t="s">
        <v>106</v>
      </c>
      <c r="C19" s="25">
        <f>SQRT(EXP($C$17)-1)*100</f>
        <v>19.853026415764084</v>
      </c>
      <c r="G19" s="34"/>
    </row>
    <row r="21" spans="2:8" ht="20.25">
      <c r="B21" s="20" t="s">
        <v>107</v>
      </c>
      <c r="C21" s="26">
        <f>(C18+C19)/2</f>
        <v>20.923503345189069</v>
      </c>
      <c r="D21" s="20" t="s">
        <v>108</v>
      </c>
      <c r="E21" s="140" t="s">
        <v>320</v>
      </c>
      <c r="F21" s="26">
        <f>100*SQRT(EXP(F18^2)-1)</f>
        <v>20.921784780556706</v>
      </c>
      <c r="G21" s="20" t="s">
        <v>108</v>
      </c>
      <c r="H21" s="43" t="s">
        <v>325</v>
      </c>
    </row>
    <row r="22" spans="2:8">
      <c r="C22" s="10"/>
    </row>
    <row r="23" spans="2:8">
      <c r="C23" s="10"/>
    </row>
    <row r="24" spans="2:8">
      <c r="C24" s="10"/>
    </row>
    <row r="25" spans="2:8">
      <c r="C25" s="10"/>
    </row>
    <row r="26" spans="2:8">
      <c r="C26" s="14"/>
    </row>
    <row r="27" spans="2:8">
      <c r="C27" s="25"/>
    </row>
    <row r="28" spans="2:8">
      <c r="C28" s="25"/>
    </row>
    <row r="29" spans="2:8">
      <c r="C29" s="25"/>
    </row>
    <row r="30" spans="2:8">
      <c r="C30" s="25"/>
    </row>
    <row r="32" spans="2:8" ht="20.25">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14" ht="7.5" customHeight="1"/>
    <row r="2" spans="2:14" ht="18.75" customHeight="1">
      <c r="B2" s="140" t="s">
        <v>331</v>
      </c>
    </row>
    <row r="3" spans="2:14" ht="18.75" customHeight="1" thickBot="1">
      <c r="B3" s="21" t="s">
        <v>330</v>
      </c>
    </row>
    <row r="4" spans="2:14">
      <c r="B4" s="1" t="s">
        <v>90</v>
      </c>
      <c r="C4" s="22">
        <v>91.34</v>
      </c>
      <c r="D4" s="1" t="s">
        <v>91</v>
      </c>
    </row>
    <row r="5" spans="2:14">
      <c r="B5" s="1" t="s">
        <v>92</v>
      </c>
      <c r="C5" s="23">
        <v>82.07</v>
      </c>
      <c r="D5" s="1" t="s">
        <v>93</v>
      </c>
      <c r="G5" s="43" t="s">
        <v>326</v>
      </c>
    </row>
    <row r="6" spans="2:14">
      <c r="B6" s="1" t="s">
        <v>94</v>
      </c>
      <c r="C6" s="23">
        <v>101.66</v>
      </c>
      <c r="D6" s="1" t="s">
        <v>95</v>
      </c>
      <c r="G6" s="32" t="s">
        <v>321</v>
      </c>
    </row>
    <row r="7" spans="2:14" ht="13.5" thickBot="1">
      <c r="B7" s="1" t="s">
        <v>96</v>
      </c>
      <c r="C7" s="24">
        <v>24</v>
      </c>
      <c r="D7" s="1" t="s">
        <v>97</v>
      </c>
    </row>
    <row r="8" spans="2:14" ht="13.5" thickBot="1">
      <c r="B8" s="1" t="s">
        <v>98</v>
      </c>
      <c r="C8" s="2">
        <v>0.9</v>
      </c>
    </row>
    <row r="10" spans="2:14">
      <c r="F10" s="25"/>
      <c r="G10" s="43"/>
    </row>
    <row r="11" spans="2:14" ht="13.5">
      <c r="B11" s="9" t="s">
        <v>281</v>
      </c>
      <c r="E11" s="9" t="s">
        <v>283</v>
      </c>
      <c r="L11" s="141" t="s">
        <v>333</v>
      </c>
      <c r="N11" s="141"/>
    </row>
    <row r="12" spans="2:14" ht="13.5">
      <c r="B12" s="1" t="s">
        <v>99</v>
      </c>
      <c r="C12" s="25">
        <f>2*C7-3</f>
        <v>45</v>
      </c>
      <c r="E12" s="1" t="s">
        <v>99</v>
      </c>
      <c r="F12" s="25">
        <f>3*C7-4</f>
        <v>68</v>
      </c>
      <c r="G12" s="43" t="s">
        <v>344</v>
      </c>
      <c r="I12" s="9"/>
      <c r="J12" s="43"/>
      <c r="L12" s="141" t="s">
        <v>334</v>
      </c>
      <c r="N12" s="141"/>
    </row>
    <row r="13" spans="2:14" ht="13.5">
      <c r="B13" s="1" t="s">
        <v>100</v>
      </c>
      <c r="C13" s="25">
        <f>TINV(1-$C$8,$C$12)</f>
        <v>1.6794273926523535</v>
      </c>
      <c r="E13" s="1" t="s">
        <v>100</v>
      </c>
      <c r="F13" s="25">
        <f>TINV(1-$C$8,$F$12)</f>
        <v>1.6675722807967104</v>
      </c>
      <c r="I13" s="9"/>
      <c r="J13" s="43"/>
      <c r="L13" s="141" t="s">
        <v>335</v>
      </c>
      <c r="N13" s="141"/>
    </row>
    <row r="14" spans="2:14" ht="13.5">
      <c r="B14" s="1" t="s">
        <v>314</v>
      </c>
      <c r="C14" s="25">
        <f>1/($C$7/3)+1/($C$7/3)+1/($C$7/3)</f>
        <v>0.375</v>
      </c>
      <c r="E14" s="1" t="s">
        <v>314</v>
      </c>
      <c r="F14" s="25">
        <f>1/(C7/2)+1/(C7/2)</f>
        <v>0.16666666666666666</v>
      </c>
      <c r="J14" s="43"/>
      <c r="L14" s="141" t="s">
        <v>336</v>
      </c>
      <c r="N14" s="141"/>
    </row>
    <row r="15" spans="2:14" ht="13.5">
      <c r="B15" s="43" t="s">
        <v>332</v>
      </c>
      <c r="C15" s="25">
        <f>1/6</f>
        <v>0.16666666666666666</v>
      </c>
      <c r="E15" s="43" t="s">
        <v>332</v>
      </c>
      <c r="F15" s="25">
        <f>1/4</f>
        <v>0.25</v>
      </c>
      <c r="I15" s="43"/>
      <c r="L15" s="141" t="s">
        <v>337</v>
      </c>
      <c r="N15" s="141"/>
    </row>
    <row r="16" spans="2:14" ht="13.5">
      <c r="B16" s="1" t="s">
        <v>316</v>
      </c>
      <c r="C16" s="25">
        <f>SQRT($C$15*C14)</f>
        <v>0.25</v>
      </c>
      <c r="E16" s="1" t="s">
        <v>316</v>
      </c>
      <c r="F16" s="25">
        <f>SQRT($F$15*F14)</f>
        <v>0.20412414523193151</v>
      </c>
      <c r="L16" s="141" t="s">
        <v>338</v>
      </c>
      <c r="N16" s="141"/>
    </row>
    <row r="17" spans="2:15" ht="13.5">
      <c r="B17" s="1" t="s">
        <v>317</v>
      </c>
      <c r="C17" s="25">
        <f>(LN($C$4)-LN($C$5))/($C$16*$C$13)</f>
        <v>0.25488750888174999</v>
      </c>
      <c r="E17" s="1" t="s">
        <v>317</v>
      </c>
      <c r="F17" s="25">
        <f>(LN($C$4)-LN($C$5))/($F$16*$F$13)</f>
        <v>0.31439146498043025</v>
      </c>
      <c r="G17" s="43" t="s">
        <v>322</v>
      </c>
      <c r="L17" s="141" t="s">
        <v>339</v>
      </c>
      <c r="N17" s="141"/>
    </row>
    <row r="18" spans="2:15" ht="13.5">
      <c r="B18" s="1" t="s">
        <v>318</v>
      </c>
      <c r="C18" s="25">
        <f>(LN($C$6)-LN($C$4))/($C$16*$C$13)</f>
        <v>0.25495619454639212</v>
      </c>
      <c r="E18" s="1" t="s">
        <v>318</v>
      </c>
      <c r="F18" s="25">
        <f>(LN($C$6)-LN($C$4))/($F$16*$F$13)</f>
        <v>0.31447618543936817</v>
      </c>
      <c r="G18" s="43" t="s">
        <v>323</v>
      </c>
      <c r="L18" s="141" t="s">
        <v>340</v>
      </c>
      <c r="N18" s="141"/>
    </row>
    <row r="19" spans="2:15" ht="13.5">
      <c r="B19" s="1" t="s">
        <v>319</v>
      </c>
      <c r="C19" s="25">
        <f>AVERAGE(C17:C18)</f>
        <v>0.25492185171407106</v>
      </c>
      <c r="E19" s="1" t="s">
        <v>319</v>
      </c>
      <c r="F19" s="25">
        <f>AVERAGE(F17:F18)</f>
        <v>0.31443382520989921</v>
      </c>
      <c r="G19" s="43" t="s">
        <v>324</v>
      </c>
      <c r="L19" s="142" t="s">
        <v>341</v>
      </c>
      <c r="N19" s="142"/>
      <c r="O19" s="43"/>
    </row>
    <row r="20" spans="2:15" ht="13.5">
      <c r="L20" s="141" t="s">
        <v>342</v>
      </c>
      <c r="N20" s="141"/>
    </row>
    <row r="21" spans="2:15" ht="20.25">
      <c r="B21" s="20" t="s">
        <v>107</v>
      </c>
      <c r="C21" s="26">
        <f>100*SQRT(EXP(C$19^2)-1)</f>
        <v>25.912000637541482</v>
      </c>
      <c r="D21" s="20" t="s">
        <v>108</v>
      </c>
      <c r="E21" s="140" t="s">
        <v>320</v>
      </c>
      <c r="F21" s="26">
        <f>100*SQRT(EXP(F$19^2)-1)</f>
        <v>32.236821862146222</v>
      </c>
      <c r="G21" s="20" t="s">
        <v>108</v>
      </c>
      <c r="H21" s="43" t="s">
        <v>325</v>
      </c>
      <c r="L21" s="142" t="s">
        <v>343</v>
      </c>
      <c r="N21" s="142"/>
    </row>
    <row r="22" spans="2:15">
      <c r="C22" s="10"/>
    </row>
    <row r="23" spans="2:15">
      <c r="C23" s="10"/>
    </row>
    <row r="24" spans="2:15">
      <c r="C24" s="10"/>
    </row>
    <row r="25" spans="2:15">
      <c r="C25" s="10"/>
    </row>
    <row r="26" spans="2:15">
      <c r="C26" s="14"/>
    </row>
    <row r="27" spans="2:15">
      <c r="C27" s="25"/>
    </row>
    <row r="28" spans="2:15">
      <c r="C28" s="25"/>
    </row>
    <row r="29" spans="2:15">
      <c r="C29" s="25"/>
    </row>
    <row r="30" spans="2:15">
      <c r="C30" s="25"/>
    </row>
    <row r="32" spans="2:15" ht="20.25">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140" t="s">
        <v>346</v>
      </c>
    </row>
    <row r="3" spans="2:4" ht="18.75" customHeight="1" thickBot="1">
      <c r="B3" s="21" t="s">
        <v>89</v>
      </c>
    </row>
    <row r="4" spans="2:4">
      <c r="B4" s="1" t="s">
        <v>90</v>
      </c>
      <c r="C4" s="22"/>
      <c r="D4" s="1" t="s">
        <v>91</v>
      </c>
    </row>
    <row r="5" spans="2:4">
      <c r="B5" s="1" t="s">
        <v>92</v>
      </c>
      <c r="C5" s="23"/>
      <c r="D5" s="1" t="s">
        <v>93</v>
      </c>
    </row>
    <row r="6" spans="2:4">
      <c r="B6" s="1" t="s">
        <v>94</v>
      </c>
      <c r="C6" s="23"/>
      <c r="D6" s="1" t="s">
        <v>95</v>
      </c>
    </row>
    <row r="7" spans="2:4">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25">
      <c r="B21" s="140" t="s">
        <v>320</v>
      </c>
      <c r="C21" s="26" t="e">
        <f>100*SQRT(EXP(C19^2)-1)</f>
        <v>#NUM!</v>
      </c>
      <c r="D21" s="20" t="s">
        <v>108</v>
      </c>
      <c r="E21" s="43" t="s">
        <v>325</v>
      </c>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2026-02-10T18:44:18Z</dcterms:modified>
  <cp:category>Sample Size Estimation</cp:category>
</cp:coreProperties>
</file>