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Users\dndub\Downloads\"/>
    </mc:Choice>
  </mc:AlternateContent>
  <xr:revisionPtr revIDLastSave="0" documentId="13_ncr:1_{DBD8D200-2C51-40D3-8240-4386238D921A}" xr6:coauthVersionLast="47" xr6:coauthVersionMax="47" xr10:uidLastSave="{00000000-0000-0000-0000-000000000000}"/>
  <bookViews>
    <workbookView xWindow="-110" yWindow="-110" windowWidth="19420" windowHeight="1150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ISVrep" sheetId="33" state="hidden" r:id="rId20"/>
    <sheet name="CVtot" sheetId="32" state="hidden" r:id="rId2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14" i="33" l="1"/>
  <c r="C16" i="33" s="1"/>
  <c r="C12" i="33"/>
  <c r="C13" i="33" s="1"/>
  <c r="C18" i="33" s="1"/>
  <c r="F14" i="33"/>
  <c r="F12" i="33"/>
  <c r="F13" i="33" s="1"/>
  <c r="F15" i="33"/>
  <c r="C15" i="33"/>
  <c r="F14" i="24"/>
  <c r="F15" i="24"/>
  <c r="C12" i="24"/>
  <c r="F13" i="24" s="1"/>
  <c r="F16" i="24" s="1"/>
  <c r="F12" i="24"/>
  <c r="C13" i="24"/>
  <c r="C15" i="24" s="1"/>
  <c r="C17" i="24" s="1"/>
  <c r="C19" i="24" s="1"/>
  <c r="C15" i="32"/>
  <c r="C16" i="32" s="1"/>
  <c r="C13" i="32"/>
  <c r="C14" i="32" s="1"/>
  <c r="C20" i="1"/>
  <c r="D39" i="30"/>
  <c r="E43" i="30"/>
  <c r="D37" i="30"/>
  <c r="D36" i="30"/>
  <c r="F35" i="30"/>
  <c r="D35" i="30"/>
  <c r="F36" i="30"/>
  <c r="F34" i="30"/>
  <c r="F37" i="30"/>
  <c r="D34" i="30"/>
  <c r="C22" i="29"/>
  <c r="C25" i="29"/>
  <c r="C8" i="1"/>
  <c r="O20" i="28"/>
  <c r="C20" i="8"/>
  <c r="X11" i="8" s="1"/>
  <c r="Y11" i="8" s="1"/>
  <c r="C20" i="28"/>
  <c r="D20" i="28" s="1"/>
  <c r="C12" i="28"/>
  <c r="C13" i="28" s="1"/>
  <c r="Z32" i="28"/>
  <c r="Z33" i="28"/>
  <c r="V11" i="28"/>
  <c r="C10" i="28"/>
  <c r="C15" i="28" s="1"/>
  <c r="C8" i="28"/>
  <c r="D6" i="28"/>
  <c r="Z35" i="28"/>
  <c r="Z36" i="28"/>
  <c r="V15" i="28"/>
  <c r="C20" i="27"/>
  <c r="Y6" i="27"/>
  <c r="Z2" i="27"/>
  <c r="Z32" i="27"/>
  <c r="Z33" i="27"/>
  <c r="C12" i="27"/>
  <c r="C13" i="27"/>
  <c r="V11" i="27"/>
  <c r="V15" i="27"/>
  <c r="C10" i="27"/>
  <c r="C15" i="27"/>
  <c r="C8" i="27"/>
  <c r="Z35" i="27"/>
  <c r="Z36" i="27"/>
  <c r="C14" i="27"/>
  <c r="D6" i="27"/>
  <c r="W11" i="27"/>
  <c r="X11" i="27"/>
  <c r="Y11" i="27"/>
  <c r="AD16" i="27" s="1"/>
  <c r="AD17" i="27" s="1"/>
  <c r="K7" i="14"/>
  <c r="K7" i="13"/>
  <c r="Z16" i="27"/>
  <c r="Z17" i="27"/>
  <c r="AA11" i="27"/>
  <c r="AB11" i="27"/>
  <c r="U16" i="27"/>
  <c r="Z19" i="27"/>
  <c r="Z20" i="27"/>
  <c r="C25" i="7"/>
  <c r="U17" i="27"/>
  <c r="V16" i="27"/>
  <c r="V11" i="1"/>
  <c r="V15" i="1" s="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X11" i="11" s="1"/>
  <c r="Y11" i="11" s="1"/>
  <c r="D20" i="11"/>
  <c r="E20" i="11" s="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s="1"/>
  <c r="C12" i="1"/>
  <c r="C13" i="1" s="1"/>
  <c r="D6" i="1"/>
  <c r="C12" i="8"/>
  <c r="C13" i="8" s="1"/>
  <c r="C10" i="7"/>
  <c r="C14" i="7"/>
  <c r="C12" i="7"/>
  <c r="C13" i="7" s="1"/>
  <c r="C21" i="23"/>
  <c r="C8" i="23"/>
  <c r="C20" i="23"/>
  <c r="C20" i="17"/>
  <c r="D20" i="17"/>
  <c r="E20" i="17"/>
  <c r="C20" i="13"/>
  <c r="X11" i="13" s="1"/>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s="1"/>
  <c r="C10" i="13"/>
  <c r="C14" i="13"/>
  <c r="C12" i="12"/>
  <c r="C13" i="12" s="1"/>
  <c r="C10" i="11"/>
  <c r="C14" i="11"/>
  <c r="C12" i="11"/>
  <c r="C13" i="11" s="1"/>
  <c r="C10" i="8"/>
  <c r="C14" i="8"/>
  <c r="C8" i="17"/>
  <c r="C8" i="8"/>
  <c r="AA11" i="13"/>
  <c r="AB11" i="13"/>
  <c r="U16" i="13"/>
  <c r="Z24" i="12"/>
  <c r="Z25" i="12"/>
  <c r="W15" i="12"/>
  <c r="Z27" i="12"/>
  <c r="Z28" i="12"/>
  <c r="C38" i="26"/>
  <c r="C40" i="26"/>
  <c r="AA17" i="1"/>
  <c r="AA20" i="1" s="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Z16" i="8"/>
  <c r="Z17" i="8"/>
  <c r="U18" i="27"/>
  <c r="V17" i="27"/>
  <c r="Z35" i="14"/>
  <c r="Z36" i="14"/>
  <c r="Z27" i="14"/>
  <c r="Z28" i="14"/>
  <c r="Z32" i="14"/>
  <c r="Z33" i="14"/>
  <c r="Z24" i="14"/>
  <c r="Z25" i="14"/>
  <c r="C8" i="12"/>
  <c r="Z35" i="8"/>
  <c r="Z36" i="8"/>
  <c r="Z19" i="8"/>
  <c r="Z20" i="8"/>
  <c r="X11" i="12"/>
  <c r="Y11" i="12" s="1"/>
  <c r="C14" i="12"/>
  <c r="C14" i="17"/>
  <c r="C14" i="18"/>
  <c r="C118" i="26"/>
  <c r="C119" i="26"/>
  <c r="Z16" i="14"/>
  <c r="Z17" i="14"/>
  <c r="X11" i="7"/>
  <c r="Y11" i="7"/>
  <c r="AD19" i="7" s="1"/>
  <c r="AD20" i="7" s="1"/>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Z16" i="7"/>
  <c r="Z17" i="7"/>
  <c r="C57" i="26"/>
  <c r="X12" i="12"/>
  <c r="Y12" i="12" s="1"/>
  <c r="AD24" i="12" s="1"/>
  <c r="AD25" i="12" s="1"/>
  <c r="Z33" i="8"/>
  <c r="Y12" i="14"/>
  <c r="Z19" i="7"/>
  <c r="Z20" i="7"/>
  <c r="V12" i="7"/>
  <c r="Z35" i="7"/>
  <c r="D20" i="7"/>
  <c r="X12" i="7" s="1"/>
  <c r="W16" i="11"/>
  <c r="Z27" i="8"/>
  <c r="Z28" i="8"/>
  <c r="U17" i="11"/>
  <c r="V17" i="11"/>
  <c r="U19" i="27"/>
  <c r="V18" i="27"/>
  <c r="Z24" i="8"/>
  <c r="Z25" i="8"/>
  <c r="AD19" i="14"/>
  <c r="AD20" i="14"/>
  <c r="AD24" i="14"/>
  <c r="AD25" i="14"/>
  <c r="AD27" i="14"/>
  <c r="AD28" i="14"/>
  <c r="Z36" i="7"/>
  <c r="AA11" i="7"/>
  <c r="AB11" i="7"/>
  <c r="U16" i="7"/>
  <c r="Z32" i="7"/>
  <c r="Z33" i="7"/>
  <c r="Z24" i="7"/>
  <c r="Z25" i="7"/>
  <c r="W15" i="7"/>
  <c r="Z27" i="7"/>
  <c r="Z28" i="7"/>
  <c r="W17" i="11"/>
  <c r="U18" i="11"/>
  <c r="V18" i="11"/>
  <c r="U20" i="27"/>
  <c r="V19" i="27"/>
  <c r="U17" i="7"/>
  <c r="W16" i="7"/>
  <c r="V16" i="7"/>
  <c r="U19" i="11"/>
  <c r="W19" i="11"/>
  <c r="W18" i="11"/>
  <c r="U21" i="27"/>
  <c r="V20" i="27"/>
  <c r="W17" i="7"/>
  <c r="V17" i="7"/>
  <c r="U18" i="7"/>
  <c r="V19" i="11"/>
  <c r="U20" i="11"/>
  <c r="W20" i="11"/>
  <c r="V21" i="27"/>
  <c r="U22" i="27"/>
  <c r="V18" i="7"/>
  <c r="W18" i="7"/>
  <c r="U19" i="7"/>
  <c r="V20" i="11"/>
  <c r="U21" i="11"/>
  <c r="U22" i="11"/>
  <c r="V22" i="11"/>
  <c r="U23" i="27"/>
  <c r="V22" i="27"/>
  <c r="W19" i="7"/>
  <c r="U20" i="7"/>
  <c r="V19" i="7"/>
  <c r="V21" i="11"/>
  <c r="U23" i="11"/>
  <c r="U24" i="11"/>
  <c r="W22" i="11"/>
  <c r="W21" i="11"/>
  <c r="V23" i="27"/>
  <c r="U24" i="27"/>
  <c r="W20" i="7"/>
  <c r="U21" i="7"/>
  <c r="V20" i="7"/>
  <c r="W23" i="11"/>
  <c r="V23" i="11"/>
  <c r="U25" i="27"/>
  <c r="V24" i="27"/>
  <c r="W21" i="7"/>
  <c r="V21" i="7"/>
  <c r="U22" i="7"/>
  <c r="U25" i="11"/>
  <c r="W24" i="11"/>
  <c r="V24" i="11"/>
  <c r="V25" i="27"/>
  <c r="U26" i="27"/>
  <c r="W22" i="7"/>
  <c r="U23" i="7"/>
  <c r="V22" i="7"/>
  <c r="U26" i="11"/>
  <c r="V25" i="11"/>
  <c r="W25" i="11"/>
  <c r="U27" i="27"/>
  <c r="V26" i="27"/>
  <c r="W23" i="7"/>
  <c r="U24" i="7"/>
  <c r="V23" i="7"/>
  <c r="U27" i="11"/>
  <c r="V26" i="11"/>
  <c r="W26" i="11"/>
  <c r="V27" i="27"/>
  <c r="U28" i="27"/>
  <c r="V24" i="7"/>
  <c r="W24" i="7"/>
  <c r="U25" i="7"/>
  <c r="U28" i="11"/>
  <c r="W27" i="11"/>
  <c r="V27" i="11"/>
  <c r="U29" i="27"/>
  <c r="V28" i="27"/>
  <c r="V25" i="7"/>
  <c r="U26" i="7"/>
  <c r="W25" i="7"/>
  <c r="V28" i="11"/>
  <c r="W28" i="11"/>
  <c r="U29" i="11"/>
  <c r="V29" i="27"/>
  <c r="U30" i="27"/>
  <c r="V26" i="7"/>
  <c r="U27" i="7"/>
  <c r="W26" i="7"/>
  <c r="U30" i="11"/>
  <c r="W29" i="11"/>
  <c r="V29" i="11"/>
  <c r="U31" i="27"/>
  <c r="V30" i="27"/>
  <c r="W27" i="7"/>
  <c r="V27" i="7"/>
  <c r="U28" i="7"/>
  <c r="V30" i="11"/>
  <c r="U31" i="11"/>
  <c r="W30" i="11"/>
  <c r="U32" i="27"/>
  <c r="V31" i="27"/>
  <c r="W28" i="7"/>
  <c r="V28" i="7"/>
  <c r="U29" i="7"/>
  <c r="V31" i="11"/>
  <c r="W31" i="11"/>
  <c r="U32" i="11"/>
  <c r="U33" i="27"/>
  <c r="V32" i="27"/>
  <c r="U30" i="7"/>
  <c r="V29" i="7"/>
  <c r="W29" i="7"/>
  <c r="V32" i="11"/>
  <c r="U33" i="11"/>
  <c r="W32" i="11"/>
  <c r="U34" i="27"/>
  <c r="V33" i="27"/>
  <c r="V30" i="7"/>
  <c r="U31" i="7"/>
  <c r="W30" i="7"/>
  <c r="V33" i="11"/>
  <c r="U34" i="11"/>
  <c r="W33" i="11"/>
  <c r="U35" i="27"/>
  <c r="V34" i="27"/>
  <c r="W31" i="7"/>
  <c r="U32" i="7"/>
  <c r="V31" i="7"/>
  <c r="V34" i="11"/>
  <c r="U35" i="11"/>
  <c r="W34" i="11"/>
  <c r="V35" i="27"/>
  <c r="U36" i="27"/>
  <c r="W32" i="7"/>
  <c r="U33" i="7"/>
  <c r="V32" i="7"/>
  <c r="V35" i="11"/>
  <c r="U36" i="11"/>
  <c r="W35" i="11"/>
  <c r="V36" i="27"/>
  <c r="U37" i="27"/>
  <c r="V33" i="7"/>
  <c r="U34" i="7"/>
  <c r="W33" i="7"/>
  <c r="W36" i="11"/>
  <c r="V36" i="11"/>
  <c r="U37" i="11"/>
  <c r="U38" i="27"/>
  <c r="V37" i="27"/>
  <c r="W34" i="7"/>
  <c r="U35" i="7"/>
  <c r="V34" i="7"/>
  <c r="V37" i="11"/>
  <c r="U38" i="11"/>
  <c r="W37" i="11"/>
  <c r="V38" i="27"/>
  <c r="U39" i="27"/>
  <c r="W35" i="7"/>
  <c r="U36" i="7"/>
  <c r="V35" i="7"/>
  <c r="V38" i="11"/>
  <c r="U39" i="11"/>
  <c r="W38" i="11"/>
  <c r="U40" i="27"/>
  <c r="V39" i="27"/>
  <c r="U37" i="7"/>
  <c r="W36" i="7"/>
  <c r="V36" i="7"/>
  <c r="W39" i="11"/>
  <c r="V39" i="11"/>
  <c r="U40" i="11"/>
  <c r="V40" i="27"/>
  <c r="U41" i="27"/>
  <c r="W37" i="7"/>
  <c r="V37" i="7"/>
  <c r="U38" i="7"/>
  <c r="W40" i="11"/>
  <c r="V40" i="11"/>
  <c r="U41" i="11"/>
  <c r="U42" i="27"/>
  <c r="V41" i="27"/>
  <c r="V38" i="7"/>
  <c r="U39" i="7"/>
  <c r="W38" i="7"/>
  <c r="V41" i="11"/>
  <c r="U42" i="11"/>
  <c r="W41" i="11"/>
  <c r="V42" i="27"/>
  <c r="U43" i="27"/>
  <c r="V39" i="7"/>
  <c r="W39" i="7"/>
  <c r="U40" i="7"/>
  <c r="V42" i="11"/>
  <c r="U43" i="11"/>
  <c r="W42" i="11"/>
  <c r="U44" i="27"/>
  <c r="V43" i="27"/>
  <c r="V40" i="7"/>
  <c r="U41" i="7"/>
  <c r="W40" i="7"/>
  <c r="W43" i="11"/>
  <c r="V43" i="11"/>
  <c r="U44" i="11"/>
  <c r="V44" i="27"/>
  <c r="U45" i="27"/>
  <c r="W41" i="7"/>
  <c r="U42" i="7"/>
  <c r="V41" i="7"/>
  <c r="W44" i="11"/>
  <c r="V44" i="11"/>
  <c r="U45" i="11"/>
  <c r="AA17" i="28"/>
  <c r="AA20" i="28" s="1"/>
  <c r="U46" i="27"/>
  <c r="V45" i="27"/>
  <c r="V42" i="7"/>
  <c r="U43" i="7"/>
  <c r="W42" i="7"/>
  <c r="V45" i="11"/>
  <c r="U46" i="11"/>
  <c r="W45" i="11"/>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24" i="29"/>
  <c r="D28" i="29"/>
  <c r="D29" i="29"/>
  <c r="C33" i="29"/>
  <c r="G36" i="30"/>
  <c r="G34" i="30"/>
  <c r="G37" i="30"/>
  <c r="G35" i="30"/>
  <c r="D40" i="30"/>
  <c r="E44" i="30"/>
  <c r="D48" i="30"/>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 r="C17" i="14"/>
  <c r="C17" i="13"/>
  <c r="C17" i="12"/>
  <c r="C16" i="12"/>
  <c r="C17" i="11"/>
  <c r="C16" i="11"/>
  <c r="C17" i="8"/>
  <c r="C17" i="7"/>
  <c r="C17" i="27"/>
  <c r="C16" i="27"/>
  <c r="C17" i="28"/>
  <c r="C17" i="1"/>
  <c r="X12" i="8" l="1"/>
  <c r="X12" i="11"/>
  <c r="Y12" i="11" s="1"/>
  <c r="AD27" i="11" s="1"/>
  <c r="AD28" i="11" s="1"/>
  <c r="X12" i="13"/>
  <c r="Y12" i="13" s="1"/>
  <c r="D20" i="13"/>
  <c r="E20" i="13" s="1"/>
  <c r="Y11" i="13"/>
  <c r="AD19" i="12"/>
  <c r="AD20" i="12" s="1"/>
  <c r="AD16" i="12"/>
  <c r="AD17" i="12" s="1"/>
  <c r="AD27" i="12"/>
  <c r="AD28" i="12" s="1"/>
  <c r="AD16" i="11"/>
  <c r="AD17" i="11" s="1"/>
  <c r="AD19" i="11"/>
  <c r="AD20" i="11" s="1"/>
  <c r="AD24" i="11"/>
  <c r="AD25" i="11" s="1"/>
  <c r="Y12" i="8"/>
  <c r="AD27" i="8" s="1"/>
  <c r="AD28" i="8" s="1"/>
  <c r="AD19" i="8"/>
  <c r="AD20" i="8" s="1"/>
  <c r="AD16" i="8"/>
  <c r="AD17" i="8" s="1"/>
  <c r="Y12" i="7"/>
  <c r="AD16" i="7"/>
  <c r="AD17" i="7" s="1"/>
  <c r="E20" i="7"/>
  <c r="AD19" i="27"/>
  <c r="AD20" i="27" s="1"/>
  <c r="C14" i="28"/>
  <c r="E20" i="28"/>
  <c r="W11" i="28"/>
  <c r="W11" i="1"/>
  <c r="AA11" i="1" s="1"/>
  <c r="AB11" i="1" s="1"/>
  <c r="U16" i="1" s="1"/>
  <c r="C14" i="1"/>
  <c r="F17" i="24"/>
  <c r="C14" i="24"/>
  <c r="C16" i="24" s="1"/>
  <c r="C18" i="24" s="1"/>
  <c r="C21" i="24" s="1"/>
  <c r="F18" i="24"/>
  <c r="F21" i="24" s="1"/>
  <c r="F16" i="33"/>
  <c r="F18" i="33" s="1"/>
  <c r="C17" i="33"/>
  <c r="C19" i="33" s="1"/>
  <c r="C21" i="33" s="1"/>
  <c r="C17" i="32"/>
  <c r="C19" i="32" s="1"/>
  <c r="C21" i="32" s="1"/>
  <c r="C18" i="32"/>
  <c r="C18" i="12"/>
  <c r="C18" i="13"/>
  <c r="C18" i="27"/>
  <c r="C18" i="11"/>
  <c r="C18" i="14"/>
  <c r="C18" i="8"/>
  <c r="C18" i="7"/>
  <c r="C16" i="28"/>
  <c r="C16" i="1"/>
  <c r="AD16" i="13" l="1"/>
  <c r="AD17" i="13" s="1"/>
  <c r="AD19" i="13"/>
  <c r="AD20" i="13" s="1"/>
  <c r="AD27" i="13"/>
  <c r="AD28" i="13" s="1"/>
  <c r="AD24" i="13"/>
  <c r="AD25" i="13" s="1"/>
  <c r="AD24" i="8"/>
  <c r="AD25" i="8" s="1"/>
  <c r="AD24" i="7"/>
  <c r="AD25" i="7" s="1"/>
  <c r="AD27" i="7"/>
  <c r="AD28" i="7" s="1"/>
  <c r="C18" i="28"/>
  <c r="Z16" i="28"/>
  <c r="Z17" i="28" s="1"/>
  <c r="X11" i="28"/>
  <c r="Y11" i="28" s="1"/>
  <c r="Z19" i="28"/>
  <c r="Z20" i="28" s="1"/>
  <c r="AA11" i="28"/>
  <c r="AB11" i="28" s="1"/>
  <c r="U16" i="28" s="1"/>
  <c r="Z19" i="1"/>
  <c r="Z20" i="1" s="1"/>
  <c r="Z16" i="1"/>
  <c r="Z17" i="1" s="1"/>
  <c r="X11" i="1"/>
  <c r="Y11" i="1" s="1"/>
  <c r="C18" i="1"/>
  <c r="U17" i="1"/>
  <c r="V16" i="1"/>
  <c r="F17" i="33"/>
  <c r="F19" i="33" s="1"/>
  <c r="F21" i="33" s="1"/>
  <c r="AD16" i="28" l="1"/>
  <c r="AD17" i="28" s="1"/>
  <c r="AD19" i="28"/>
  <c r="AD20" i="28" s="1"/>
  <c r="V16" i="28"/>
  <c r="U17" i="28"/>
  <c r="AD16" i="1"/>
  <c r="AD17" i="1" s="1"/>
  <c r="AD19" i="1"/>
  <c r="AD20" i="1" s="1"/>
  <c r="V17" i="1"/>
  <c r="U18" i="1"/>
  <c r="U18" i="28" l="1"/>
  <c r="V17" i="28"/>
  <c r="V18" i="1"/>
  <c r="U19" i="1"/>
  <c r="U19" i="28" l="1"/>
  <c r="V18" i="28"/>
  <c r="V19" i="1"/>
  <c r="U20" i="1"/>
  <c r="U20" i="28" l="1"/>
  <c r="V19" i="28"/>
  <c r="V20" i="1"/>
  <c r="U21" i="1"/>
  <c r="U21" i="28" l="1"/>
  <c r="V20" i="28"/>
  <c r="U22" i="1"/>
  <c r="V21" i="1"/>
  <c r="U22" i="28" l="1"/>
  <c r="V21" i="28"/>
  <c r="V22" i="1"/>
  <c r="U23" i="1"/>
  <c r="U23" i="28" l="1"/>
  <c r="V22" i="28"/>
  <c r="V23" i="1"/>
  <c r="U24" i="1"/>
  <c r="U24" i="28" l="1"/>
  <c r="V23" i="28"/>
  <c r="V24" i="1"/>
  <c r="U25" i="1"/>
  <c r="U25" i="28" l="1"/>
  <c r="V24" i="28"/>
  <c r="U26" i="1"/>
  <c r="V25" i="1"/>
  <c r="U26" i="28" l="1"/>
  <c r="V25" i="28"/>
  <c r="V26" i="1"/>
  <c r="U27" i="1"/>
  <c r="U27" i="28" l="1"/>
  <c r="V26" i="28"/>
  <c r="V27" i="1"/>
  <c r="U28" i="1"/>
  <c r="V27" i="28" l="1"/>
  <c r="U28" i="28"/>
  <c r="V28" i="1"/>
  <c r="U29" i="1"/>
  <c r="U29" i="28" l="1"/>
  <c r="V28" i="28"/>
  <c r="V29" i="1"/>
  <c r="U30" i="1"/>
  <c r="V29" i="28" l="1"/>
  <c r="U30" i="28"/>
  <c r="V30" i="1"/>
  <c r="U31" i="1"/>
  <c r="U31" i="28" l="1"/>
  <c r="V30" i="28"/>
  <c r="V31" i="1"/>
  <c r="U32" i="1"/>
  <c r="V31" i="28" l="1"/>
  <c r="U32" i="28"/>
  <c r="U33" i="1"/>
  <c r="V32" i="1"/>
  <c r="U33" i="28" l="1"/>
  <c r="V32" i="28"/>
  <c r="V33" i="1"/>
  <c r="U34" i="1"/>
  <c r="U34" i="28" l="1"/>
  <c r="V33" i="28"/>
  <c r="U35" i="1"/>
  <c r="V34" i="1"/>
  <c r="V34" i="28" l="1"/>
  <c r="U35" i="28"/>
  <c r="V35" i="1"/>
  <c r="U36" i="1"/>
  <c r="V35" i="28" l="1"/>
  <c r="U36" i="28"/>
  <c r="U37" i="1"/>
  <c r="V36" i="1"/>
  <c r="U37" i="28" l="1"/>
  <c r="V36" i="28"/>
  <c r="U38" i="1"/>
  <c r="V37" i="1"/>
  <c r="U38" i="28" l="1"/>
  <c r="V37" i="28"/>
  <c r="U39" i="1"/>
  <c r="V38" i="1"/>
  <c r="U39" i="28" l="1"/>
  <c r="V38" i="28"/>
  <c r="V39" i="1"/>
  <c r="U40" i="1"/>
  <c r="V39" i="28" l="1"/>
  <c r="U40" i="28"/>
  <c r="V40" i="1"/>
  <c r="U41" i="1"/>
  <c r="V40" i="28" l="1"/>
  <c r="U41" i="28"/>
  <c r="V41" i="1"/>
  <c r="U42" i="1"/>
  <c r="U42" i="28" l="1"/>
  <c r="V41" i="28"/>
  <c r="V42" i="1"/>
  <c r="U43" i="1"/>
  <c r="V42" i="28" l="1"/>
  <c r="U43" i="28"/>
  <c r="U44" i="1"/>
  <c r="V43" i="1"/>
  <c r="V43" i="28" l="1"/>
  <c r="U44" i="28"/>
  <c r="V44" i="1"/>
  <c r="U45" i="1"/>
  <c r="U45" i="28" l="1"/>
  <c r="V44" i="28"/>
  <c r="U46" i="1"/>
  <c r="V45" i="1"/>
  <c r="U46" i="28" l="1"/>
  <c r="V45" i="28"/>
  <c r="V46" i="1"/>
  <c r="U47" i="1"/>
  <c r="V47" i="1" s="1"/>
  <c r="U47" i="28" l="1"/>
  <c r="V47" i="28" s="1"/>
  <c r="V46" i="28"/>
  <c r="AE17" i="1"/>
  <c r="AE20" i="1" s="1"/>
  <c r="AA33" i="1"/>
  <c r="AA36" i="1" s="1"/>
  <c r="AA33" i="28" l="1"/>
  <c r="AA36" i="28" s="1"/>
  <c r="AE17" i="28"/>
  <c r="AE20" i="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C94F5DB6-B50E-4E09-B35C-CAE61A046E3E}">
      <text>
        <r>
          <rPr>
            <b/>
            <sz val="8"/>
            <color indexed="81"/>
            <rFont val="Tahoma"/>
            <family val="2"/>
          </rPr>
          <t>Also the "point estimate": a ratio of test to reference of the geometric means</t>
        </r>
      </text>
    </comment>
    <comment ref="B13" authorId="0" shapeId="0" xr:uid="{73082C89-0F5E-4422-B3D2-70D8F1BF7BEE}">
      <text>
        <r>
          <rPr>
            <b/>
            <sz val="8"/>
            <color indexed="81"/>
            <rFont val="Tahoma"/>
            <family val="2"/>
          </rPr>
          <t>Excel uses a 2-tailed test, so for 90% CI use 0.1 in this funciton.</t>
        </r>
      </text>
    </comment>
    <comment ref="E13" authorId="0" shapeId="0" xr:uid="{FA17336C-CF3E-40CA-BD3E-C7BC69F1DFDB}">
      <text>
        <r>
          <rPr>
            <b/>
            <sz val="8"/>
            <color indexed="81"/>
            <rFont val="Tahoma"/>
            <family val="2"/>
          </rPr>
          <t>Excel uses a 2-tailed test, so for 90% CI use 0.1 in this funciton.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<sst xmlns="http://schemas.openxmlformats.org/spreadsheetml/2006/main" count="1209" uniqueCount="347">
  <si>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</si>
  <si>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</si>
  <si>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</si>
  <si>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</si>
  <si>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</si>
  <si>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</si>
  <si>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</si>
  <si>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</si>
  <si>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</si>
  <si>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</si>
  <si>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</si>
  <si>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</si>
  <si>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</si>
  <si>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</si>
  <si>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</si>
  <si>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</si>
  <si>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</si>
  <si>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</si>
  <si>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</si>
  <si>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</si>
  <si>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</si>
  <si>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</si>
  <si>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</si>
  <si>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</si>
  <si>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</si>
  <si>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</si>
  <si>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</si>
  <si>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</si>
  <si>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</si>
  <si>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</si>
  <si>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</si>
  <si>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</si>
  <si>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</si>
  <si>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</si>
  <si>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</si>
  <si>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</si>
  <si>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</si>
  <si>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</si>
  <si>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</si>
  <si>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</si>
  <si>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</si>
  <si>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</si>
  <si>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</si>
  <si>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</si>
  <si>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</si>
  <si>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</si>
  <si>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</si>
  <si>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</si>
  <si>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</si>
  <si>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</si>
  <si>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</si>
  <si>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</si>
  <si>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</si>
  <si>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</si>
  <si>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</si>
  <si>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</si>
  <si>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</si>
  <si>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</si>
  <si>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</si>
  <si>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</si>
  <si>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</si>
  <si>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</si>
  <si>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</si>
  <si>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</si>
  <si>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</si>
  <si>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</si>
  <si>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</si>
  <si>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</si>
  <si>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</si>
  <si>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</si>
  <si>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</si>
  <si>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</si>
  <si>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</si>
  <si>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</si>
  <si>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</si>
  <si>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</si>
  <si>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</si>
  <si>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</si>
  <si>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</si>
  <si>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</si>
  <si>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</si>
  <si>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</si>
  <si>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</si>
  <si>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</si>
  <si>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</si>
  <si>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</si>
  <si>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</si>
  <si>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</si>
  <si>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</si>
  <si>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</si>
  <si>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</si>
  <si>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</si>
  <si>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</si>
  <si>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</si>
  <si>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</si>
  <si>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</si>
  <si>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</si>
  <si>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</si>
  <si>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</si>
  <si>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</si>
  <si>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</si>
  <si>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</si>
  <si>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</si>
  <si>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</si>
  <si>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</si>
  <si>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</si>
  <si>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</si>
  <si>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</si>
  <si>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</si>
  <si>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</si>
  <si>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</si>
  <si>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</si>
  <si>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</si>
  <si>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</si>
  <si>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</si>
  <si>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</si>
  <si>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</si>
  <si>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</si>
  <si>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</si>
  <si>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</si>
  <si>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</si>
  <si>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</si>
  <si>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</si>
  <si>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</si>
  <si>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</si>
  <si>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</si>
  <si>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</si>
  <si>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</si>
  <si>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</si>
  <si>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</si>
  <si>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</si>
  <si>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</si>
  <si>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</si>
  <si>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</si>
  <si>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</si>
  <si>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</si>
  <si>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</si>
  <si>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</si>
  <si>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</si>
  <si>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</si>
  <si>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</si>
  <si>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</si>
  <si>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</si>
  <si>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</si>
  <si>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</si>
  <si>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</si>
  <si>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</si>
  <si>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</si>
  <si>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</si>
  <si>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</si>
  <si>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</si>
  <si>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</si>
  <si>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</si>
  <si>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</si>
  <si>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</si>
  <si>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</si>
  <si>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</si>
  <si>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</si>
  <si>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</si>
  <si>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</si>
  <si>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</si>
  <si>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</si>
  <si>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</si>
  <si>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</si>
  <si>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</si>
  <si>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</si>
  <si>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</si>
  <si>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</si>
  <si>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</si>
  <si>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</si>
  <si>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</si>
  <si>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</si>
  <si>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</si>
  <si>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</si>
  <si>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</si>
  <si>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</si>
  <si>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</si>
  <si>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</si>
  <si>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</si>
  <si>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</si>
  <si>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</si>
  <si>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</si>
  <si>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</si>
  <si>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</si>
  <si>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</si>
  <si>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</si>
  <si>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</si>
  <si>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</si>
  <si>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</si>
  <si>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</si>
  <si>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</si>
  <si>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</si>
  <si>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</si>
  <si>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</si>
  <si>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</si>
  <si>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</si>
  <si>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</si>
  <si>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</si>
  <si>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</si>
  <si>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</si>
  <si>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</si>
  <si>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</si>
  <si>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</si>
  <si>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</si>
  <si>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</si>
  <si>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</si>
  <si>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</si>
  <si>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</si>
  <si>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</si>
  <si>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</si>
  <si>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</si>
  <si>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</si>
  <si>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</si>
  <si>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</si>
  <si>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</si>
  <si>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</si>
  <si>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</si>
  <si>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</si>
  <si>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</si>
  <si>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</si>
  <si>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</si>
  <si>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</si>
  <si>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</si>
  <si>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</si>
  <si>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</si>
  <si>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</si>
  <si>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</si>
  <si>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</si>
  <si>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</si>
  <si>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</si>
  <si>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</si>
  <si>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</si>
  <si>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</si>
  <si>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</si>
  <si>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</si>
  <si>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</si>
  <si>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</si>
  <si>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</si>
  <si>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</si>
  <si>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</si>
  <si>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</si>
  <si>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</si>
  <si>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</si>
  <si>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</si>
  <si>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</si>
  <si>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</si>
  <si>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</si>
  <si>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</si>
  <si>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</si>
  <si>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</si>
  <si>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</si>
  <si>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</si>
  <si>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</si>
  <si>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</si>
  <si>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</si>
  <si>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</si>
  <si>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</si>
  <si>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</si>
  <si>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</si>
  <si>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</si>
  <si>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</si>
  <si>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</si>
  <si>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</si>
  <si>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</si>
  <si>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</si>
  <si>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</si>
  <si>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</si>
  <si>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</si>
  <si>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</si>
  <si>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</si>
  <si>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</si>
  <si>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</si>
  <si>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</si>
  <si>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</si>
  <si>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</si>
  <si>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</si>
  <si>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</si>
  <si>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</si>
  <si>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</si>
  <si>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</si>
  <si>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</si>
  <si>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</si>
  <si>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</si>
  <si>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</si>
  <si>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</si>
  <si>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</si>
  <si>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</si>
  <si>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</si>
  <si>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</si>
  <si>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</si>
  <si>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</si>
  <si>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</si>
  <si>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</si>
  <si>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</si>
  <si>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</si>
  <si>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</si>
  <si>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</si>
  <si>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</si>
  <si>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</si>
  <si>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</si>
  <si>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</si>
  <si>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</si>
  <si>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</si>
  <si>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</si>
  <si>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</si>
  <si>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</si>
  <si>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</si>
  <si>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</si>
  <si>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</si>
  <si>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</si>
  <si>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</si>
  <si>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</si>
  <si>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</si>
  <si>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</si>
  <si>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</si>
  <si>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</si>
  <si>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</si>
  <si>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</si>
  <si>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</si>
  <si>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</si>
  <si>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</si>
  <si>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</si>
  <si>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</si>
  <si>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</si>
  <si>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</si>
  <si>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</si>
  <si>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</si>
  <si>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Schütz, Helmut. "Biostatistics - 
Sample Size Estimation
for BE Studies". Workshop | Bucarest, 19 March 2013, available at: https://bebac.at/lectures/Bucharest2013WS1.pdf</t>
  </si>
  <si>
    <t>Version 3.1</t>
  </si>
  <si>
    <t>© David Dubins, 2007-2026 (d.dubins@utoronto.ca)</t>
  </si>
  <si>
    <t>POINT ESTIMATE AND CONFIDENCE INTERVALS to ISV (Replicate)</t>
  </si>
  <si>
    <t>Intra-Subject Variability Calculator (Replicate Study)</t>
  </si>
  <si>
    <t>bkni</t>
  </si>
  <si>
    <t xml:space="preserve">        no  design    df    df2  steps  bk   bknif </t>
  </si>
  <si>
    <t xml:space="preserve">        0  parallel n-2    n-2    2    4    1/1             </t>
  </si>
  <si>
    <t xml:space="preserve">        1  2x2      n-2    n-2    2    2    1/2           </t>
  </si>
  <si>
    <t xml:space="preserve">        1  2x2x2    n-2    n-2    2    2    1/2   </t>
  </si>
  <si>
    <t xml:space="preserve">        2  3x3      2*n-4  n-3    3    2    2/9   # 3 sequence latin</t>
  </si>
  <si>
    <t xml:space="preserve">        3  3x6x3    2*n-4  n-6    6    2    1/18  # 6 sequence 'williams'</t>
  </si>
  <si>
    <t xml:space="preserve">        4  4x4      3*n-6  n-4    4    2    1/8   # 4 sequence 'williams'</t>
  </si>
  <si>
    <t xml:space="preserve">        5  2x2x3    2*n-3  n-2    2    1.5  3/8   </t>
  </si>
  <si>
    <t xml:space="preserve">        6  2x2x4    3*n-4  n-2    2    1    1/4   </t>
  </si>
  <si>
    <t xml:space="preserve">        7  2x4x4    3*n-4  n-4    4    1    1/16  </t>
  </si>
  <si>
    <t xml:space="preserve">        9  2x3x3    2*n-3  n-3    3    1.5  1/6   # partial replicate</t>
  </si>
  <si>
    <t>4PSR: df=3n-4 3PSR: df=2n-3</t>
  </si>
  <si>
    <t>Intra-Subject Variability Calculator (2-Way Crossover)</t>
  </si>
  <si>
    <t>Total Variability Calculator (Parallel)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</si>
</sst>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0.00000000000000%"/>
  </numFmts>
  <fonts count="62">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
      <sz val="10"/>
      <name val="Courier New"/>
      <family val="3"/>
    </font>
    <font>
      <b/>
      <sz val="10"/>
      <name val="Courier New"/>
      <family val="3"/>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4">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5"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6"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6"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16" fillId="2" borderId="0" xfId="0" applyFont="1" applyFill="1"/>
    <xf numFmtId="0" fontId="60" fillId="2" borderId="0" xfId="0" applyFont="1" applyFill="1"/>
    <xf numFmtId="0" fontId="61" fillId="2" borderId="0" xfId="0"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2"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488950</xdr:colOff>
          <xdr:row>7</xdr:row>
          <xdr:rowOff>107950</xdr:rowOff>
        </xdr:from>
        <xdr:to>
          <xdr:col>13</xdr:col>
          <xdr:colOff>31750</xdr:colOff>
          <xdr:row>8</xdr:row>
          <xdr:rowOff>146050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8</xdr:row>
          <xdr:rowOff>146050</xdr:rowOff>
        </xdr:from>
        <xdr:to>
          <xdr:col>13</xdr:col>
          <xdr:colOff>31750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10</xdr:row>
          <xdr:rowOff>12700</xdr:rowOff>
        </xdr:from>
        <xdr:to>
          <xdr:col>13</xdr:col>
          <xdr:colOff>31750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565150</xdr:colOff>
          <xdr:row>7</xdr:row>
          <xdr:rowOff>31750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8</xdr:row>
          <xdr:rowOff>38100</xdr:rowOff>
        </xdr:from>
        <xdr:to>
          <xdr:col>12</xdr:col>
          <xdr:colOff>76200</xdr:colOff>
          <xdr:row>9</xdr:row>
          <xdr:rowOff>107950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9</xdr:row>
          <xdr:rowOff>107950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336550</xdr:colOff>
          <xdr:row>8</xdr:row>
          <xdr:rowOff>114300</xdr:rowOff>
        </xdr:from>
        <xdr:to>
          <xdr:col>12</xdr:col>
          <xdr:colOff>488950</xdr:colOff>
          <xdr:row>9</xdr:row>
          <xdr:rowOff>184150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9</xdr:row>
          <xdr:rowOff>184150</xdr:rowOff>
        </xdr:from>
        <xdr:to>
          <xdr:col>12</xdr:col>
          <xdr:colOff>488950</xdr:colOff>
          <xdr:row>11</xdr:row>
          <xdr:rowOff>31750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11</xdr:row>
          <xdr:rowOff>31750</xdr:rowOff>
        </xdr:from>
        <xdr:to>
          <xdr:col>12</xdr:col>
          <xdr:colOff>488950</xdr:colOff>
          <xdr:row>12</xdr:row>
          <xdr:rowOff>69850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374650</xdr:colOff>
          <xdr:row>7</xdr:row>
          <xdr:rowOff>222250</xdr:rowOff>
        </xdr:from>
        <xdr:to>
          <xdr:col>11</xdr:col>
          <xdr:colOff>527050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9</xdr:row>
          <xdr:rowOff>38100</xdr:rowOff>
        </xdr:from>
        <xdr:to>
          <xdr:col>11</xdr:col>
          <xdr:colOff>527050</xdr:colOff>
          <xdr:row>10</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10</xdr:row>
          <xdr:rowOff>69850</xdr:rowOff>
        </xdr:from>
        <xdr:to>
          <xdr:col>11</xdr:col>
          <xdr:colOff>527050</xdr:colOff>
          <xdr:row>11</xdr:row>
          <xdr:rowOff>107950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603250</xdr:colOff>
          <xdr:row>7</xdr:row>
          <xdr:rowOff>184150</xdr:rowOff>
        </xdr:from>
        <xdr:to>
          <xdr:col>13</xdr:col>
          <xdr:colOff>146050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9</xdr:row>
          <xdr:rowOff>38100</xdr:rowOff>
        </xdr:from>
        <xdr:to>
          <xdr:col>13</xdr:col>
          <xdr:colOff>146050</xdr:colOff>
          <xdr:row>10</xdr:row>
          <xdr:rowOff>107950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10</xdr:row>
          <xdr:rowOff>107950</xdr:rowOff>
        </xdr:from>
        <xdr:to>
          <xdr:col>13</xdr:col>
          <xdr:colOff>146050</xdr:colOff>
          <xdr:row>11</xdr:row>
          <xdr:rowOff>146050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488950</xdr:colOff>
          <xdr:row>8</xdr:row>
          <xdr:rowOff>69850</xdr:rowOff>
        </xdr:from>
        <xdr:to>
          <xdr:col>12</xdr:col>
          <xdr:colOff>31750</xdr:colOff>
          <xdr:row>9</xdr:row>
          <xdr:rowOff>107950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9</xdr:row>
          <xdr:rowOff>107950</xdr:rowOff>
        </xdr:from>
        <xdr:to>
          <xdr:col>12</xdr:col>
          <xdr:colOff>31750</xdr:colOff>
          <xdr:row>10</xdr:row>
          <xdr:rowOff>107950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10</xdr:row>
          <xdr:rowOff>107950</xdr:rowOff>
        </xdr:from>
        <xdr:to>
          <xdr:col>12</xdr:col>
          <xdr:colOff>31750</xdr:colOff>
          <xdr:row>11</xdr:row>
          <xdr:rowOff>146050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50</xdr:row>
      <xdr:rowOff>66675</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477251" y="3810001"/>
          <a:ext cx="4143374" cy="498157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22</xdr:row>
          <xdr:rowOff>152400</xdr:rowOff>
        </xdr:from>
        <xdr:to>
          <xdr:col>9</xdr:col>
          <xdr:colOff>450850</xdr:colOff>
          <xdr:row>24</xdr:row>
          <xdr:rowOff>95250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 (Parallel)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69850</xdr:rowOff>
        </xdr:from>
        <xdr:to>
          <xdr:col>12</xdr:col>
          <xdr:colOff>317500</xdr:colOff>
          <xdr:row>7</xdr:row>
          <xdr:rowOff>107950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107950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31750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470297</xdr:colOff>
      <xdr:row>24</xdr:row>
      <xdr:rowOff>65484</xdr:rowOff>
    </xdr:from>
    <xdr:to>
      <xdr:col>9</xdr:col>
      <xdr:colOff>59531</xdr:colOff>
      <xdr:row>25</xdr:row>
      <xdr:rowOff>29764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887641" y="4423172"/>
          <a:ext cx="196453" cy="12501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12</xdr:col>
      <xdr:colOff>361950</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038600" y="4551047"/>
          <a:ext cx="4191000" cy="1122678"/>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58</xdr:row>
      <xdr:rowOff>159288</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228600</xdr:colOff>
      <xdr:row>25</xdr:row>
      <xdr:rowOff>90691</xdr:rowOff>
    </xdr:from>
    <xdr:to>
      <xdr:col>11</xdr:col>
      <xdr:colOff>483878</xdr:colOff>
      <xdr:row>29</xdr:row>
      <xdr:rowOff>102120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012682" y="4457936"/>
          <a:ext cx="4104155" cy="659388"/>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2-way</a:t>
          </a:r>
          <a:r>
            <a:rPr lang="en-US" sz="1000" b="0" i="0" strike="noStrike" baseline="0">
              <a:solidFill>
                <a:srgbClr val="000000"/>
              </a:solidFill>
              <a:latin typeface="Arial"/>
              <a:cs typeface="Arial"/>
            </a:rPr>
            <a:t> crossover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2044</xdr:rowOff>
        </xdr:from>
        <xdr:to>
          <xdr:col>9</xdr:col>
          <xdr:colOff>571800</xdr:colOff>
          <xdr:row>24</xdr:row>
          <xdr:rowOff>88254</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 (2WXO)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69850</xdr:rowOff>
        </xdr:from>
        <xdr:to>
          <xdr:col>11</xdr:col>
          <xdr:colOff>508000</xdr:colOff>
          <xdr:row>7</xdr:row>
          <xdr:rowOff>107950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107950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36</xdr:row>
      <xdr:rowOff>133350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50673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twoCellAnchor>
    <xdr:from>
      <xdr:col>8</xdr:col>
      <xdr:colOff>155509</xdr:colOff>
      <xdr:row>24</xdr:row>
      <xdr:rowOff>116632</xdr:rowOff>
    </xdr:from>
    <xdr:to>
      <xdr:col>8</xdr:col>
      <xdr:colOff>349897</xdr:colOff>
      <xdr:row>25</xdr:row>
      <xdr:rowOff>97193</xdr:rowOff>
    </xdr:to>
    <xdr:sp macro="" textlink="">
      <xdr:nvSpPr>
        <xdr:cNvPr id="2" name="Line 25">
          <a:extLst>
            <a:ext uri="{FF2B5EF4-FFF2-40B4-BE49-F238E27FC236}">
              <a16:creationId xmlns:a16="http://schemas.microsoft.com/office/drawing/2014/main" id="{64CDF44F-684E-4DC8-B2AA-C3D510A301F6}"/>
            </a:ext>
          </a:extLst>
        </xdr:cNvPr>
        <xdr:cNvSpPr>
          <a:spLocks noChangeShapeType="1"/>
        </xdr:cNvSpPr>
      </xdr:nvSpPr>
      <xdr:spPr bwMode="auto">
        <a:xfrm flipH="1" flipV="1">
          <a:off x="5864029" y="4321887"/>
          <a:ext cx="194388" cy="142551"/>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4</xdr:col>
      <xdr:colOff>428625</xdr:colOff>
      <xdr:row>25</xdr:row>
      <xdr:rowOff>64771</xdr:rowOff>
    </xdr:from>
    <xdr:to>
      <xdr:col>11</xdr:col>
      <xdr:colOff>561975</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3419475" y="4474846"/>
          <a:ext cx="4400550"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semi-replicate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10</xdr:col>
          <xdr:colOff>69850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 (Replicate)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336550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7</xdr:row>
          <xdr:rowOff>127000</xdr:rowOff>
        </xdr:from>
        <xdr:to>
          <xdr:col>11</xdr:col>
          <xdr:colOff>488950</xdr:colOff>
          <xdr:row>9</xdr:row>
          <xdr:rowOff>31750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9</xdr:row>
          <xdr:rowOff>31750</xdr:rowOff>
        </xdr:from>
        <xdr:to>
          <xdr:col>11</xdr:col>
          <xdr:colOff>488950</xdr:colOff>
          <xdr:row>10</xdr:row>
          <xdr:rowOff>31750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5</xdr:col>
      <xdr:colOff>1806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31750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73</xdr:row>
      <xdr:rowOff>10026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10985666"/>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100" b="1" baseline="0">
              <a:solidFill>
                <a:schemeClr val="dk1"/>
              </a:solidFill>
              <a:effectLst/>
              <a:latin typeface="+mn-lt"/>
              <a:ea typeface="+mn-ea"/>
              <a:cs typeface="+mn-cs"/>
            </a:rPr>
            <a:t>For ISV from Published Point Estimate and CI</a:t>
          </a:r>
          <a:endParaRPr lang="en-CA"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library(PowerTOST)</a:t>
          </a:r>
        </a:p>
        <a:p>
          <a:r>
            <a:rPr lang="en-CA" sz="1000" baseline="0">
              <a:solidFill>
                <a:srgbClr val="0070C0"/>
              </a:solidFill>
              <a:effectLst/>
              <a:latin typeface="+mn-lt"/>
              <a:ea typeface="+mn-ea"/>
              <a:cs typeface="+mn-cs"/>
            </a:rPr>
            <a:t>CVfromCI(</a:t>
          </a:r>
        </a:p>
        <a:p>
          <a:r>
            <a:rPr lang="en-CA" sz="1000" baseline="0">
              <a:solidFill>
                <a:srgbClr val="0070C0"/>
              </a:solidFill>
              <a:effectLst/>
              <a:latin typeface="+mn-lt"/>
              <a:ea typeface="+mn-ea"/>
              <a:cs typeface="+mn-cs"/>
            </a:rPr>
            <a:t>  pe=1.023,            # Point Estimate (T/R Ratio)</a:t>
          </a:r>
        </a:p>
        <a:p>
          <a:r>
            <a:rPr lang="en-CA" sz="1000" baseline="0">
              <a:solidFill>
                <a:srgbClr val="0070C0"/>
              </a:solidFill>
              <a:effectLst/>
              <a:latin typeface="+mn-lt"/>
              <a:ea typeface="+mn-ea"/>
              <a:cs typeface="+mn-cs"/>
            </a:rPr>
            <a:t>  lower=0.91,         # Lower CI</a:t>
          </a:r>
        </a:p>
        <a:p>
          <a:r>
            <a:rPr lang="en-CA" sz="1000" baseline="0">
              <a:solidFill>
                <a:srgbClr val="0070C0"/>
              </a:solidFill>
              <a:effectLst/>
              <a:latin typeface="+mn-lt"/>
              <a:ea typeface="+mn-ea"/>
              <a:cs typeface="+mn-cs"/>
            </a:rPr>
            <a:t>  upper=1.15,         # Upper CI</a:t>
          </a:r>
        </a:p>
        <a:p>
          <a:r>
            <a:rPr lang="en-CA" sz="1000" baseline="0">
              <a:solidFill>
                <a:srgbClr val="0070C0"/>
              </a:solidFill>
              <a:effectLst/>
              <a:latin typeface="+mn-lt"/>
              <a:ea typeface="+mn-ea"/>
              <a:cs typeface="+mn-cs"/>
            </a:rPr>
            <a:t>  n=22,                     # Total number of subjects per period</a:t>
          </a:r>
        </a:p>
        <a:p>
          <a:r>
            <a:rPr lang="en-CA" sz="1000" baseline="0">
              <a:solidFill>
                <a:srgbClr val="0070C0"/>
              </a:solidFill>
              <a:effectLst/>
              <a:latin typeface="+mn-lt"/>
              <a:ea typeface="+mn-ea"/>
              <a:cs typeface="+mn-cs"/>
            </a:rPr>
            <a:t>  design="2x2x4"   # 4PSR: "2x2x4", 3PSR: "2x3x3"</a:t>
          </a:r>
        </a:p>
        <a:p>
          <a:r>
            <a:rPr lang="en-CA" sz="1000" baseline="0">
              <a:solidFill>
                <a:srgbClr val="0070C0"/>
              </a:solidFill>
              <a:effectLst/>
              <a:latin typeface="+mn-lt"/>
              <a:ea typeface="+mn-ea"/>
              <a:cs typeface="+mn-cs"/>
            </a:rPr>
            <a:t>)</a:t>
          </a:r>
          <a:endParaRPr lang="en-CA" sz="1000">
            <a:solidFill>
              <a:srgbClr val="0070C0"/>
            </a:solidFill>
            <a:effectLst/>
          </a:endParaRPr>
        </a:p>
        <a:p>
          <a:pPr eaLnBrk="1" fontAlgn="auto" latinLnBrk="0" hangingPunct="1"/>
          <a:r>
            <a:rPr lang="en-CA" sz="1000" baseline="0">
              <a:solidFill>
                <a:srgbClr val="0070C0"/>
              </a:solidFill>
              <a:effectLst/>
              <a:latin typeface="+mn-lt"/>
              <a:ea typeface="+mn-ea"/>
              <a:cs typeface="+mn-cs"/>
            </a:rPr>
            <a:t># replace pe (point estimate), lower, upper, and n with published data.</a:t>
          </a:r>
          <a:endParaRPr lang="en-CA" sz="1000">
            <a:solidFill>
              <a:srgbClr val="0070C0"/>
            </a:solidFill>
            <a:effectLst/>
          </a:endParaRPr>
        </a:p>
        <a:p>
          <a:endParaRPr lang="en-CA" sz="1000" baseline="0">
            <a:solidFill>
              <a:srgbClr val="0070C0"/>
            </a:solidFill>
            <a:latin typeface="+mn-lt"/>
            <a:ea typeface="+mn-ea"/>
            <a:cs typeface="+mn-cs"/>
          </a:endParaRP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31750</xdr:colOff>
          <xdr:row>30</xdr:row>
          <xdr:rowOff>38100</xdr:rowOff>
        </xdr:from>
        <xdr:to>
          <xdr:col>5</xdr:col>
          <xdr:colOff>114300</xdr:colOff>
          <xdr:row>33</xdr:row>
          <xdr:rowOff>146050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heetViews>
  <sheetFormatPr defaultColWidth="9.1796875" defaultRowHeight="12.5"/>
  <cols>
    <col min="1" max="1" width="5.1796875" style="64" customWidth="1"/>
    <col min="2" max="2" width="10.453125" style="64" customWidth="1"/>
    <col min="3" max="16384" width="9.1796875" style="64"/>
  </cols>
  <sheetData>
    <row r="2" spans="2:9" ht="20">
      <c r="C2" s="65" t="s">
        <v>238</v>
      </c>
      <c r="I2" s="66" t="s">
        <v>328</v>
      </c>
    </row>
    <row r="3" spans="2:9" ht="20">
      <c r="C3" s="65" t="s">
        <v>239</v>
      </c>
    </row>
    <row r="4" spans="2:9">
      <c r="B4" s="67" t="s">
        <v>79</v>
      </c>
    </row>
    <row r="6" spans="2:9">
      <c r="B6" s="68" t="s">
        <v>329</v>
      </c>
    </row>
    <row r="8" spans="2:9" ht="13">
      <c r="B8" s="69"/>
    </row>
    <row r="9" spans="2:9">
      <c r="B9" s="70"/>
    </row>
    <row r="10" spans="2:9">
      <c r="B10" s="71"/>
    </row>
    <row r="11" spans="2:9">
      <c r="B11" s="71"/>
    </row>
    <row r="12" spans="2:9">
      <c r="B12" s="71"/>
    </row>
    <row r="28" spans="2:9" ht="13">
      <c r="B28" s="72" t="s">
        <v>88</v>
      </c>
    </row>
    <row r="29" spans="2:9">
      <c r="B29" s="73" t="s">
        <v>194</v>
      </c>
    </row>
    <row r="30" spans="2:9" ht="22.5" customHeight="1">
      <c r="B30" s="143" t="s">
        <v>128</v>
      </c>
      <c r="C30" s="143"/>
      <c r="D30" s="143"/>
      <c r="E30" s="143"/>
      <c r="F30" s="143"/>
      <c r="G30" s="143"/>
      <c r="H30" s="143"/>
      <c r="I30" s="143"/>
    </row>
    <row r="31" spans="2:9">
      <c r="B31" s="74" t="s">
        <v>142</v>
      </c>
    </row>
    <row r="32" spans="2:9">
      <c r="B32" s="74" t="s">
        <v>145</v>
      </c>
    </row>
    <row r="33" spans="2:2">
      <c r="B33" s="74" t="s">
        <v>135</v>
      </c>
    </row>
    <row r="34" spans="2:2">
      <c r="B34" s="74" t="s">
        <v>134</v>
      </c>
    </row>
    <row r="35" spans="2:2">
      <c r="B35" s="74" t="s">
        <v>139</v>
      </c>
    </row>
    <row r="36" spans="2:2">
      <c r="B36" s="74" t="s">
        <v>176</v>
      </c>
    </row>
    <row r="37" spans="2:2">
      <c r="B37" s="74" t="s">
        <v>197</v>
      </c>
    </row>
    <row r="38" spans="2:2">
      <c r="B38" s="74" t="s">
        <v>240</v>
      </c>
    </row>
    <row r="39" spans="2:2">
      <c r="B39" s="73" t="s">
        <v>327</v>
      </c>
    </row>
    <row r="41" spans="2:2">
      <c r="B41" s="73" t="s">
        <v>199</v>
      </c>
    </row>
    <row r="42" spans="2:2">
      <c r="B42" s="73" t="s">
        <v>200</v>
      </c>
    </row>
    <row r="43" spans="2:2">
      <c r="B43" s="73" t="s">
        <v>201</v>
      </c>
    </row>
    <row r="44" spans="2:2">
      <c r="B44" s="73" t="s">
        <v>129</v>
      </c>
    </row>
    <row r="45" spans="2:2">
      <c r="B45" s="73" t="s">
        <v>202</v>
      </c>
    </row>
    <row r="46" spans="2:2">
      <c r="B46" s="74" t="s">
        <v>193</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0"/>
    <col min="22" max="23" width="12.26953125" style="50" bestFit="1" customWidth="1"/>
    <col min="24" max="32" width="9.1796875" style="50"/>
    <col min="33" max="16384" width="9.1796875" style="1"/>
  </cols>
  <sheetData>
    <row r="1" spans="2:31" ht="25.5" thickBot="1">
      <c r="B1" s="17" t="s">
        <v>67</v>
      </c>
      <c r="E1" s="9" t="s">
        <v>120</v>
      </c>
    </row>
    <row r="2" spans="2:31" ht="13.5" thickBot="1">
      <c r="B2" s="1" t="s">
        <v>1</v>
      </c>
      <c r="C2" s="2">
        <v>0.9</v>
      </c>
      <c r="D2" s="1" t="s">
        <v>21</v>
      </c>
    </row>
    <row r="3" spans="2:31" ht="16" thickBot="1">
      <c r="B3" s="1" t="s">
        <v>22</v>
      </c>
      <c r="C3" s="3">
        <v>1</v>
      </c>
      <c r="D3" s="1" t="s">
        <v>23</v>
      </c>
    </row>
    <row r="4" spans="2:31" ht="13.5" thickBot="1">
      <c r="B4" s="8" t="s">
        <v>58</v>
      </c>
      <c r="C4" s="18">
        <v>0.05</v>
      </c>
      <c r="D4" s="1" t="s">
        <v>66</v>
      </c>
    </row>
    <row r="5" spans="2:31" ht="13.5" thickBot="1">
      <c r="B5" s="8" t="s">
        <v>18</v>
      </c>
      <c r="C5" s="3">
        <v>40</v>
      </c>
      <c r="D5" s="1" t="s">
        <v>19</v>
      </c>
      <c r="U5" s="50" t="s">
        <v>55</v>
      </c>
    </row>
    <row r="6" spans="2:31" ht="16" thickBot="1">
      <c r="B6" s="1" t="s">
        <v>17</v>
      </c>
      <c r="C6" s="3">
        <v>8</v>
      </c>
      <c r="D6" s="1" t="s">
        <v>24</v>
      </c>
      <c r="U6" s="50">
        <v>2</v>
      </c>
    </row>
    <row r="7" spans="2:31" ht="13" thickBot="1">
      <c r="C7" s="4"/>
    </row>
    <row r="8" spans="2:31" ht="13" thickBot="1">
      <c r="B8" s="12" t="s">
        <v>116</v>
      </c>
      <c r="C8" s="11">
        <f>C6/C5</f>
        <v>0.2</v>
      </c>
    </row>
    <row r="10" spans="2:31">
      <c r="B10" s="8" t="s">
        <v>18</v>
      </c>
      <c r="C10" s="1">
        <f>C5</f>
        <v>40</v>
      </c>
      <c r="V10" s="50" t="s">
        <v>210</v>
      </c>
      <c r="W10" s="50" t="s">
        <v>208</v>
      </c>
      <c r="X10" s="50" t="s">
        <v>211</v>
      </c>
      <c r="Y10" s="50" t="s">
        <v>209</v>
      </c>
      <c r="AA10" s="50" t="s">
        <v>222</v>
      </c>
      <c r="AB10" s="50" t="s">
        <v>223</v>
      </c>
    </row>
    <row r="11" spans="2:31" ht="15.5">
      <c r="B11" s="1" t="s">
        <v>59</v>
      </c>
      <c r="C11" s="7">
        <v>3</v>
      </c>
      <c r="U11" s="50" t="s">
        <v>204</v>
      </c>
      <c r="V11" s="53">
        <f>4*C5</f>
        <v>160</v>
      </c>
      <c r="W11" s="50">
        <f>$C$5</f>
        <v>40</v>
      </c>
      <c r="X11" s="50">
        <f>W11/SQRT(C20)</f>
        <v>23.094010767585033</v>
      </c>
      <c r="Y11" s="50">
        <f>TINV($C$4*2,$C$20-1)*X11</f>
        <v>67.434178433881996</v>
      </c>
      <c r="AA11" s="50">
        <f>V12+4*W12</f>
        <v>328</v>
      </c>
      <c r="AB11" s="50">
        <f>AA11/33</f>
        <v>9.9393939393939394</v>
      </c>
    </row>
    <row r="12" spans="2:31" ht="15.5">
      <c r="B12" s="1" t="s">
        <v>60</v>
      </c>
      <c r="C12" s="1">
        <f>C11*(C3+1)-2</f>
        <v>4</v>
      </c>
      <c r="U12" s="50" t="s">
        <v>205</v>
      </c>
      <c r="V12" s="53">
        <f>V11+C6</f>
        <v>168</v>
      </c>
      <c r="W12" s="50">
        <f>$C$5</f>
        <v>40</v>
      </c>
      <c r="X12" s="50">
        <f>W12/SQRT(D20)</f>
        <v>23.094010767585033</v>
      </c>
      <c r="Y12" s="50">
        <f>TINV($C$4*2,$D$20-1)*X12</f>
        <v>67.434178433881996</v>
      </c>
    </row>
    <row r="13" spans="2:31" ht="15.5">
      <c r="B13" s="1" t="s">
        <v>61</v>
      </c>
      <c r="C13" s="1">
        <f>TINV(C4,C12)</f>
        <v>2.7764451051977934</v>
      </c>
      <c r="Y13" s="50" t="b">
        <v>1</v>
      </c>
      <c r="AC13" s="50" t="b">
        <v>0</v>
      </c>
    </row>
    <row r="14" spans="2:31" ht="13">
      <c r="B14" s="1" t="s">
        <v>4</v>
      </c>
      <c r="C14" s="1">
        <f>SQRT((C3*C11*C6^2)/((C3+1)*C10^2))</f>
        <v>0.2449489742783178</v>
      </c>
      <c r="U14" s="50" t="s">
        <v>203</v>
      </c>
      <c r="V14" s="50" t="s">
        <v>206</v>
      </c>
      <c r="W14" s="50" t="s">
        <v>207</v>
      </c>
      <c r="Y14" s="53" t="s">
        <v>218</v>
      </c>
      <c r="AC14" s="53" t="s">
        <v>220</v>
      </c>
    </row>
    <row r="15" spans="2:31">
      <c r="U15" s="50">
        <v>0</v>
      </c>
      <c r="V15" s="50">
        <f>_xlfn.NORM.DIST($U15,$V$11,$C$5,FALSE)</f>
        <v>3.3457556441221339E-6</v>
      </c>
      <c r="W15" s="50">
        <f>_xlfn.NORM.DIST($U15,$V$12,$C$5,FALSE)</f>
        <v>1.4735766939134965E-6</v>
      </c>
      <c r="Y15" s="50" t="s">
        <v>215</v>
      </c>
      <c r="Z15" s="50" t="s">
        <v>212</v>
      </c>
      <c r="AA15" s="50" t="s">
        <v>213</v>
      </c>
      <c r="AC15" s="50" t="s">
        <v>215</v>
      </c>
      <c r="AD15" s="50" t="s">
        <v>212</v>
      </c>
      <c r="AE15" s="50" t="s">
        <v>213</v>
      </c>
    </row>
    <row r="16" spans="2:31">
      <c r="U16" s="50">
        <f>U15+$AB$11</f>
        <v>9.9393939393939394</v>
      </c>
      <c r="V16" s="50">
        <f t="shared" ref="V16:V47" si="0">_xlfn.NORM.DIST($U16,$V$11,$C$5,FALSE)</f>
        <v>8.7649394011783917E-6</v>
      </c>
      <c r="W16" s="50">
        <f t="shared" ref="W16:W47" si="1">_xlfn.NORM.DIST($U16,$V$12,$C$5,FALSE)</f>
        <v>4.0570518897450162E-6</v>
      </c>
      <c r="Y16" s="50" t="s">
        <v>214</v>
      </c>
      <c r="Z16" s="50">
        <f>$V$11-$W$11</f>
        <v>120</v>
      </c>
      <c r="AA16" s="50">
        <v>0</v>
      </c>
      <c r="AC16" s="50" t="s">
        <v>214</v>
      </c>
      <c r="AD16" s="50">
        <f>$V$11-$Y$11</f>
        <v>92.565821566118004</v>
      </c>
      <c r="AE16" s="50">
        <v>0</v>
      </c>
    </row>
    <row r="17" spans="2:31">
      <c r="B17" s="1" t="s">
        <v>6</v>
      </c>
      <c r="C17" s="1">
        <f>NCt(C13,C12,C14)</f>
        <v>0.96127583880847123</v>
      </c>
      <c r="U17" s="50">
        <f t="shared" ref="U17:U47" si="2">U16+$AB$11</f>
        <v>19.878787878787879</v>
      </c>
      <c r="V17" s="50">
        <f t="shared" si="0"/>
        <v>2.1586797882267536E-5</v>
      </c>
      <c r="W17" s="50">
        <f t="shared" si="1"/>
        <v>1.0501056362603924E-5</v>
      </c>
      <c r="Y17" s="50" t="s">
        <v>216</v>
      </c>
      <c r="Z17" s="50">
        <f>Z16</f>
        <v>120</v>
      </c>
      <c r="AA17" s="50">
        <f>IF(Y13,MAX($V$15:$V$47),0)</f>
        <v>9.9706267351264838E-3</v>
      </c>
      <c r="AC17" s="50" t="s">
        <v>216</v>
      </c>
      <c r="AD17" s="50">
        <f>AD16</f>
        <v>92.565821566118004</v>
      </c>
      <c r="AE17" s="50">
        <f>IF(AC13,MAX($V$15:$V$47),0)</f>
        <v>0</v>
      </c>
    </row>
    <row r="18" spans="2:31">
      <c r="B18" s="1" t="s">
        <v>57</v>
      </c>
      <c r="C18" s="1">
        <f>1-C17</f>
        <v>3.8724161191528772E-2</v>
      </c>
      <c r="E18" s="5"/>
      <c r="U18" s="50">
        <f t="shared" si="2"/>
        <v>29.81818181818182</v>
      </c>
      <c r="V18" s="50">
        <f t="shared" si="0"/>
        <v>4.9981828671086098E-5</v>
      </c>
      <c r="W18" s="50">
        <f t="shared" si="1"/>
        <v>2.5552890002204227E-5</v>
      </c>
      <c r="Y18" s="50" t="s">
        <v>217</v>
      </c>
      <c r="Z18" s="50" t="s">
        <v>212</v>
      </c>
      <c r="AA18" s="50" t="s">
        <v>213</v>
      </c>
      <c r="AC18" s="50" t="s">
        <v>217</v>
      </c>
      <c r="AD18" s="50" t="s">
        <v>212</v>
      </c>
      <c r="AE18" s="50" t="s">
        <v>213</v>
      </c>
    </row>
    <row r="19" spans="2:31" ht="15">
      <c r="C19" s="16" t="s">
        <v>62</v>
      </c>
      <c r="D19" s="16" t="s">
        <v>63</v>
      </c>
      <c r="E19" s="16" t="s">
        <v>65</v>
      </c>
      <c r="U19" s="50">
        <f t="shared" si="2"/>
        <v>39.757575757575758</v>
      </c>
      <c r="V19" s="50">
        <f t="shared" si="0"/>
        <v>1.0879793853904708E-4</v>
      </c>
      <c r="W19" s="50">
        <f t="shared" si="1"/>
        <v>5.8456346720510549E-5</v>
      </c>
      <c r="Y19" s="50" t="s">
        <v>214</v>
      </c>
      <c r="Z19" s="50">
        <f>$V$11+$W$11</f>
        <v>200</v>
      </c>
      <c r="AA19" s="50">
        <v>0</v>
      </c>
      <c r="AC19" s="50" t="s">
        <v>214</v>
      </c>
      <c r="AD19" s="50">
        <f>$V$11+$Y$11</f>
        <v>227.43417843388198</v>
      </c>
      <c r="AE19" s="50">
        <v>0</v>
      </c>
    </row>
    <row r="20" spans="2:31">
      <c r="B20" s="1" t="s">
        <v>11</v>
      </c>
      <c r="C20" s="1">
        <f>CEILING(C11,1)</f>
        <v>3</v>
      </c>
      <c r="D20" s="1">
        <f>C20*C3</f>
        <v>3</v>
      </c>
      <c r="E20" s="1">
        <f>C20+D20</f>
        <v>6</v>
      </c>
      <c r="U20" s="50">
        <f t="shared" si="2"/>
        <v>49.696969696969695</v>
      </c>
      <c r="V20" s="50">
        <f t="shared" si="0"/>
        <v>2.2264543783540088E-4</v>
      </c>
      <c r="W20" s="50">
        <f t="shared" si="1"/>
        <v>1.2572102811928031E-4</v>
      </c>
      <c r="Y20" s="50" t="s">
        <v>216</v>
      </c>
      <c r="Z20" s="50">
        <f>Z19</f>
        <v>200</v>
      </c>
      <c r="AA20" s="50">
        <f>AA17</f>
        <v>9.9706267351264838E-3</v>
      </c>
      <c r="AC20" s="50" t="s">
        <v>216</v>
      </c>
      <c r="AD20" s="50">
        <f>AD19</f>
        <v>227.43417843388198</v>
      </c>
      <c r="AE20" s="50">
        <f>AE17</f>
        <v>0</v>
      </c>
    </row>
    <row r="21" spans="2:31">
      <c r="U21" s="50">
        <f t="shared" si="2"/>
        <v>59.636363636363633</v>
      </c>
      <c r="V21" s="50">
        <f t="shared" si="0"/>
        <v>4.2834287111349645E-4</v>
      </c>
      <c r="W21" s="50">
        <f t="shared" si="1"/>
        <v>2.5419604341562314E-4</v>
      </c>
    </row>
    <row r="22" spans="2:31" ht="13">
      <c r="U22" s="50">
        <f t="shared" si="2"/>
        <v>69.575757575757578</v>
      </c>
      <c r="V22" s="50">
        <f t="shared" si="0"/>
        <v>7.7473628189698312E-4</v>
      </c>
      <c r="W22" s="50">
        <f t="shared" si="1"/>
        <v>4.8318590587977155E-4</v>
      </c>
      <c r="Y22" s="53" t="s">
        <v>219</v>
      </c>
      <c r="AC22" s="53" t="s">
        <v>221</v>
      </c>
    </row>
    <row r="23" spans="2:31">
      <c r="U23" s="50">
        <f t="shared" si="2"/>
        <v>79.515151515151516</v>
      </c>
      <c r="V23" s="50">
        <f t="shared" si="0"/>
        <v>1.3173490285471054E-3</v>
      </c>
      <c r="W23" s="50">
        <f t="shared" si="1"/>
        <v>8.6346420391826431E-4</v>
      </c>
      <c r="Y23" s="50" t="s">
        <v>215</v>
      </c>
      <c r="Z23" s="50" t="s">
        <v>212</v>
      </c>
      <c r="AA23" s="50" t="s">
        <v>213</v>
      </c>
      <c r="AC23" s="50" t="s">
        <v>215</v>
      </c>
      <c r="AD23" s="50" t="s">
        <v>212</v>
      </c>
      <c r="AE23" s="50" t="s">
        <v>213</v>
      </c>
    </row>
    <row r="24" spans="2:31">
      <c r="U24" s="50">
        <f t="shared" si="2"/>
        <v>89.454545454545453</v>
      </c>
      <c r="V24" s="50">
        <f t="shared" si="0"/>
        <v>2.1058742047565713E-3</v>
      </c>
      <c r="W24" s="50">
        <f t="shared" si="1"/>
        <v>1.4506379241390895E-3</v>
      </c>
      <c r="Y24" s="50" t="s">
        <v>214</v>
      </c>
      <c r="Z24" s="50">
        <f>$V$12-$W$12</f>
        <v>128</v>
      </c>
      <c r="AA24" s="50">
        <v>0</v>
      </c>
      <c r="AC24" s="50" t="s">
        <v>214</v>
      </c>
      <c r="AD24" s="50">
        <f>$V$12-$Y$12</f>
        <v>100.565821566118</v>
      </c>
      <c r="AE24" s="50">
        <v>0</v>
      </c>
    </row>
    <row r="25" spans="2:31" ht="20.25" customHeight="1">
      <c r="B25" s="43" t="s">
        <v>227</v>
      </c>
      <c r="C25" s="1">
        <f>16*C5^2/C6^2</f>
        <v>400</v>
      </c>
      <c r="D25" s="43" t="s">
        <v>228</v>
      </c>
      <c r="U25" s="50">
        <f t="shared" si="2"/>
        <v>99.393939393939391</v>
      </c>
      <c r="V25" s="50">
        <f t="shared" si="0"/>
        <v>3.164817002251043E-3</v>
      </c>
      <c r="W25" s="50">
        <f t="shared" si="1"/>
        <v>2.2911753328812823E-3</v>
      </c>
      <c r="Y25" s="50" t="s">
        <v>216</v>
      </c>
      <c r="Z25" s="50">
        <f>Z24</f>
        <v>128</v>
      </c>
      <c r="AA25" s="50">
        <f>IF(Y13,MAX($W$15:$W$47),0)</f>
        <v>9.9706267351264838E-3</v>
      </c>
      <c r="AC25" s="50" t="s">
        <v>216</v>
      </c>
      <c r="AD25" s="50">
        <f>AD24</f>
        <v>100.565821566118</v>
      </c>
      <c r="AE25" s="50">
        <f>IF(AC13,MAX($W$15:$W$47),0)</f>
        <v>0</v>
      </c>
    </row>
    <row r="26" spans="2:31">
      <c r="U26" s="50">
        <f t="shared" si="2"/>
        <v>109.33333333333333</v>
      </c>
      <c r="V26" s="50">
        <f t="shared" si="0"/>
        <v>4.4714604123635123E-3</v>
      </c>
      <c r="W26" s="50">
        <f t="shared" si="1"/>
        <v>3.4020620603069508E-3</v>
      </c>
      <c r="Y26" s="50" t="s">
        <v>217</v>
      </c>
      <c r="Z26" s="50" t="s">
        <v>212</v>
      </c>
      <c r="AA26" s="50" t="s">
        <v>213</v>
      </c>
      <c r="AC26" s="50" t="s">
        <v>217</v>
      </c>
      <c r="AD26" s="50" t="s">
        <v>212</v>
      </c>
      <c r="AE26" s="50" t="s">
        <v>213</v>
      </c>
    </row>
    <row r="27" spans="2:31">
      <c r="U27" s="50">
        <f t="shared" si="2"/>
        <v>119.27272727272727</v>
      </c>
      <c r="V27" s="50">
        <f t="shared" si="0"/>
        <v>5.9392934840752573E-3</v>
      </c>
      <c r="W27" s="50">
        <f t="shared" si="1"/>
        <v>4.749093798530557E-3</v>
      </c>
      <c r="Y27" s="50" t="s">
        <v>214</v>
      </c>
      <c r="Z27" s="50">
        <f>$V$12+$W$12</f>
        <v>208</v>
      </c>
      <c r="AA27" s="50">
        <v>0</v>
      </c>
      <c r="AC27" s="50" t="s">
        <v>214</v>
      </c>
      <c r="AD27" s="50">
        <f>$V$12+$Y$12</f>
        <v>235.43417843388198</v>
      </c>
      <c r="AE27" s="50">
        <v>0</v>
      </c>
    </row>
    <row r="28" spans="2:31">
      <c r="U28" s="50">
        <f t="shared" si="2"/>
        <v>129.21212121212122</v>
      </c>
      <c r="V28" s="50">
        <f t="shared" si="0"/>
        <v>7.4165988722577278E-3</v>
      </c>
      <c r="W28" s="50">
        <f t="shared" si="1"/>
        <v>6.2325227407400525E-3</v>
      </c>
      <c r="Y28" s="50" t="s">
        <v>216</v>
      </c>
      <c r="Z28" s="50">
        <f>Z27</f>
        <v>208</v>
      </c>
      <c r="AA28" s="50">
        <f>AA25</f>
        <v>9.9706267351264838E-3</v>
      </c>
      <c r="AC28" s="50" t="s">
        <v>216</v>
      </c>
      <c r="AD28" s="50">
        <f>AD27</f>
        <v>235.43417843388198</v>
      </c>
      <c r="AE28" s="50">
        <f>AE25</f>
        <v>0</v>
      </c>
    </row>
    <row r="29" spans="2:31">
      <c r="U29" s="50">
        <f t="shared" si="2"/>
        <v>139.15151515151516</v>
      </c>
      <c r="V29" s="50">
        <f t="shared" si="0"/>
        <v>8.7068167558675656E-3</v>
      </c>
      <c r="W29" s="50">
        <f t="shared" si="1"/>
        <v>7.6895620381677134E-3</v>
      </c>
      <c r="Y29" s="50" t="b">
        <v>1</v>
      </c>
    </row>
    <row r="30" spans="2:31" ht="13">
      <c r="U30" s="50">
        <f t="shared" si="2"/>
        <v>149.09090909090909</v>
      </c>
      <c r="V30" s="50">
        <f t="shared" si="0"/>
        <v>9.6094521114314744E-3</v>
      </c>
      <c r="W30" s="50">
        <f t="shared" si="1"/>
        <v>8.9191598458717939E-3</v>
      </c>
      <c r="Y30" s="53" t="s">
        <v>224</v>
      </c>
    </row>
    <row r="31" spans="2:31">
      <c r="U31" s="50">
        <f t="shared" si="2"/>
        <v>159.03030303030303</v>
      </c>
      <c r="V31" s="50">
        <f t="shared" si="0"/>
        <v>9.9706267351264838E-3</v>
      </c>
      <c r="W31" s="50">
        <f t="shared" si="1"/>
        <v>9.7259245972099086E-3</v>
      </c>
      <c r="Y31" s="50" t="s">
        <v>215</v>
      </c>
      <c r="Z31" s="50" t="s">
        <v>212</v>
      </c>
      <c r="AA31" s="50" t="s">
        <v>213</v>
      </c>
    </row>
    <row r="32" spans="2:31">
      <c r="U32" s="50">
        <f t="shared" si="2"/>
        <v>168.96969696969697</v>
      </c>
      <c r="V32" s="50">
        <f t="shared" si="0"/>
        <v>9.7259245972099086E-3</v>
      </c>
      <c r="W32" s="50">
        <f t="shared" si="1"/>
        <v>9.9706267351264838E-3</v>
      </c>
      <c r="Y32" s="50" t="s">
        <v>214</v>
      </c>
      <c r="Z32" s="50">
        <f>$V$12-$C$6</f>
        <v>160</v>
      </c>
      <c r="AA32" s="50">
        <v>0</v>
      </c>
    </row>
    <row r="33" spans="2:27">
      <c r="U33" s="50">
        <f t="shared" si="2"/>
        <v>178.90909090909091</v>
      </c>
      <c r="V33" s="50">
        <f t="shared" si="0"/>
        <v>8.9191598458717939E-3</v>
      </c>
      <c r="W33" s="50">
        <f t="shared" si="1"/>
        <v>9.6094521114314744E-3</v>
      </c>
      <c r="Y33" s="50" t="s">
        <v>216</v>
      </c>
      <c r="Z33" s="50">
        <f>Z32</f>
        <v>160</v>
      </c>
      <c r="AA33" s="50">
        <f>IF($Y$29,MAX($V$15:$W$47),0)</f>
        <v>9.9706267351264838E-3</v>
      </c>
    </row>
    <row r="34" spans="2:27">
      <c r="U34" s="50">
        <f t="shared" si="2"/>
        <v>188.84848484848484</v>
      </c>
      <c r="V34" s="50">
        <f t="shared" si="0"/>
        <v>7.6895620381677134E-3</v>
      </c>
      <c r="W34" s="50">
        <f t="shared" si="1"/>
        <v>8.7068167558675656E-3</v>
      </c>
      <c r="Y34" s="50" t="s">
        <v>217</v>
      </c>
      <c r="Z34" s="50" t="s">
        <v>212</v>
      </c>
      <c r="AA34" s="50" t="s">
        <v>213</v>
      </c>
    </row>
    <row r="35" spans="2:27">
      <c r="U35" s="50">
        <f t="shared" si="2"/>
        <v>198.78787878787878</v>
      </c>
      <c r="V35" s="50">
        <f t="shared" si="0"/>
        <v>6.2325227407400525E-3</v>
      </c>
      <c r="W35" s="50">
        <f t="shared" si="1"/>
        <v>7.4165988722577278E-3</v>
      </c>
      <c r="Y35" s="50" t="s">
        <v>214</v>
      </c>
      <c r="Z35" s="50">
        <f>$V$12</f>
        <v>168</v>
      </c>
      <c r="AA35" s="50">
        <v>0</v>
      </c>
    </row>
    <row r="36" spans="2:27" ht="13">
      <c r="D36" s="9" t="s">
        <v>80</v>
      </c>
      <c r="U36" s="50">
        <f t="shared" si="2"/>
        <v>208.72727272727272</v>
      </c>
      <c r="V36" s="50">
        <f t="shared" si="0"/>
        <v>4.7490937985305588E-3</v>
      </c>
      <c r="W36" s="50">
        <f t="shared" si="1"/>
        <v>5.939293484075259E-3</v>
      </c>
      <c r="Y36" s="50" t="s">
        <v>216</v>
      </c>
      <c r="Z36" s="50">
        <f>Z35</f>
        <v>168</v>
      </c>
      <c r="AA36" s="50">
        <f>AA33</f>
        <v>9.9706267351264838E-3</v>
      </c>
    </row>
    <row r="37" spans="2:27" ht="18">
      <c r="B37" s="27" t="s">
        <v>121</v>
      </c>
      <c r="U37" s="50">
        <f t="shared" si="2"/>
        <v>218.66666666666666</v>
      </c>
      <c r="V37" s="50">
        <f t="shared" si="0"/>
        <v>3.402062060306953E-3</v>
      </c>
      <c r="W37" s="50">
        <f t="shared" si="1"/>
        <v>4.4714604123635149E-3</v>
      </c>
    </row>
    <row r="38" spans="2:27">
      <c r="U38" s="50">
        <f t="shared" si="2"/>
        <v>228.60606060606059</v>
      </c>
      <c r="V38" s="50">
        <f t="shared" si="0"/>
        <v>2.2911753328812845E-3</v>
      </c>
      <c r="W38" s="50">
        <f t="shared" si="1"/>
        <v>3.164817002251043E-3</v>
      </c>
    </row>
    <row r="39" spans="2:27">
      <c r="U39" s="50">
        <f t="shared" si="2"/>
        <v>238.54545454545453</v>
      </c>
      <c r="V39" s="50">
        <f t="shared" si="0"/>
        <v>1.4506379241390902E-3</v>
      </c>
      <c r="W39" s="50">
        <f t="shared" si="1"/>
        <v>2.105874204756573E-3</v>
      </c>
    </row>
    <row r="40" spans="2:27">
      <c r="U40" s="50">
        <f t="shared" si="2"/>
        <v>248.48484848484847</v>
      </c>
      <c r="V40" s="50">
        <f t="shared" si="0"/>
        <v>8.6346420391826431E-4</v>
      </c>
      <c r="W40" s="50">
        <f t="shared" si="1"/>
        <v>1.3173490285471065E-3</v>
      </c>
    </row>
    <row r="41" spans="2:27">
      <c r="U41" s="50">
        <f t="shared" si="2"/>
        <v>258.42424242424244</v>
      </c>
      <c r="V41" s="50">
        <f t="shared" si="0"/>
        <v>4.8318590587977084E-4</v>
      </c>
      <c r="W41" s="50">
        <f t="shared" si="1"/>
        <v>7.7473628189698312E-4</v>
      </c>
    </row>
    <row r="42" spans="2:27">
      <c r="U42" s="50">
        <f t="shared" si="2"/>
        <v>268.36363636363637</v>
      </c>
      <c r="V42" s="50">
        <f t="shared" si="0"/>
        <v>2.5419604341562314E-4</v>
      </c>
      <c r="W42" s="50">
        <f t="shared" si="1"/>
        <v>4.2834287111349645E-4</v>
      </c>
    </row>
    <row r="43" spans="2:27">
      <c r="U43" s="50">
        <f t="shared" si="2"/>
        <v>278.30303030303031</v>
      </c>
      <c r="V43" s="50">
        <f t="shared" si="0"/>
        <v>1.2572102811928031E-4</v>
      </c>
      <c r="W43" s="50">
        <f t="shared" si="1"/>
        <v>2.2264543783540088E-4</v>
      </c>
    </row>
    <row r="44" spans="2:27">
      <c r="U44" s="50">
        <f t="shared" si="2"/>
        <v>288.24242424242425</v>
      </c>
      <c r="V44" s="50">
        <f t="shared" si="0"/>
        <v>5.8456346720510549E-5</v>
      </c>
      <c r="W44" s="50">
        <f t="shared" si="1"/>
        <v>1.0879793853904708E-4</v>
      </c>
    </row>
    <row r="45" spans="2:27">
      <c r="U45" s="50">
        <f t="shared" si="2"/>
        <v>298.18181818181819</v>
      </c>
      <c r="V45" s="50">
        <f t="shared" si="0"/>
        <v>2.5552890002204227E-5</v>
      </c>
      <c r="W45" s="50">
        <f t="shared" si="1"/>
        <v>4.9981828671086098E-5</v>
      </c>
    </row>
    <row r="46" spans="2:27">
      <c r="U46" s="50">
        <f t="shared" si="2"/>
        <v>308.12121212121212</v>
      </c>
      <c r="V46" s="50">
        <f t="shared" si="0"/>
        <v>1.0501056362603924E-5</v>
      </c>
      <c r="W46" s="50">
        <f t="shared" si="1"/>
        <v>2.1586797882267536E-5</v>
      </c>
    </row>
    <row r="47" spans="2:27">
      <c r="U47" s="50">
        <f t="shared" si="2"/>
        <v>318.06060606060606</v>
      </c>
      <c r="V47" s="50">
        <f t="shared" si="0"/>
        <v>4.0570518897450162E-6</v>
      </c>
      <c r="W47" s="50">
        <f t="shared" si="1"/>
        <v>8.7649394011783917E-6</v>
      </c>
    </row>
    <row r="48" spans="2:27">
      <c r="G48" s="6"/>
    </row>
    <row r="49" spans="7:7">
      <c r="G49" s="6"/>
    </row>
    <row r="50" spans="7:7">
      <c r="G50" s="6"/>
    </row>
    <row r="51" spans="7:7">
      <c r="G51" s="6"/>
    </row>
    <row r="66" spans="2:2" ht="13">
      <c r="B66" s="9" t="s">
        <v>123</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488950</xdr:colOff>
                    <xdr:row>7</xdr:row>
                    <xdr:rowOff>107950</xdr:rowOff>
                  </from>
                  <to>
                    <xdr:col>13</xdr:col>
                    <xdr:colOff>31750</xdr:colOff>
                    <xdr:row>8</xdr:row>
                    <xdr:rowOff>146050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488950</xdr:colOff>
                    <xdr:row>8</xdr:row>
                    <xdr:rowOff>146050</xdr:rowOff>
                  </from>
                  <to>
                    <xdr:col>13</xdr:col>
                    <xdr:colOff>31750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488950</xdr:colOff>
                    <xdr:row>10</xdr:row>
                    <xdr:rowOff>12700</xdr:rowOff>
                  </from>
                  <to>
                    <xdr:col>13</xdr:col>
                    <xdr:colOff>31750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68</v>
      </c>
      <c r="F1" s="9" t="s">
        <v>120</v>
      </c>
    </row>
    <row r="2" spans="2:31" ht="13.5" thickBot="1">
      <c r="B2" s="1" t="s">
        <v>1</v>
      </c>
      <c r="C2" s="2">
        <v>0.9</v>
      </c>
      <c r="D2" s="1" t="s">
        <v>21</v>
      </c>
    </row>
    <row r="3" spans="2:31" ht="13.5" thickBot="1">
      <c r="C3" s="10"/>
    </row>
    <row r="4" spans="2:31" ht="13.5" thickBot="1">
      <c r="B4" s="8" t="s">
        <v>58</v>
      </c>
      <c r="C4" s="2">
        <v>0.05</v>
      </c>
      <c r="D4" s="1" t="s">
        <v>20</v>
      </c>
    </row>
    <row r="5" spans="2:31" ht="16" thickBot="1">
      <c r="B5" s="8" t="s">
        <v>26</v>
      </c>
      <c r="C5" s="3">
        <v>20</v>
      </c>
      <c r="D5" s="1" t="s">
        <v>115</v>
      </c>
      <c r="U5" s="1" t="s">
        <v>55</v>
      </c>
    </row>
    <row r="6" spans="2:31" ht="16" thickBot="1">
      <c r="B6" s="1" t="s">
        <v>17</v>
      </c>
      <c r="C6" s="3">
        <v>10</v>
      </c>
      <c r="D6" s="1" t="s">
        <v>24</v>
      </c>
      <c r="U6" s="1">
        <v>1</v>
      </c>
    </row>
    <row r="7" spans="2:31" ht="13" thickBot="1">
      <c r="C7" s="4"/>
    </row>
    <row r="8" spans="2:31" ht="16" thickBot="1">
      <c r="B8" s="12" t="s">
        <v>117</v>
      </c>
      <c r="C8" s="11">
        <f>C6/C5</f>
        <v>0.5</v>
      </c>
    </row>
    <row r="10" spans="2:31" ht="16"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3" t="s">
        <v>205</v>
      </c>
      <c r="V12" s="29">
        <f>V11+C6</f>
        <v>90</v>
      </c>
      <c r="W12" s="1">
        <f>$C$5</f>
        <v>20</v>
      </c>
      <c r="X12" s="1">
        <f>W12/SQRT(C20)</f>
        <v>11.547005383792516</v>
      </c>
      <c r="Y12" s="1">
        <f>TINV($C$4*2,$C$20-2)*X12</f>
        <v>72.904922731880887</v>
      </c>
    </row>
    <row r="13" spans="2:31">
      <c r="B13" s="1" t="s">
        <v>13</v>
      </c>
      <c r="C13" s="1">
        <f>TINV(C4,C12)</f>
        <v>12.706204736174707</v>
      </c>
      <c r="Y13" s="1" t="b">
        <v>1</v>
      </c>
      <c r="AC13" s="1" t="b">
        <v>0</v>
      </c>
    </row>
    <row r="14" spans="2:31" ht="13">
      <c r="B14" s="1" t="s">
        <v>4</v>
      </c>
      <c r="C14" s="1">
        <f>SQRT((C11*C6^2)/(2*C10^2))</f>
        <v>0.61237243569579447</v>
      </c>
      <c r="U14" s="43" t="s">
        <v>203</v>
      </c>
      <c r="V14" s="43" t="s">
        <v>206</v>
      </c>
      <c r="W14" s="43" t="s">
        <v>207</v>
      </c>
      <c r="Y14" s="9" t="s">
        <v>218</v>
      </c>
      <c r="AC14" s="9" t="s">
        <v>220</v>
      </c>
    </row>
    <row r="15" spans="2:31">
      <c r="U15" s="1">
        <v>0</v>
      </c>
      <c r="V15" s="1">
        <f>_xlfn.NORM.DIST($U15,$V$11,$C$5,FALSE)</f>
        <v>6.6915112882442679E-6</v>
      </c>
      <c r="W15" s="1">
        <f>_xlfn.NORM.DIST($U15,$V$12,$C$5,FALSE)</f>
        <v>7.9918705534527388E-7</v>
      </c>
      <c r="Y15" s="43" t="s">
        <v>215</v>
      </c>
      <c r="Z15" s="43" t="s">
        <v>212</v>
      </c>
      <c r="AA15" s="43" t="s">
        <v>213</v>
      </c>
      <c r="AC15" s="43" t="s">
        <v>215</v>
      </c>
      <c r="AD15" s="43" t="s">
        <v>212</v>
      </c>
      <c r="AE15" s="43" t="s">
        <v>213</v>
      </c>
    </row>
    <row r="16" spans="2:31">
      <c r="U16" s="1">
        <f>U15+$AB$11</f>
        <v>5.1515151515151514</v>
      </c>
      <c r="V16" s="1">
        <f t="shared" ref="V16:V47" si="0">_xlfn.NORM.DIST($U16,$V$11,$C$5,FALSE)</f>
        <v>1.8137291925126829E-5</v>
      </c>
      <c r="W16" s="1">
        <f t="shared" ref="W16:W47" si="1">_xlfn.NORM.DIST($U16,$V$12,$C$5,FALSE)</f>
        <v>2.4639309576665516E-6</v>
      </c>
      <c r="Y16" s="43" t="s">
        <v>214</v>
      </c>
      <c r="Z16" s="1">
        <f>$V$11-$W$11</f>
        <v>60</v>
      </c>
      <c r="AA16" s="1">
        <v>0</v>
      </c>
      <c r="AC16" s="43" t="s">
        <v>214</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3" t="s">
        <v>216</v>
      </c>
      <c r="Z17" s="1">
        <f>Z16</f>
        <v>60</v>
      </c>
      <c r="AA17" s="1">
        <f>IF(Y13,MAX($V$15:$V$47),0)</f>
        <v>1.980111566953164E-2</v>
      </c>
      <c r="AC17" s="43" t="s">
        <v>216</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3" t="s">
        <v>217</v>
      </c>
      <c r="Z18" s="43" t="s">
        <v>212</v>
      </c>
      <c r="AA18" s="43" t="s">
        <v>213</v>
      </c>
      <c r="AC18" s="43" t="s">
        <v>217</v>
      </c>
      <c r="AD18" s="43" t="s">
        <v>212</v>
      </c>
      <c r="AE18" s="43" t="s">
        <v>213</v>
      </c>
    </row>
    <row r="19" spans="2:31" ht="13">
      <c r="C19" s="9"/>
      <c r="D19" s="9"/>
      <c r="U19" s="1">
        <f t="shared" si="2"/>
        <v>20.606060606060606</v>
      </c>
      <c r="V19" s="1">
        <f t="shared" si="0"/>
        <v>2.4256984882431001E-4</v>
      </c>
      <c r="W19" s="1">
        <f t="shared" si="1"/>
        <v>4.8494055355597541E-5</v>
      </c>
      <c r="Y19" s="43" t="s">
        <v>214</v>
      </c>
      <c r="Z19" s="1">
        <f>$V$11+$W$11</f>
        <v>100</v>
      </c>
      <c r="AA19" s="1">
        <v>0</v>
      </c>
      <c r="AC19" s="43" t="s">
        <v>214</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3" t="s">
        <v>216</v>
      </c>
      <c r="Z20" s="1">
        <f>Z19</f>
        <v>100</v>
      </c>
      <c r="AA20" s="1">
        <f>AA17</f>
        <v>1.980111566953164E-2</v>
      </c>
      <c r="AC20" s="43" t="s">
        <v>216</v>
      </c>
      <c r="AD20" s="1">
        <f>AD19</f>
        <v>152.9049227318809</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219</v>
      </c>
      <c r="AC22" s="9" t="s">
        <v>221</v>
      </c>
    </row>
    <row r="23" spans="2:31">
      <c r="U23" s="1">
        <f t="shared" si="2"/>
        <v>41.212121212121211</v>
      </c>
      <c r="V23" s="1">
        <f t="shared" si="0"/>
        <v>3.0418322453447957E-3</v>
      </c>
      <c r="W23" s="1">
        <f t="shared" si="1"/>
        <v>1.0179217781743333E-3</v>
      </c>
      <c r="Y23" s="43" t="s">
        <v>215</v>
      </c>
      <c r="Z23" s="43" t="s">
        <v>212</v>
      </c>
      <c r="AA23" s="43" t="s">
        <v>213</v>
      </c>
      <c r="AC23" s="43" t="s">
        <v>215</v>
      </c>
      <c r="AD23" s="43" t="s">
        <v>212</v>
      </c>
      <c r="AE23" s="43" t="s">
        <v>213</v>
      </c>
    </row>
    <row r="24" spans="2:31">
      <c r="U24" s="1">
        <f t="shared" si="2"/>
        <v>46.36363636363636</v>
      </c>
      <c r="V24" s="1">
        <f t="shared" si="0"/>
        <v>4.8492704641696274E-3</v>
      </c>
      <c r="W24" s="1">
        <f t="shared" si="1"/>
        <v>1.8458118041464293E-3</v>
      </c>
      <c r="Y24" s="43" t="s">
        <v>214</v>
      </c>
      <c r="Z24" s="1">
        <f>$V$12-$W$12</f>
        <v>70</v>
      </c>
      <c r="AA24" s="1">
        <v>0</v>
      </c>
      <c r="AC24" s="43" t="s">
        <v>214</v>
      </c>
      <c r="AD24" s="1">
        <f>$V$12-$Y$12</f>
        <v>17.095077268119113</v>
      </c>
      <c r="AE24" s="1">
        <v>0</v>
      </c>
    </row>
    <row r="25" spans="2:31">
      <c r="U25" s="1">
        <f t="shared" si="2"/>
        <v>51.515151515151508</v>
      </c>
      <c r="V25" s="1">
        <f t="shared" si="0"/>
        <v>7.2344275216876253E-3</v>
      </c>
      <c r="W25" s="1">
        <f t="shared" si="1"/>
        <v>3.1321824144568463E-3</v>
      </c>
      <c r="Y25" s="43" t="s">
        <v>216</v>
      </c>
      <c r="Z25" s="1">
        <f>Z24</f>
        <v>70</v>
      </c>
      <c r="AA25" s="1">
        <f>IF(Y13,MAX($W$15:$W$47),0)</f>
        <v>1.980111566953164E-2</v>
      </c>
      <c r="AC25" s="43" t="s">
        <v>216</v>
      </c>
      <c r="AD25" s="1">
        <f>AD24</f>
        <v>17.095077268119113</v>
      </c>
      <c r="AE25" s="1">
        <f>IF(AC13,MAX($W$15:$W$47),0)</f>
        <v>0</v>
      </c>
    </row>
    <row r="26" spans="2:31">
      <c r="U26" s="1">
        <f t="shared" si="2"/>
        <v>56.666666666666657</v>
      </c>
      <c r="V26" s="1">
        <f t="shared" si="0"/>
        <v>1.0099934277702938E-2</v>
      </c>
      <c r="W26" s="1">
        <f t="shared" si="1"/>
        <v>4.97385693963743E-3</v>
      </c>
      <c r="Y26" s="43" t="s">
        <v>217</v>
      </c>
      <c r="Z26" s="43" t="s">
        <v>212</v>
      </c>
      <c r="AA26" s="43" t="s">
        <v>213</v>
      </c>
      <c r="AC26" s="43" t="s">
        <v>217</v>
      </c>
      <c r="AD26" s="43" t="s">
        <v>212</v>
      </c>
      <c r="AE26" s="43" t="s">
        <v>213</v>
      </c>
    </row>
    <row r="27" spans="2:31" ht="20.25" customHeight="1">
      <c r="U27" s="1">
        <f t="shared" si="2"/>
        <v>61.818181818181806</v>
      </c>
      <c r="V27" s="1">
        <f t="shared" si="0"/>
        <v>1.3195308262186492E-2</v>
      </c>
      <c r="W27" s="1">
        <f t="shared" si="1"/>
        <v>7.391390501822824E-3</v>
      </c>
      <c r="Y27" s="43" t="s">
        <v>214</v>
      </c>
      <c r="Z27" s="1">
        <f>$V$12+$W$12</f>
        <v>110</v>
      </c>
      <c r="AA27" s="1">
        <v>0</v>
      </c>
      <c r="AC27" s="43" t="s">
        <v>214</v>
      </c>
      <c r="AD27" s="1">
        <f>$V$12+$Y$12</f>
        <v>162.9049227318809</v>
      </c>
      <c r="AE27" s="1">
        <v>0</v>
      </c>
    </row>
    <row r="28" spans="2:31">
      <c r="U28" s="1">
        <f t="shared" si="2"/>
        <v>66.969696969696955</v>
      </c>
      <c r="V28" s="1">
        <f t="shared" si="0"/>
        <v>1.6132703352552596E-2</v>
      </c>
      <c r="W28" s="1">
        <f t="shared" si="1"/>
        <v>1.0278875841821104E-2</v>
      </c>
      <c r="Y28" s="43" t="s">
        <v>216</v>
      </c>
      <c r="Z28" s="1">
        <f>Z27</f>
        <v>110</v>
      </c>
      <c r="AA28" s="1">
        <f>AA25</f>
        <v>1.980111566953164E-2</v>
      </c>
      <c r="AC28" s="43" t="s">
        <v>216</v>
      </c>
      <c r="AD28" s="1">
        <f>AD27</f>
        <v>162.9049227318809</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224</v>
      </c>
    </row>
    <row r="31" spans="2:31">
      <c r="U31" s="1">
        <f t="shared" si="2"/>
        <v>82.424242424242422</v>
      </c>
      <c r="V31" s="1">
        <f t="shared" si="0"/>
        <v>1.980111566953164E-2</v>
      </c>
      <c r="W31" s="1">
        <f t="shared" si="1"/>
        <v>1.8566230084060359E-2</v>
      </c>
      <c r="Y31" s="43" t="s">
        <v>215</v>
      </c>
      <c r="Z31" s="43" t="s">
        <v>212</v>
      </c>
      <c r="AA31" s="43" t="s">
        <v>213</v>
      </c>
    </row>
    <row r="32" spans="2:31">
      <c r="U32" s="1">
        <f t="shared" si="2"/>
        <v>87.575757575757578</v>
      </c>
      <c r="V32" s="1">
        <f t="shared" si="0"/>
        <v>1.8566230084060359E-2</v>
      </c>
      <c r="W32" s="1">
        <f t="shared" si="1"/>
        <v>1.980111566953164E-2</v>
      </c>
      <c r="Y32" s="43" t="s">
        <v>214</v>
      </c>
      <c r="Z32" s="1">
        <f>V11</f>
        <v>80</v>
      </c>
      <c r="AA32" s="1">
        <v>0</v>
      </c>
    </row>
    <row r="33" spans="2:27">
      <c r="U33" s="1">
        <f t="shared" si="2"/>
        <v>92.727272727272734</v>
      </c>
      <c r="V33" s="1">
        <f t="shared" si="0"/>
        <v>1.62908749718845E-2</v>
      </c>
      <c r="W33" s="1">
        <f t="shared" si="1"/>
        <v>1.9762514802646215E-2</v>
      </c>
      <c r="Y33" s="43" t="s">
        <v>216</v>
      </c>
      <c r="Z33" s="1">
        <f>Z32</f>
        <v>80</v>
      </c>
      <c r="AA33" s="1">
        <f>IF($Y$29,MAX($V$15:$W$47),0)</f>
        <v>1.980111566953164E-2</v>
      </c>
    </row>
    <row r="34" spans="2:27" ht="18">
      <c r="B34" s="27" t="s">
        <v>121</v>
      </c>
      <c r="D34" s="9" t="s">
        <v>80</v>
      </c>
      <c r="U34" s="1">
        <f t="shared" si="2"/>
        <v>97.87878787878789</v>
      </c>
      <c r="V34" s="1">
        <f t="shared" si="0"/>
        <v>1.3376783801223832E-2</v>
      </c>
      <c r="W34" s="1">
        <f t="shared" si="1"/>
        <v>1.8457860980984869E-2</v>
      </c>
      <c r="Y34" s="43" t="s">
        <v>217</v>
      </c>
      <c r="Z34" s="43" t="s">
        <v>212</v>
      </c>
      <c r="AA34" s="43" t="s">
        <v>213</v>
      </c>
    </row>
    <row r="35" spans="2:27">
      <c r="U35" s="1">
        <f t="shared" si="2"/>
        <v>103.03030303030305</v>
      </c>
      <c r="V35" s="1">
        <f t="shared" si="0"/>
        <v>1.0278875841821104E-2</v>
      </c>
      <c r="W35" s="1">
        <f t="shared" si="1"/>
        <v>1.6132703352552596E-2</v>
      </c>
      <c r="Y35" s="43" t="s">
        <v>214</v>
      </c>
      <c r="Z35" s="1">
        <f>V12</f>
        <v>90</v>
      </c>
      <c r="AA35" s="1">
        <v>0</v>
      </c>
    </row>
    <row r="36" spans="2:27">
      <c r="U36" s="1">
        <f t="shared" si="2"/>
        <v>108.1818181818182</v>
      </c>
      <c r="V36" s="1">
        <f t="shared" si="0"/>
        <v>7.3913905018228197E-3</v>
      </c>
      <c r="W36" s="1">
        <f t="shared" si="1"/>
        <v>1.3195308262186491E-2</v>
      </c>
      <c r="Y36" s="43" t="s">
        <v>216</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123</v>
      </c>
      <c r="U45" s="1">
        <f t="shared" si="2"/>
        <v>154.54545454545459</v>
      </c>
      <c r="V45" s="1">
        <f t="shared" si="0"/>
        <v>1.919325201047218E-5</v>
      </c>
      <c r="W45" s="1">
        <f t="shared" si="1"/>
        <v>1.092015353404756E-4</v>
      </c>
    </row>
    <row r="46" spans="2:27" ht="13">
      <c r="B46" s="9" t="s">
        <v>122</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565150</xdr:colOff>
                    <xdr:row>7</xdr:row>
                    <xdr:rowOff>31750</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565150</xdr:colOff>
                    <xdr:row>8</xdr:row>
                    <xdr:rowOff>38100</xdr:rowOff>
                  </from>
                  <to>
                    <xdr:col>12</xdr:col>
                    <xdr:colOff>76200</xdr:colOff>
                    <xdr:row>9</xdr:row>
                    <xdr:rowOff>107950</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565150</xdr:colOff>
                    <xdr:row>9</xdr:row>
                    <xdr:rowOff>107950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69</v>
      </c>
      <c r="E1" s="9" t="s">
        <v>120</v>
      </c>
    </row>
    <row r="2" spans="2:31" ht="13.5" thickBot="1">
      <c r="B2" s="1" t="s">
        <v>1</v>
      </c>
      <c r="C2" s="2">
        <v>0.9</v>
      </c>
      <c r="D2" s="1" t="s">
        <v>21</v>
      </c>
    </row>
    <row r="3" spans="2:31" ht="16"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 thickBot="1">
      <c r="B6" s="1" t="s">
        <v>17</v>
      </c>
      <c r="C6" s="3">
        <v>10</v>
      </c>
      <c r="D6" s="1" t="s">
        <v>28</v>
      </c>
      <c r="U6" s="1">
        <v>2</v>
      </c>
    </row>
    <row r="7" spans="2:31" ht="16" thickBot="1">
      <c r="B7" s="12" t="s">
        <v>5</v>
      </c>
      <c r="C7" s="3">
        <v>0</v>
      </c>
      <c r="D7" s="1" t="s">
        <v>56</v>
      </c>
      <c r="AC7" s="47" t="s">
        <v>229</v>
      </c>
    </row>
    <row r="8" spans="2:31" ht="13" thickBot="1">
      <c r="B8" s="12" t="s">
        <v>116</v>
      </c>
      <c r="C8" s="11">
        <f>C6/C5</f>
        <v>0.2</v>
      </c>
    </row>
    <row r="10" spans="2:31" ht="13" thickBot="1">
      <c r="B10" s="8" t="s">
        <v>18</v>
      </c>
      <c r="C10" s="1">
        <f>C5</f>
        <v>50</v>
      </c>
      <c r="V10" s="43" t="s">
        <v>210</v>
      </c>
      <c r="W10" s="43" t="s">
        <v>208</v>
      </c>
      <c r="X10" s="43" t="s">
        <v>211</v>
      </c>
      <c r="Y10" s="43" t="s">
        <v>209</v>
      </c>
      <c r="AA10" s="43" t="s">
        <v>222</v>
      </c>
      <c r="AB10" s="43" t="s">
        <v>223</v>
      </c>
    </row>
    <row r="11" spans="2:31" ht="13.5" thickBot="1">
      <c r="B11" s="1" t="s">
        <v>16</v>
      </c>
      <c r="C11" s="7">
        <v>3</v>
      </c>
      <c r="U11" s="43" t="s">
        <v>204</v>
      </c>
      <c r="V11" s="29">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3" t="s">
        <v>205</v>
      </c>
      <c r="V12" s="29">
        <f>V11+C7</f>
        <v>200</v>
      </c>
      <c r="W12" s="1">
        <f>$C$5</f>
        <v>50</v>
      </c>
      <c r="X12" s="1">
        <f>W12/SQRT(C20)</f>
        <v>28.867513459481291</v>
      </c>
      <c r="Y12" s="1">
        <f>TINV($C$4*2,$C$20-2)*X12</f>
        <v>366.79653624044829</v>
      </c>
    </row>
    <row r="13" spans="2:31">
      <c r="B13" s="1" t="s">
        <v>27</v>
      </c>
      <c r="C13" s="1">
        <f>TINV(C4*2,C12)</f>
        <v>2.7764451051977934</v>
      </c>
      <c r="Y13" s="1" t="b">
        <v>1</v>
      </c>
      <c r="AC13" s="1" t="b">
        <v>0</v>
      </c>
    </row>
    <row r="14" spans="2:31" ht="13">
      <c r="B14" s="1" t="s">
        <v>3</v>
      </c>
      <c r="C14" s="1">
        <f>(C7-C6)*SQRT(C3*C11)/SQRT((C3+1)*C10^2)</f>
        <v>-0.24494897427831777</v>
      </c>
      <c r="U14" s="43" t="s">
        <v>203</v>
      </c>
      <c r="V14" s="43" t="s">
        <v>206</v>
      </c>
      <c r="W14" s="43" t="s">
        <v>207</v>
      </c>
      <c r="Y14" s="9" t="s">
        <v>218</v>
      </c>
      <c r="AC14" s="9" t="s">
        <v>220</v>
      </c>
    </row>
    <row r="15" spans="2:31">
      <c r="B15" s="1" t="s">
        <v>4</v>
      </c>
      <c r="C15" s="1">
        <f>(C7+C6)*SQRT(C3*C11)/SQRT((C3+1)*C10^2)</f>
        <v>0.24494897427831777</v>
      </c>
      <c r="U15" s="1">
        <v>0</v>
      </c>
      <c r="V15" s="1">
        <f>_xlfn.NORM.DIST($U15,$V$11,$C$5,FALSE)</f>
        <v>2.6766045152977074E-6</v>
      </c>
      <c r="W15" s="1">
        <f>_xlfn.NORM.DIST($U15,$V$12,$C$5,FALSE)</f>
        <v>2.6766045152977074E-6</v>
      </c>
      <c r="Y15" s="43" t="s">
        <v>215</v>
      </c>
      <c r="Z15" s="43" t="s">
        <v>212</v>
      </c>
      <c r="AA15" s="43" t="s">
        <v>213</v>
      </c>
      <c r="AC15" s="43" t="s">
        <v>215</v>
      </c>
      <c r="AD15" s="43" t="s">
        <v>212</v>
      </c>
      <c r="AE15" s="43" t="s">
        <v>213</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3" t="s">
        <v>214</v>
      </c>
      <c r="Z16" s="1">
        <f>$V$11-$W$11</f>
        <v>150</v>
      </c>
      <c r="AA16" s="1">
        <v>0</v>
      </c>
      <c r="AC16" s="43" t="s">
        <v>214</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3" t="s">
        <v>216</v>
      </c>
      <c r="Z17" s="1">
        <f>Z16</f>
        <v>150</v>
      </c>
      <c r="AA17" s="1">
        <f>IF(Y13,MAX($V$15:$V$47),0)</f>
        <v>7.9204462678126551E-3</v>
      </c>
      <c r="AC17" s="43" t="s">
        <v>216</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3" t="s">
        <v>217</v>
      </c>
      <c r="Z18" s="43" t="s">
        <v>212</v>
      </c>
      <c r="AA18" s="43" t="s">
        <v>213</v>
      </c>
      <c r="AC18" s="43" t="s">
        <v>217</v>
      </c>
      <c r="AD18" s="43" t="s">
        <v>212</v>
      </c>
      <c r="AE18" s="43" t="s">
        <v>213</v>
      </c>
    </row>
    <row r="19" spans="2:31" ht="15">
      <c r="C19" s="16" t="s">
        <v>62</v>
      </c>
      <c r="D19" s="16" t="s">
        <v>63</v>
      </c>
      <c r="E19" s="16" t="s">
        <v>65</v>
      </c>
      <c r="U19" s="1">
        <f t="shared" si="2"/>
        <v>48.484848484848484</v>
      </c>
      <c r="V19" s="1">
        <f t="shared" si="0"/>
        <v>8.0897327717729644E-5</v>
      </c>
      <c r="W19" s="1">
        <f t="shared" si="1"/>
        <v>8.0897327717729644E-5</v>
      </c>
      <c r="Y19" s="43" t="s">
        <v>214</v>
      </c>
      <c r="Z19" s="1">
        <f>$V$11+$W$11</f>
        <v>250</v>
      </c>
      <c r="AA19" s="1">
        <v>0</v>
      </c>
      <c r="AC19" s="43" t="s">
        <v>214</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3" t="s">
        <v>216</v>
      </c>
      <c r="Z20" s="1">
        <f>Z19</f>
        <v>250</v>
      </c>
      <c r="AA20" s="1">
        <f>AA17</f>
        <v>7.9204462678126551E-3</v>
      </c>
      <c r="AC20" s="43" t="s">
        <v>216</v>
      </c>
      <c r="AD20" s="1">
        <f>AD19</f>
        <v>566.79653624044829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219</v>
      </c>
      <c r="AC22" s="9" t="s">
        <v>221</v>
      </c>
    </row>
    <row r="23" spans="2:31">
      <c r="U23" s="1">
        <f t="shared" si="2"/>
        <v>96.969696969696983</v>
      </c>
      <c r="V23" s="1">
        <f t="shared" si="0"/>
        <v>9.5479852613707073E-4</v>
      </c>
      <c r="W23" s="1">
        <f t="shared" si="1"/>
        <v>9.5479852613707073E-4</v>
      </c>
      <c r="Y23" s="43" t="s">
        <v>215</v>
      </c>
      <c r="Z23" s="43" t="s">
        <v>212</v>
      </c>
      <c r="AA23" s="43" t="s">
        <v>213</v>
      </c>
      <c r="AC23" s="43" t="s">
        <v>215</v>
      </c>
      <c r="AD23" s="43" t="s">
        <v>212</v>
      </c>
      <c r="AE23" s="43" t="s">
        <v>213</v>
      </c>
    </row>
    <row r="24" spans="2:31">
      <c r="U24" s="1">
        <f t="shared" si="2"/>
        <v>109.09090909090911</v>
      </c>
      <c r="V24" s="1">
        <f t="shared" si="0"/>
        <v>1.5279105957013359E-3</v>
      </c>
      <c r="W24" s="1">
        <f t="shared" si="1"/>
        <v>1.5279105957013359E-3</v>
      </c>
      <c r="Y24" s="43" t="s">
        <v>214</v>
      </c>
      <c r="Z24" s="1">
        <f>$V$12-$W$12</f>
        <v>150</v>
      </c>
      <c r="AA24" s="1">
        <v>0</v>
      </c>
      <c r="AC24" s="43" t="s">
        <v>214</v>
      </c>
      <c r="AD24" s="1">
        <f>$V$12-$Y$12</f>
        <v>-166.79653624044829</v>
      </c>
      <c r="AE24" s="1">
        <v>0</v>
      </c>
    </row>
    <row r="25" spans="2:31">
      <c r="U25" s="1">
        <f t="shared" si="2"/>
        <v>121.21212121212123</v>
      </c>
      <c r="V25" s="1">
        <f t="shared" si="0"/>
        <v>2.3054774036885169E-3</v>
      </c>
      <c r="W25" s="1">
        <f t="shared" si="1"/>
        <v>2.3054774036885169E-3</v>
      </c>
      <c r="Y25" s="43" t="s">
        <v>216</v>
      </c>
      <c r="Z25" s="1">
        <f>Z24</f>
        <v>150</v>
      </c>
      <c r="AA25" s="1">
        <f>IF(Y13,MAX($W$15:$W$47),0)</f>
        <v>7.9204462678126551E-3</v>
      </c>
      <c r="AC25" s="43" t="s">
        <v>216</v>
      </c>
      <c r="AD25" s="1">
        <f>AD24</f>
        <v>-166.79653624044829</v>
      </c>
      <c r="AE25" s="1">
        <f>IF(AC13,MAX($W$15:$W$47),0)</f>
        <v>0</v>
      </c>
    </row>
    <row r="26" spans="2:31">
      <c r="U26" s="1">
        <f t="shared" si="2"/>
        <v>133.33333333333334</v>
      </c>
      <c r="V26" s="1">
        <f t="shared" si="0"/>
        <v>3.2802014935198738E-3</v>
      </c>
      <c r="W26" s="1">
        <f t="shared" si="1"/>
        <v>3.2802014935198738E-3</v>
      </c>
      <c r="Y26" s="43" t="s">
        <v>217</v>
      </c>
      <c r="Z26" s="43" t="s">
        <v>212</v>
      </c>
      <c r="AA26" s="43" t="s">
        <v>213</v>
      </c>
      <c r="AC26" s="43" t="s">
        <v>217</v>
      </c>
      <c r="AD26" s="43" t="s">
        <v>212</v>
      </c>
      <c r="AE26" s="43" t="s">
        <v>213</v>
      </c>
    </row>
    <row r="27" spans="2:31" ht="20.25" customHeight="1">
      <c r="U27" s="1">
        <f t="shared" si="2"/>
        <v>145.45454545454547</v>
      </c>
      <c r="V27" s="1">
        <f t="shared" si="0"/>
        <v>4.4006507073998157E-3</v>
      </c>
      <c r="W27" s="1">
        <f t="shared" si="1"/>
        <v>4.4006507073998157E-3</v>
      </c>
      <c r="Y27" s="43" t="s">
        <v>214</v>
      </c>
      <c r="Z27" s="1">
        <f>$V$12+$W$12</f>
        <v>250</v>
      </c>
      <c r="AA27" s="1">
        <v>0</v>
      </c>
      <c r="AC27" s="43" t="s">
        <v>214</v>
      </c>
      <c r="AD27" s="1">
        <f>$V$12+$Y$12</f>
        <v>566.79653624044829</v>
      </c>
      <c r="AE27" s="1">
        <v>0</v>
      </c>
    </row>
    <row r="28" spans="2:31" ht="20.25" customHeight="1">
      <c r="U28" s="1">
        <f t="shared" si="2"/>
        <v>157.57575757575759</v>
      </c>
      <c r="V28" s="1">
        <f t="shared" si="0"/>
        <v>5.5668561622342575E-3</v>
      </c>
      <c r="W28" s="1">
        <f t="shared" si="1"/>
        <v>5.5668561622342575E-3</v>
      </c>
      <c r="Y28" s="43" t="s">
        <v>216</v>
      </c>
      <c r="Z28" s="1">
        <f>Z27</f>
        <v>250</v>
      </c>
      <c r="AA28" s="1">
        <f>AA25</f>
        <v>7.9204462678126551E-3</v>
      </c>
      <c r="AC28" s="43" t="s">
        <v>216</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224</v>
      </c>
      <c r="AC30" s="46"/>
    </row>
    <row r="31" spans="2:31" ht="20.25" customHeight="1">
      <c r="U31" s="1">
        <f t="shared" si="2"/>
        <v>193.93939393939397</v>
      </c>
      <c r="V31" s="1">
        <f t="shared" si="0"/>
        <v>7.9204462678126551E-3</v>
      </c>
      <c r="W31" s="1">
        <f t="shared" si="1"/>
        <v>7.9204462678126551E-3</v>
      </c>
      <c r="Y31" s="43" t="s">
        <v>215</v>
      </c>
      <c r="Z31" s="43" t="s">
        <v>212</v>
      </c>
      <c r="AA31" s="43" t="s">
        <v>213</v>
      </c>
      <c r="AC31" s="43"/>
      <c r="AD31" s="43"/>
      <c r="AE31" s="43"/>
    </row>
    <row r="32" spans="2:31" ht="20.25" customHeight="1">
      <c r="U32" s="1">
        <f t="shared" si="2"/>
        <v>206.06060606060609</v>
      </c>
      <c r="V32" s="1">
        <f t="shared" si="0"/>
        <v>7.9204462678126551E-3</v>
      </c>
      <c r="W32" s="1">
        <f t="shared" si="1"/>
        <v>7.9204462678126551E-3</v>
      </c>
      <c r="Y32" s="43" t="s">
        <v>214</v>
      </c>
      <c r="Z32" s="1">
        <f>AVERAGE($V$11,$V$12)-($C$6/2)</f>
        <v>195</v>
      </c>
      <c r="AA32" s="1">
        <v>0</v>
      </c>
      <c r="AC32" s="43"/>
    </row>
    <row r="33" spans="2:31" ht="20.25" customHeight="1">
      <c r="U33" s="1">
        <f t="shared" si="2"/>
        <v>218.18181818181822</v>
      </c>
      <c r="V33" s="1">
        <f t="shared" si="0"/>
        <v>7.4683794750795745E-3</v>
      </c>
      <c r="W33" s="1">
        <f t="shared" si="1"/>
        <v>7.4683794750795745E-3</v>
      </c>
      <c r="Y33" s="43" t="s">
        <v>216</v>
      </c>
      <c r="Z33" s="1">
        <f>Z32</f>
        <v>195</v>
      </c>
      <c r="AA33" s="1">
        <f>IF($Y$29,MAX($V$15:$W$47),0)</f>
        <v>7.9204462678126551E-3</v>
      </c>
      <c r="AC33" s="43"/>
    </row>
    <row r="34" spans="2:31" ht="20.25" customHeight="1">
      <c r="U34" s="1">
        <f t="shared" si="2"/>
        <v>230.30303030303034</v>
      </c>
      <c r="V34" s="1">
        <f t="shared" si="0"/>
        <v>6.6401795995001634E-3</v>
      </c>
      <c r="W34" s="1">
        <f t="shared" si="1"/>
        <v>6.6401795995001634E-3</v>
      </c>
      <c r="Y34" s="43" t="s">
        <v>217</v>
      </c>
      <c r="Z34" s="43" t="s">
        <v>212</v>
      </c>
      <c r="AA34" s="43" t="s">
        <v>213</v>
      </c>
      <c r="AC34" s="43"/>
      <c r="AD34" s="43"/>
      <c r="AE34" s="43"/>
    </row>
    <row r="35" spans="2:31" ht="20.25" customHeight="1">
      <c r="U35" s="1">
        <f t="shared" si="2"/>
        <v>242.42424242424246</v>
      </c>
      <c r="V35" s="1">
        <f t="shared" si="0"/>
        <v>5.5668561622342523E-3</v>
      </c>
      <c r="W35" s="1">
        <f t="shared" si="1"/>
        <v>5.5668561622342523E-3</v>
      </c>
      <c r="Y35" s="43" t="s">
        <v>214</v>
      </c>
      <c r="Z35" s="1">
        <f>AVERAGE($V$11,$V$12)+($C$6/2)</f>
        <v>205</v>
      </c>
      <c r="AA35" s="1">
        <v>0</v>
      </c>
      <c r="AC35" s="43"/>
    </row>
    <row r="36" spans="2:31" ht="20.25" customHeight="1">
      <c r="U36" s="1">
        <f t="shared" si="2"/>
        <v>254.54545454545459</v>
      </c>
      <c r="V36" s="1">
        <f t="shared" si="0"/>
        <v>4.4006507073998096E-3</v>
      </c>
      <c r="W36" s="1">
        <f t="shared" si="1"/>
        <v>4.4006507073998096E-3</v>
      </c>
      <c r="Y36" s="43" t="s">
        <v>216</v>
      </c>
      <c r="Z36" s="1">
        <f>Z35</f>
        <v>205</v>
      </c>
      <c r="AA36" s="1">
        <f>AA33</f>
        <v>7.9204462678126551E-3</v>
      </c>
      <c r="AC36" s="43"/>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7" t="s">
        <v>121</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336550</xdr:colOff>
                    <xdr:row>8</xdr:row>
                    <xdr:rowOff>114300</xdr:rowOff>
                  </from>
                  <to>
                    <xdr:col>12</xdr:col>
                    <xdr:colOff>488950</xdr:colOff>
                    <xdr:row>9</xdr:row>
                    <xdr:rowOff>184150</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336550</xdr:colOff>
                    <xdr:row>9</xdr:row>
                    <xdr:rowOff>184150</xdr:rowOff>
                  </from>
                  <to>
                    <xdr:col>12</xdr:col>
                    <xdr:colOff>488950</xdr:colOff>
                    <xdr:row>11</xdr:row>
                    <xdr:rowOff>31750</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336550</xdr:colOff>
                    <xdr:row>11</xdr:row>
                    <xdr:rowOff>31750</xdr:rowOff>
                  </from>
                  <to>
                    <xdr:col>12</xdr:col>
                    <xdr:colOff>488950</xdr:colOff>
                    <xdr:row>12</xdr:row>
                    <xdr:rowOff>69850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F1" s="9" t="s">
        <v>120</v>
      </c>
    </row>
    <row r="2" spans="2:31" ht="13.5" thickBot="1">
      <c r="B2" s="1" t="s">
        <v>1</v>
      </c>
      <c r="C2" s="2">
        <v>0.9</v>
      </c>
      <c r="D2" s="1" t="s">
        <v>21</v>
      </c>
    </row>
    <row r="3" spans="2:31" ht="13.5" thickBot="1">
      <c r="C3" s="10"/>
    </row>
    <row r="4" spans="2:31" ht="13.5" thickBot="1">
      <c r="B4" s="8" t="s">
        <v>58</v>
      </c>
      <c r="C4" s="13">
        <v>2.5000000000000001E-2</v>
      </c>
      <c r="D4" s="1" t="s">
        <v>64</v>
      </c>
    </row>
    <row r="5" spans="2:31" ht="16" thickBot="1">
      <c r="B5" s="8" t="s">
        <v>26</v>
      </c>
      <c r="C5" s="3">
        <v>20</v>
      </c>
      <c r="D5" s="1" t="s">
        <v>30</v>
      </c>
      <c r="U5" s="1" t="s">
        <v>55</v>
      </c>
    </row>
    <row r="6" spans="2:31" ht="16" thickBot="1">
      <c r="B6" s="1" t="s">
        <v>17</v>
      </c>
      <c r="C6" s="3">
        <v>10</v>
      </c>
      <c r="D6" s="1" t="s">
        <v>28</v>
      </c>
      <c r="U6" s="1">
        <v>1</v>
      </c>
    </row>
    <row r="7" spans="2:31" ht="16" thickBot="1">
      <c r="B7" s="12" t="s">
        <v>5</v>
      </c>
      <c r="C7" s="3">
        <v>2</v>
      </c>
      <c r="D7" s="1" t="s">
        <v>56</v>
      </c>
      <c r="I7" s="9" t="str">
        <f>IF(C7&gt;=C6,"WARNING: Expected mean difference higher than maximum allowable difference.","")</f>
        <v/>
      </c>
    </row>
    <row r="8" spans="2:31" ht="16" thickBot="1">
      <c r="B8" s="12" t="s">
        <v>117</v>
      </c>
      <c r="C8" s="11">
        <f>C6/C10</f>
        <v>0.5</v>
      </c>
    </row>
    <row r="10" spans="2:31" ht="16"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205</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ht="13">
      <c r="B14" s="1" t="s">
        <v>3</v>
      </c>
      <c r="C14" s="1">
        <f>(C7-C6)*SQRT(C11)/SQRT(2*C10^2)</f>
        <v>-0.4898979485566356</v>
      </c>
      <c r="U14" s="43" t="s">
        <v>203</v>
      </c>
      <c r="V14" s="43" t="s">
        <v>206</v>
      </c>
      <c r="W14" s="43" t="s">
        <v>207</v>
      </c>
      <c r="Y14" s="9" t="s">
        <v>218</v>
      </c>
      <c r="AC14" s="9" t="s">
        <v>220</v>
      </c>
    </row>
    <row r="15" spans="2:31">
      <c r="B15" s="1" t="s">
        <v>4</v>
      </c>
      <c r="C15" s="1">
        <f>(C7+C6)*SQRT(C11)/SQRT(2*C10^2)</f>
        <v>0.73484692283495345</v>
      </c>
      <c r="U15" s="1">
        <v>0</v>
      </c>
      <c r="V15" s="1">
        <f>_xlfn.NORM.DIST($U15,$V$11,$C$5,FALSE)</f>
        <v>6.6915112882442679E-6</v>
      </c>
      <c r="W15" s="1">
        <f>_xlfn.NORM.DIST($U15,$V$12,$C$5,FALSE)</f>
        <v>4.4630828588566459E-6</v>
      </c>
      <c r="Y15" s="43" t="s">
        <v>215</v>
      </c>
      <c r="Z15" s="43" t="s">
        <v>212</v>
      </c>
      <c r="AA15" s="43" t="s">
        <v>213</v>
      </c>
      <c r="AC15" s="43" t="s">
        <v>215</v>
      </c>
      <c r="AD15" s="43" t="s">
        <v>212</v>
      </c>
      <c r="AE15" s="43" t="s">
        <v>213</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214</v>
      </c>
      <c r="Z16" s="1">
        <f>$V$11-$W$11</f>
        <v>60</v>
      </c>
      <c r="AA16" s="1">
        <v>0</v>
      </c>
      <c r="AC16" s="43" t="s">
        <v>214</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216</v>
      </c>
      <c r="Z17" s="1">
        <f>Z16</f>
        <v>60</v>
      </c>
      <c r="AA17" s="1">
        <f>IF(Y13,MAX($V$15:$V$47),0)</f>
        <v>1.9894431016018829E-2</v>
      </c>
      <c r="AC17" s="43" t="s">
        <v>216</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3" t="s">
        <v>217</v>
      </c>
      <c r="Z18" s="43" t="s">
        <v>212</v>
      </c>
      <c r="AA18" s="43" t="s">
        <v>213</v>
      </c>
      <c r="AC18" s="43" t="s">
        <v>217</v>
      </c>
      <c r="AD18" s="43" t="s">
        <v>212</v>
      </c>
      <c r="AE18" s="43" t="s">
        <v>213</v>
      </c>
    </row>
    <row r="19" spans="2:31" ht="13">
      <c r="C19" s="9"/>
      <c r="D19" s="9"/>
      <c r="U19" s="1">
        <f t="shared" si="2"/>
        <v>19.636363636363637</v>
      </c>
      <c r="V19" s="1">
        <f t="shared" si="0"/>
        <v>2.0979461060970466E-4</v>
      </c>
      <c r="W19" s="1">
        <f t="shared" si="1"/>
        <v>1.5436359491898969E-4</v>
      </c>
      <c r="Y19" s="43" t="s">
        <v>214</v>
      </c>
      <c r="Z19" s="1">
        <f>$V$11+$W$11</f>
        <v>100</v>
      </c>
      <c r="AA19" s="1">
        <v>0</v>
      </c>
      <c r="AC19" s="43" t="s">
        <v>214</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216</v>
      </c>
      <c r="Z20" s="1">
        <f>Z19</f>
        <v>100</v>
      </c>
      <c r="AA20" s="1">
        <f>AA17</f>
        <v>1.9894431016018829E-2</v>
      </c>
      <c r="AC20" s="43" t="s">
        <v>216</v>
      </c>
      <c r="AD20" s="1">
        <f>AD19</f>
        <v>226.7186144961793</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219</v>
      </c>
      <c r="AC22" s="9" t="s">
        <v>221</v>
      </c>
    </row>
    <row r="23" spans="2:31">
      <c r="U23" s="1">
        <f t="shared" si="2"/>
        <v>39.272727272727273</v>
      </c>
      <c r="V23" s="1">
        <f t="shared" si="0"/>
        <v>2.5085277881360035E-3</v>
      </c>
      <c r="W23" s="1">
        <f t="shared" si="1"/>
        <v>2.0361477785416481E-3</v>
      </c>
      <c r="Y23" s="43" t="s">
        <v>215</v>
      </c>
      <c r="Z23" s="43" t="s">
        <v>212</v>
      </c>
      <c r="AA23" s="43" t="s">
        <v>213</v>
      </c>
      <c r="AC23" s="43" t="s">
        <v>215</v>
      </c>
      <c r="AD23" s="43" t="s">
        <v>212</v>
      </c>
      <c r="AE23" s="43" t="s">
        <v>213</v>
      </c>
    </row>
    <row r="24" spans="2:31">
      <c r="U24" s="1">
        <f t="shared" si="2"/>
        <v>44.18181818181818</v>
      </c>
      <c r="V24" s="1">
        <f t="shared" si="0"/>
        <v>4.0124690951094319E-3</v>
      </c>
      <c r="W24" s="1">
        <f t="shared" si="1"/>
        <v>3.3378132506082709E-3</v>
      </c>
      <c r="Y24" s="43" t="s">
        <v>214</v>
      </c>
      <c r="Z24" s="1">
        <f>$V$12-$W$12</f>
        <v>62</v>
      </c>
      <c r="AA24" s="1">
        <v>0</v>
      </c>
      <c r="AC24" s="43" t="s">
        <v>214</v>
      </c>
      <c r="AD24" s="1">
        <f>$V$12-$Y$12</f>
        <v>-64.718614496179299</v>
      </c>
      <c r="AE24" s="1">
        <v>0</v>
      </c>
    </row>
    <row r="25" spans="2:31">
      <c r="U25" s="1">
        <f t="shared" si="2"/>
        <v>49.090909090909086</v>
      </c>
      <c r="V25" s="1">
        <f t="shared" si="0"/>
        <v>6.0428127835749435E-3</v>
      </c>
      <c r="W25" s="1">
        <f t="shared" si="1"/>
        <v>5.1516865249837916E-3</v>
      </c>
      <c r="Y25" s="43" t="s">
        <v>216</v>
      </c>
      <c r="Z25" s="1">
        <f>Z24</f>
        <v>62</v>
      </c>
      <c r="AA25" s="1">
        <f>IF(Y13,MAX($W$15:$W$47),0)</f>
        <v>1.9894431016018833E-2</v>
      </c>
      <c r="AC25" s="43" t="s">
        <v>216</v>
      </c>
      <c r="AD25" s="1">
        <f>AD24</f>
        <v>-64.718614496179299</v>
      </c>
      <c r="AE25" s="1">
        <f>IF(AC13,MAX($W$15:$W$47),0)</f>
        <v>0</v>
      </c>
    </row>
    <row r="26" spans="2:31">
      <c r="U26" s="1">
        <f t="shared" si="2"/>
        <v>53.999999999999993</v>
      </c>
      <c r="V26" s="1">
        <f t="shared" si="0"/>
        <v>8.5684296023903657E-3</v>
      </c>
      <c r="W26" s="1">
        <f t="shared" si="1"/>
        <v>7.4863732817872387E-3</v>
      </c>
      <c r="Y26" s="43" t="s">
        <v>217</v>
      </c>
      <c r="Z26" s="43" t="s">
        <v>212</v>
      </c>
      <c r="AA26" s="43" t="s">
        <v>213</v>
      </c>
      <c r="AC26" s="43" t="s">
        <v>217</v>
      </c>
      <c r="AD26" s="43" t="s">
        <v>212</v>
      </c>
      <c r="AE26" s="43" t="s">
        <v>213</v>
      </c>
    </row>
    <row r="27" spans="2:31">
      <c r="U27" s="1">
        <f t="shared" si="2"/>
        <v>58.909090909090899</v>
      </c>
      <c r="V27" s="1">
        <f t="shared" si="0"/>
        <v>1.1439261324980412E-2</v>
      </c>
      <c r="W27" s="1">
        <f t="shared" si="1"/>
        <v>1.0243023799262131E-2</v>
      </c>
      <c r="Y27" s="43" t="s">
        <v>214</v>
      </c>
      <c r="Z27" s="1">
        <f>$V$12+$W$12</f>
        <v>102</v>
      </c>
      <c r="AA27" s="1">
        <v>0</v>
      </c>
      <c r="AC27" s="43" t="s">
        <v>214</v>
      </c>
      <c r="AD27" s="1">
        <f>$V$12+$Y$12</f>
        <v>228.7186144961793</v>
      </c>
      <c r="AE27" s="1">
        <v>0</v>
      </c>
    </row>
    <row r="28" spans="2:31">
      <c r="U28" s="1">
        <f t="shared" si="2"/>
        <v>63.818181818181806</v>
      </c>
      <c r="V28" s="1">
        <f t="shared" si="0"/>
        <v>1.4379023204720835E-2</v>
      </c>
      <c r="W28" s="1">
        <f t="shared" si="1"/>
        <v>1.3195308262186492E-2</v>
      </c>
      <c r="Y28" s="43" t="s">
        <v>216</v>
      </c>
      <c r="Z28" s="1">
        <f>Z27</f>
        <v>102</v>
      </c>
      <c r="AA28" s="1">
        <f>AA25</f>
        <v>1.9894431016018833E-2</v>
      </c>
      <c r="AC28" s="43" t="s">
        <v>216</v>
      </c>
      <c r="AD28" s="1">
        <f>AD27</f>
        <v>228.7186144961793</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224</v>
      </c>
    </row>
    <row r="31" spans="2:31">
      <c r="U31" s="1">
        <f t="shared" si="2"/>
        <v>78.545454545454533</v>
      </c>
      <c r="V31" s="1">
        <f t="shared" si="0"/>
        <v>1.9894431016018829E-2</v>
      </c>
      <c r="W31" s="1">
        <f t="shared" si="1"/>
        <v>1.9651764227432034E-2</v>
      </c>
      <c r="Y31" s="43" t="s">
        <v>215</v>
      </c>
      <c r="Z31" s="43" t="s">
        <v>212</v>
      </c>
      <c r="AA31" s="43" t="s">
        <v>213</v>
      </c>
    </row>
    <row r="32" spans="2:31">
      <c r="U32" s="1">
        <f t="shared" si="2"/>
        <v>83.454545454545439</v>
      </c>
      <c r="V32" s="1">
        <f t="shared" si="0"/>
        <v>1.9651764227432034E-2</v>
      </c>
      <c r="W32" s="1">
        <f t="shared" si="1"/>
        <v>1.9894431016018833E-2</v>
      </c>
      <c r="Y32" s="43" t="s">
        <v>214</v>
      </c>
      <c r="Z32" s="1">
        <f>AVERAGE($V$11,$V$12)-($C$6/2)</f>
        <v>76</v>
      </c>
      <c r="AA32" s="1">
        <v>0</v>
      </c>
    </row>
    <row r="33" spans="2:27">
      <c r="U33" s="1">
        <f t="shared" si="2"/>
        <v>88.363636363636346</v>
      </c>
      <c r="V33" s="1">
        <f t="shared" si="0"/>
        <v>1.8277055140371014E-2</v>
      </c>
      <c r="W33" s="1">
        <f t="shared" si="1"/>
        <v>1.8962524515457924E-2</v>
      </c>
      <c r="Y33" s="43" t="s">
        <v>216</v>
      </c>
      <c r="Z33" s="1">
        <f>Z32</f>
        <v>76</v>
      </c>
      <c r="AA33" s="1">
        <f>IF($Y$29,MAX($V$15:$W$47),0)</f>
        <v>1.9894431016018833E-2</v>
      </c>
    </row>
    <row r="34" spans="2:27">
      <c r="U34" s="1">
        <f t="shared" si="2"/>
        <v>93.272727272727252</v>
      </c>
      <c r="V34" s="1">
        <f t="shared" si="0"/>
        <v>1.6004626883487763E-2</v>
      </c>
      <c r="W34" s="1">
        <f t="shared" si="1"/>
        <v>1.7017487588748555E-2</v>
      </c>
      <c r="Y34" s="43" t="s">
        <v>217</v>
      </c>
      <c r="Z34" s="43" t="s">
        <v>212</v>
      </c>
      <c r="AA34" s="43" t="s">
        <v>213</v>
      </c>
    </row>
    <row r="35" spans="2:27">
      <c r="U35" s="1">
        <f t="shared" si="2"/>
        <v>98.181818181818159</v>
      </c>
      <c r="V35" s="1">
        <f t="shared" si="0"/>
        <v>1.3195308262186515E-2</v>
      </c>
      <c r="W35" s="1">
        <f t="shared" si="1"/>
        <v>1.4379023204720856E-2</v>
      </c>
      <c r="Y35" s="43" t="s">
        <v>214</v>
      </c>
      <c r="Z35" s="1">
        <f>AVERAGE($V$11,$V$12)+($C$6/2)</f>
        <v>86</v>
      </c>
      <c r="AA35" s="1">
        <v>0</v>
      </c>
    </row>
    <row r="36" spans="2:27">
      <c r="U36" s="1">
        <f t="shared" si="2"/>
        <v>103.09090909090907</v>
      </c>
      <c r="V36" s="1">
        <f t="shared" si="0"/>
        <v>1.024302379926215E-2</v>
      </c>
      <c r="W36" s="1">
        <f t="shared" si="1"/>
        <v>1.1439261324980434E-2</v>
      </c>
      <c r="Y36" s="43" t="s">
        <v>216</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121</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123</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374650</xdr:colOff>
                    <xdr:row>7</xdr:row>
                    <xdr:rowOff>222250</xdr:rowOff>
                  </from>
                  <to>
                    <xdr:col>11</xdr:col>
                    <xdr:colOff>527050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374650</xdr:colOff>
                    <xdr:row>9</xdr:row>
                    <xdr:rowOff>38100</xdr:rowOff>
                  </from>
                  <to>
                    <xdr:col>11</xdr:col>
                    <xdr:colOff>527050</xdr:colOff>
                    <xdr:row>10</xdr:row>
                    <xdr:rowOff>69850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374650</xdr:colOff>
                    <xdr:row>10</xdr:row>
                    <xdr:rowOff>69850</xdr:rowOff>
                  </from>
                  <to>
                    <xdr:col>11</xdr:col>
                    <xdr:colOff>527050</xdr:colOff>
                    <xdr:row>11</xdr:row>
                    <xdr:rowOff>107950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71</v>
      </c>
      <c r="F1" s="9" t="s">
        <v>120</v>
      </c>
    </row>
    <row r="2" spans="2:31" ht="13.5" thickBot="1">
      <c r="B2" s="1" t="s">
        <v>1</v>
      </c>
      <c r="C2" s="2">
        <v>0.9</v>
      </c>
      <c r="D2" s="1" t="s">
        <v>21</v>
      </c>
      <c r="N2" s="43"/>
    </row>
    <row r="3" spans="2:31" ht="16"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 thickBot="1">
      <c r="B6" s="1" t="s">
        <v>17</v>
      </c>
      <c r="C6" s="3">
        <v>10</v>
      </c>
      <c r="D6" s="1" t="s">
        <v>29</v>
      </c>
      <c r="U6" s="1">
        <v>2</v>
      </c>
    </row>
    <row r="7" spans="2:31" ht="16" thickBot="1">
      <c r="B7" s="12" t="s">
        <v>5</v>
      </c>
      <c r="C7" s="3">
        <v>-2</v>
      </c>
      <c r="D7" s="43" t="s">
        <v>230</v>
      </c>
      <c r="K7" s="9" t="str">
        <f>IF(C7&gt;=C6,"WARNING: Expected mean difference higher than maximum allowable difference.","")</f>
        <v/>
      </c>
    </row>
    <row r="8" spans="2:31" ht="13" thickBot="1">
      <c r="B8" s="12" t="s">
        <v>116</v>
      </c>
      <c r="C8" s="11">
        <f>C6/C5</f>
        <v>0.25</v>
      </c>
    </row>
    <row r="10" spans="2:31" ht="13" thickBot="1">
      <c r="B10" s="8" t="s">
        <v>18</v>
      </c>
      <c r="C10" s="1">
        <f>C5</f>
        <v>40</v>
      </c>
      <c r="V10" s="43" t="s">
        <v>210</v>
      </c>
      <c r="W10" s="43" t="s">
        <v>208</v>
      </c>
      <c r="X10" s="43" t="s">
        <v>211</v>
      </c>
      <c r="Y10" s="43" t="s">
        <v>209</v>
      </c>
      <c r="AA10" s="43" t="s">
        <v>222</v>
      </c>
      <c r="AB10" s="43" t="s">
        <v>223</v>
      </c>
    </row>
    <row r="11" spans="2:31" ht="13.5" thickBot="1">
      <c r="B11" s="1" t="s">
        <v>16</v>
      </c>
      <c r="C11" s="7">
        <v>3</v>
      </c>
      <c r="U11" s="43" t="s">
        <v>204</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205</v>
      </c>
      <c r="V12" s="29">
        <f>V11+C7</f>
        <v>158</v>
      </c>
      <c r="W12" s="1">
        <f>$C$5</f>
        <v>40</v>
      </c>
      <c r="X12" s="1">
        <f>W12/SQRT(C20)</f>
        <v>23.094010767585033</v>
      </c>
      <c r="Y12" s="1">
        <f>TINV($C$4*2,$C$20-2)*X12</f>
        <v>293.4372289923586</v>
      </c>
    </row>
    <row r="13" spans="2:31">
      <c r="B13" s="1" t="s">
        <v>27</v>
      </c>
      <c r="C13" s="1">
        <f>TINV(C4*2,C12)</f>
        <v>2.7764451051977934</v>
      </c>
      <c r="Y13" s="1" t="b">
        <v>1</v>
      </c>
      <c r="AC13" s="1" t="b">
        <v>0</v>
      </c>
    </row>
    <row r="14" spans="2:31" ht="13">
      <c r="B14" s="1" t="s">
        <v>4</v>
      </c>
      <c r="C14" s="1">
        <f>ABS((C7-C6)*SQRT(C3*C11)/SQRT((C3+1)*C10^2))</f>
        <v>0.36742346141747673</v>
      </c>
      <c r="U14" s="43" t="s">
        <v>203</v>
      </c>
      <c r="V14" s="43" t="s">
        <v>206</v>
      </c>
      <c r="W14" s="43" t="s">
        <v>207</v>
      </c>
      <c r="Y14" s="9" t="s">
        <v>218</v>
      </c>
      <c r="AC14" s="9" t="s">
        <v>220</v>
      </c>
    </row>
    <row r="15" spans="2:31">
      <c r="U15" s="1">
        <v>0</v>
      </c>
      <c r="V15" s="1">
        <f>_xlfn.NORM.DIST($U15,$V$11,$C$5,FALSE)</f>
        <v>3.3457556441221339E-6</v>
      </c>
      <c r="W15" s="1">
        <f>_xlfn.NORM.DIST($U15,$V$12,$C$5,FALSE)</f>
        <v>4.0814102191560501E-6</v>
      </c>
      <c r="Y15" s="43" t="s">
        <v>215</v>
      </c>
      <c r="Z15" s="43" t="s">
        <v>212</v>
      </c>
      <c r="AA15" s="43" t="s">
        <v>213</v>
      </c>
      <c r="AC15" s="43" t="s">
        <v>215</v>
      </c>
      <c r="AD15" s="43" t="s">
        <v>212</v>
      </c>
      <c r="AE15" s="43" t="s">
        <v>213</v>
      </c>
    </row>
    <row r="16" spans="2:31">
      <c r="U16" s="1">
        <f>U15+$AB$11</f>
        <v>9.6363636363636367</v>
      </c>
      <c r="V16" s="1">
        <f t="shared" ref="V16:V47" si="0">_xlfn.NORM.DIST($U16,$V$11,$C$5,FALSE)</f>
        <v>8.5190969142286929E-6</v>
      </c>
      <c r="W16" s="1">
        <f t="shared" ref="W16:W47" si="1">_xlfn.NORM.DIST($U16,$V$12,$C$5,FALSE)</f>
        <v>1.0267821561026E-5</v>
      </c>
      <c r="Y16" s="43" t="s">
        <v>214</v>
      </c>
      <c r="Z16" s="1">
        <f>$V$11-$W$11</f>
        <v>120</v>
      </c>
      <c r="AA16" s="1">
        <v>0</v>
      </c>
      <c r="AC16" s="43" t="s">
        <v>214</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3" t="s">
        <v>216</v>
      </c>
      <c r="Z17" s="1">
        <f>Z16</f>
        <v>120</v>
      </c>
      <c r="AA17" s="1">
        <f>IF(Y13,MAX($V$15:$V$47),0)</f>
        <v>9.928222971854481E-3</v>
      </c>
      <c r="AC17" s="43" t="s">
        <v>216</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3" t="s">
        <v>217</v>
      </c>
      <c r="Z18" s="43" t="s">
        <v>212</v>
      </c>
      <c r="AA18" s="43" t="s">
        <v>213</v>
      </c>
      <c r="AC18" s="43" t="s">
        <v>217</v>
      </c>
      <c r="AD18" s="43" t="s">
        <v>212</v>
      </c>
      <c r="AE18" s="43" t="s">
        <v>213</v>
      </c>
    </row>
    <row r="19" spans="2:31" ht="15">
      <c r="C19" s="16" t="s">
        <v>62</v>
      </c>
      <c r="D19" s="16" t="s">
        <v>63</v>
      </c>
      <c r="E19" s="16" t="s">
        <v>65</v>
      </c>
      <c r="U19" s="1">
        <f t="shared" si="2"/>
        <v>38.545454545454547</v>
      </c>
      <c r="V19" s="1">
        <f t="shared" si="0"/>
        <v>9.9279638982201362E-5</v>
      </c>
      <c r="W19" s="1">
        <f t="shared" si="1"/>
        <v>1.1541204057253558E-4</v>
      </c>
      <c r="Y19" s="43" t="s">
        <v>214</v>
      </c>
      <c r="Z19" s="1">
        <f>$V$11+$W$11</f>
        <v>200</v>
      </c>
      <c r="AA19" s="1">
        <v>0</v>
      </c>
      <c r="AC19" s="43" t="s">
        <v>214</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216</v>
      </c>
      <c r="Z20" s="1">
        <f>Z19</f>
        <v>200</v>
      </c>
      <c r="AA20" s="1">
        <f>AA17</f>
        <v>9.928222971854481E-3</v>
      </c>
      <c r="AC20" s="43" t="s">
        <v>216</v>
      </c>
      <c r="AD20" s="1">
        <f>AD19</f>
        <v>453.4372289923586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219</v>
      </c>
      <c r="AC22" s="9" t="s">
        <v>221</v>
      </c>
    </row>
    <row r="23" spans="2:31">
      <c r="U23" s="1">
        <f t="shared" si="2"/>
        <v>77.090909090909108</v>
      </c>
      <c r="V23" s="1">
        <f t="shared" si="0"/>
        <v>1.1639717952255752E-3</v>
      </c>
      <c r="W23" s="1">
        <f t="shared" si="1"/>
        <v>1.2894612322899819E-3</v>
      </c>
      <c r="Y23" s="43" t="s">
        <v>215</v>
      </c>
      <c r="Z23" s="43" t="s">
        <v>212</v>
      </c>
      <c r="AA23" s="43" t="s">
        <v>213</v>
      </c>
      <c r="AC23" s="43" t="s">
        <v>215</v>
      </c>
      <c r="AD23" s="43" t="s">
        <v>212</v>
      </c>
      <c r="AE23" s="43" t="s">
        <v>213</v>
      </c>
    </row>
    <row r="24" spans="2:31">
      <c r="U24" s="1">
        <f t="shared" si="2"/>
        <v>86.727272727272748</v>
      </c>
      <c r="V24" s="1">
        <f t="shared" si="0"/>
        <v>1.8629446220754387E-3</v>
      </c>
      <c r="W24" s="1">
        <f t="shared" si="1"/>
        <v>2.0390811202563343E-3</v>
      </c>
      <c r="Y24" s="43" t="s">
        <v>214</v>
      </c>
      <c r="Z24" s="1">
        <f>$V$12-$W$12</f>
        <v>118</v>
      </c>
      <c r="AA24" s="1">
        <v>0</v>
      </c>
      <c r="AC24" s="43" t="s">
        <v>214</v>
      </c>
      <c r="AD24" s="1">
        <f>$V$12-$Y$12</f>
        <v>-135.4372289923586</v>
      </c>
      <c r="AE24" s="1">
        <v>0</v>
      </c>
    </row>
    <row r="25" spans="2:31">
      <c r="U25" s="1">
        <f t="shared" si="2"/>
        <v>96.363636363636388</v>
      </c>
      <c r="V25" s="1">
        <f t="shared" si="0"/>
        <v>2.8135342236326626E-3</v>
      </c>
      <c r="W25" s="1">
        <f t="shared" si="1"/>
        <v>3.0426744393168446E-3</v>
      </c>
      <c r="Y25" s="43" t="s">
        <v>216</v>
      </c>
      <c r="Z25" s="1">
        <f>Z24</f>
        <v>118</v>
      </c>
      <c r="AA25" s="1">
        <f>IF(Y13,MAX($W$15:$W$47),0)</f>
        <v>9.928222971854481E-3</v>
      </c>
      <c r="AC25" s="43" t="s">
        <v>216</v>
      </c>
      <c r="AD25" s="1">
        <f>AD24</f>
        <v>-135.4372289923586</v>
      </c>
      <c r="AE25" s="1">
        <f>IF(AC13,MAX($W$15:$W$47),0)</f>
        <v>0</v>
      </c>
    </row>
    <row r="26" spans="2:31">
      <c r="U26" s="1">
        <f t="shared" si="2"/>
        <v>106.00000000000003</v>
      </c>
      <c r="V26" s="1">
        <f t="shared" si="0"/>
        <v>4.0095831835479942E-3</v>
      </c>
      <c r="W26" s="1">
        <f t="shared" si="1"/>
        <v>4.2842148011951872E-3</v>
      </c>
      <c r="Y26" s="43" t="s">
        <v>217</v>
      </c>
      <c r="Z26" s="43" t="s">
        <v>212</v>
      </c>
      <c r="AA26" s="43" t="s">
        <v>213</v>
      </c>
      <c r="AC26" s="43" t="s">
        <v>217</v>
      </c>
      <c r="AD26" s="43" t="s">
        <v>212</v>
      </c>
      <c r="AE26" s="43" t="s">
        <v>213</v>
      </c>
    </row>
    <row r="27" spans="2:31">
      <c r="U27" s="1">
        <f t="shared" si="2"/>
        <v>115.63636363636367</v>
      </c>
      <c r="V27" s="1">
        <f t="shared" si="0"/>
        <v>5.3918899813496695E-3</v>
      </c>
      <c r="W27" s="1">
        <f t="shared" si="1"/>
        <v>5.6922210507011541E-3</v>
      </c>
      <c r="Y27" s="43" t="s">
        <v>214</v>
      </c>
      <c r="Z27" s="1">
        <f>$V$12+$W$12</f>
        <v>198</v>
      </c>
      <c r="AA27" s="1">
        <v>0</v>
      </c>
      <c r="AC27" s="43" t="s">
        <v>214</v>
      </c>
      <c r="AD27" s="1">
        <f>$V$12+$Y$12</f>
        <v>451.4372289923586</v>
      </c>
      <c r="AE27" s="1">
        <v>0</v>
      </c>
    </row>
    <row r="28" spans="2:31">
      <c r="U28" s="1">
        <f t="shared" si="2"/>
        <v>125.27272727272731</v>
      </c>
      <c r="V28" s="1">
        <f t="shared" si="0"/>
        <v>6.8419135888044902E-3</v>
      </c>
      <c r="W28" s="1">
        <f t="shared" si="1"/>
        <v>7.1365291724601312E-3</v>
      </c>
      <c r="Y28" s="43" t="s">
        <v>216</v>
      </c>
      <c r="Z28" s="1">
        <f>Z27</f>
        <v>198</v>
      </c>
      <c r="AA28" s="1">
        <f>AA25</f>
        <v>9.928222971854481E-3</v>
      </c>
      <c r="AC28" s="43" t="s">
        <v>216</v>
      </c>
      <c r="AD28" s="1">
        <f>AD27</f>
        <v>451.4372289923586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224</v>
      </c>
    </row>
    <row r="31" spans="2:31">
      <c r="U31" s="1">
        <f t="shared" si="2"/>
        <v>154.18181818181819</v>
      </c>
      <c r="V31" s="1">
        <f t="shared" si="0"/>
        <v>9.8686076960690251E-3</v>
      </c>
      <c r="W31" s="1">
        <f t="shared" si="1"/>
        <v>9.928222971854481E-3</v>
      </c>
      <c r="Y31" s="43" t="s">
        <v>215</v>
      </c>
      <c r="Z31" s="43" t="s">
        <v>212</v>
      </c>
      <c r="AA31" s="43" t="s">
        <v>213</v>
      </c>
    </row>
    <row r="32" spans="2:31">
      <c r="U32" s="1">
        <f t="shared" si="2"/>
        <v>163.81818181818181</v>
      </c>
      <c r="V32" s="1">
        <f t="shared" si="0"/>
        <v>9.928222971854481E-3</v>
      </c>
      <c r="W32" s="1">
        <f t="shared" si="1"/>
        <v>9.8686076960690251E-3</v>
      </c>
      <c r="Y32" s="43" t="s">
        <v>214</v>
      </c>
      <c r="Z32" s="1">
        <f>$V$12-$C$6</f>
        <v>148</v>
      </c>
      <c r="AA32" s="1">
        <v>0</v>
      </c>
    </row>
    <row r="33" spans="2:27">
      <c r="U33" s="1">
        <f t="shared" si="2"/>
        <v>173.45454545454544</v>
      </c>
      <c r="V33" s="1">
        <f t="shared" si="0"/>
        <v>9.4250123504863344E-3</v>
      </c>
      <c r="W33" s="1">
        <f t="shared" si="1"/>
        <v>9.2562487307598553E-3</v>
      </c>
      <c r="Y33" s="43" t="s">
        <v>216</v>
      </c>
      <c r="Z33" s="1">
        <f>Z32</f>
        <v>148</v>
      </c>
      <c r="AA33" s="1">
        <f>IF($Y$29,MAX($V$15:$W$47),0)</f>
        <v>9.928222971854481E-3</v>
      </c>
    </row>
    <row r="34" spans="2:27">
      <c r="U34" s="1">
        <f t="shared" si="2"/>
        <v>183.09090909090907</v>
      </c>
      <c r="V34" s="1">
        <f t="shared" si="0"/>
        <v>8.442811682249288E-3</v>
      </c>
      <c r="W34" s="1">
        <f t="shared" si="1"/>
        <v>8.1923578849734564E-3</v>
      </c>
      <c r="Y34" s="43" t="s">
        <v>217</v>
      </c>
      <c r="Z34" s="43" t="s">
        <v>212</v>
      </c>
      <c r="AA34" s="43" t="s">
        <v>213</v>
      </c>
    </row>
    <row r="35" spans="2:27">
      <c r="U35" s="1">
        <f t="shared" si="2"/>
        <v>192.72727272727269</v>
      </c>
      <c r="V35" s="1">
        <f t="shared" si="0"/>
        <v>7.1365291724601312E-3</v>
      </c>
      <c r="W35" s="1">
        <f t="shared" si="1"/>
        <v>6.8419135888044902E-3</v>
      </c>
      <c r="Y35" s="43" t="s">
        <v>214</v>
      </c>
      <c r="Z35" s="1">
        <f>$V$12+$C$6</f>
        <v>168</v>
      </c>
      <c r="AA35" s="1">
        <v>0</v>
      </c>
    </row>
    <row r="36" spans="2:27" ht="20.25" customHeight="1">
      <c r="U36" s="1">
        <f t="shared" si="2"/>
        <v>202.36363636363632</v>
      </c>
      <c r="V36" s="1">
        <f t="shared" si="0"/>
        <v>5.692221050701155E-3</v>
      </c>
      <c r="W36" s="1">
        <f t="shared" si="1"/>
        <v>5.3918899813496703E-3</v>
      </c>
      <c r="Y36" s="43" t="s">
        <v>216</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121</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603250</xdr:colOff>
                    <xdr:row>7</xdr:row>
                    <xdr:rowOff>184150</xdr:rowOff>
                  </from>
                  <to>
                    <xdr:col>13</xdr:col>
                    <xdr:colOff>146050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603250</xdr:colOff>
                    <xdr:row>9</xdr:row>
                    <xdr:rowOff>38100</xdr:rowOff>
                  </from>
                  <to>
                    <xdr:col>13</xdr:col>
                    <xdr:colOff>146050</xdr:colOff>
                    <xdr:row>10</xdr:row>
                    <xdr:rowOff>107950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603250</xdr:colOff>
                    <xdr:row>10</xdr:row>
                    <xdr:rowOff>107950</xdr:rowOff>
                  </from>
                  <to>
                    <xdr:col>13</xdr:col>
                    <xdr:colOff>146050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G1" s="9" t="s">
        <v>120</v>
      </c>
    </row>
    <row r="2" spans="2:31" ht="13.5" thickBot="1">
      <c r="B2" s="1" t="s">
        <v>1</v>
      </c>
      <c r="C2" s="2">
        <v>0.9</v>
      </c>
      <c r="D2" s="1" t="s">
        <v>21</v>
      </c>
    </row>
    <row r="3" spans="2:31" ht="13.5" thickBot="1">
      <c r="C3" s="10"/>
    </row>
    <row r="4" spans="2:31" ht="13.5" thickBot="1">
      <c r="B4" s="8" t="s">
        <v>58</v>
      </c>
      <c r="C4" s="13">
        <v>2.5000000000000001E-2</v>
      </c>
      <c r="D4" s="1" t="s">
        <v>20</v>
      </c>
    </row>
    <row r="5" spans="2:31" ht="16" thickBot="1">
      <c r="B5" s="8" t="s">
        <v>26</v>
      </c>
      <c r="C5" s="3">
        <v>20</v>
      </c>
      <c r="D5" s="1" t="s">
        <v>30</v>
      </c>
      <c r="U5" s="1" t="s">
        <v>55</v>
      </c>
    </row>
    <row r="6" spans="2:31" ht="16" thickBot="1">
      <c r="B6" s="1" t="s">
        <v>17</v>
      </c>
      <c r="C6" s="3">
        <v>10</v>
      </c>
      <c r="D6" s="1" t="s">
        <v>29</v>
      </c>
      <c r="U6" s="1">
        <v>2</v>
      </c>
    </row>
    <row r="7" spans="2:31" ht="16" thickBot="1">
      <c r="B7" s="12" t="s">
        <v>5</v>
      </c>
      <c r="C7" s="3">
        <v>-2</v>
      </c>
      <c r="D7" s="43" t="s">
        <v>230</v>
      </c>
      <c r="K7" s="9" t="str">
        <f>IF(C7&gt;=C6,"WARNING: Expected mean difference higher than maximum allowable difference.","")</f>
        <v/>
      </c>
    </row>
    <row r="8" spans="2:31" ht="16" thickBot="1">
      <c r="B8" s="12" t="s">
        <v>117</v>
      </c>
      <c r="C8" s="11">
        <f>C6/C5</f>
        <v>0.5</v>
      </c>
    </row>
    <row r="10" spans="2:31" ht="16" thickBot="1">
      <c r="B10" s="8" t="s">
        <v>26</v>
      </c>
      <c r="C10" s="1">
        <f>C5</f>
        <v>20</v>
      </c>
      <c r="V10" s="43" t="s">
        <v>210</v>
      </c>
      <c r="W10" s="43" t="s">
        <v>208</v>
      </c>
      <c r="X10" s="43" t="s">
        <v>211</v>
      </c>
      <c r="Y10" s="43" t="s">
        <v>209</v>
      </c>
      <c r="AA10" s="43" t="s">
        <v>222</v>
      </c>
      <c r="AB10" s="43" t="s">
        <v>223</v>
      </c>
    </row>
    <row r="11" spans="2:31" ht="13.5" thickBot="1">
      <c r="B11" s="1" t="s">
        <v>16</v>
      </c>
      <c r="C11" s="7">
        <v>3</v>
      </c>
      <c r="U11" s="43" t="s">
        <v>204</v>
      </c>
      <c r="V11" s="29">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3" t="s">
        <v>205</v>
      </c>
      <c r="V12" s="29">
        <f>V11+C7</f>
        <v>78</v>
      </c>
      <c r="W12" s="1">
        <f>$C$5</f>
        <v>20</v>
      </c>
      <c r="X12" s="1">
        <f>W12/SQRT(C20)</f>
        <v>11.547005383792516</v>
      </c>
      <c r="Y12" s="1">
        <f>TINV($C$4*2,$C$20-2)*X12</f>
        <v>146.7186144961793</v>
      </c>
    </row>
    <row r="13" spans="2:31">
      <c r="B13" s="1" t="s">
        <v>27</v>
      </c>
      <c r="C13" s="1">
        <f>TINV(C4*2,C12)</f>
        <v>12.706204736174707</v>
      </c>
      <c r="Y13" s="1" t="b">
        <v>1</v>
      </c>
      <c r="AC13" s="1" t="b">
        <v>0</v>
      </c>
    </row>
    <row r="14" spans="2:31" ht="13">
      <c r="B14" s="1" t="s">
        <v>4</v>
      </c>
      <c r="C14" s="1">
        <f>ABS((C7-C6)*SQRT(C11)/SQRT(2*C10^2))</f>
        <v>0.73484692283495345</v>
      </c>
      <c r="U14" s="43" t="s">
        <v>203</v>
      </c>
      <c r="V14" s="43" t="s">
        <v>206</v>
      </c>
      <c r="W14" s="43" t="s">
        <v>207</v>
      </c>
      <c r="Y14" s="9" t="s">
        <v>218</v>
      </c>
      <c r="AC14" s="9" t="s">
        <v>220</v>
      </c>
    </row>
    <row r="15" spans="2:31">
      <c r="U15" s="1">
        <v>0</v>
      </c>
      <c r="V15" s="1">
        <f>_xlfn.NORM.DIST($U15,$V$11,$C$5,FALSE)</f>
        <v>6.6915112882442679E-6</v>
      </c>
      <c r="W15" s="1">
        <f>_xlfn.NORM.DIST($U15,$V$12,$C$5,FALSE)</f>
        <v>9.9327735696386359E-6</v>
      </c>
      <c r="Y15" s="43" t="s">
        <v>215</v>
      </c>
      <c r="Z15" s="43" t="s">
        <v>212</v>
      </c>
      <c r="AA15" s="43" t="s">
        <v>213</v>
      </c>
      <c r="AC15" s="43" t="s">
        <v>215</v>
      </c>
      <c r="AD15" s="43" t="s">
        <v>212</v>
      </c>
      <c r="AE15" s="43" t="s">
        <v>213</v>
      </c>
    </row>
    <row r="16" spans="2:31">
      <c r="U16" s="1">
        <f>U15+$AB$11</f>
        <v>4.7878787878787881</v>
      </c>
      <c r="V16" s="1">
        <f t="shared" ref="V16:V47" si="0">_xlfn.NORM.DIST($U16,$V$11,$C$5,FALSE)</f>
        <v>1.6941407610670937E-5</v>
      </c>
      <c r="W16" s="1">
        <f t="shared" ref="W16:W47" si="1">_xlfn.NORM.DIST($U16,$V$12,$C$5,FALSE)</f>
        <v>2.4552689145403102E-5</v>
      </c>
      <c r="Y16" s="43" t="s">
        <v>214</v>
      </c>
      <c r="Z16" s="1">
        <f>$V$11-$W$11</f>
        <v>60</v>
      </c>
      <c r="AA16" s="1">
        <v>0</v>
      </c>
      <c r="AC16" s="43" t="s">
        <v>214</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3" t="s">
        <v>216</v>
      </c>
      <c r="Z17" s="1">
        <f>Z16</f>
        <v>60</v>
      </c>
      <c r="AA17" s="1">
        <f>IF(Y13,MAX($V$15:$V$47),0)</f>
        <v>1.9898724584214315E-2</v>
      </c>
      <c r="AC17" s="43" t="s">
        <v>216</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3" t="s">
        <v>217</v>
      </c>
      <c r="Z18" s="43" t="s">
        <v>212</v>
      </c>
      <c r="AA18" s="43" t="s">
        <v>213</v>
      </c>
      <c r="AC18" s="43" t="s">
        <v>217</v>
      </c>
      <c r="AD18" s="43" t="s">
        <v>212</v>
      </c>
      <c r="AE18" s="43" t="s">
        <v>213</v>
      </c>
    </row>
    <row r="19" spans="2:31" ht="13">
      <c r="C19" s="9"/>
      <c r="D19" s="9"/>
      <c r="U19" s="1">
        <f t="shared" si="2"/>
        <v>19.151515151515152</v>
      </c>
      <c r="V19" s="1">
        <f t="shared" si="0"/>
        <v>1.9493518442765021E-4</v>
      </c>
      <c r="W19" s="1">
        <f t="shared" si="1"/>
        <v>2.6293570641790979E-4</v>
      </c>
      <c r="Y19" s="43" t="s">
        <v>214</v>
      </c>
      <c r="Z19" s="1">
        <f>$V$11+$W$11</f>
        <v>100</v>
      </c>
      <c r="AA19" s="1">
        <v>0</v>
      </c>
      <c r="AC19" s="43" t="s">
        <v>214</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3" t="s">
        <v>216</v>
      </c>
      <c r="Z20" s="1">
        <f>Z19</f>
        <v>100</v>
      </c>
      <c r="AA20" s="1">
        <f>AA17</f>
        <v>1.9898724584214315E-2</v>
      </c>
      <c r="AC20" s="43" t="s">
        <v>216</v>
      </c>
      <c r="AD20" s="1">
        <f>AD19</f>
        <v>226.7186144961793</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219</v>
      </c>
      <c r="AC22" s="9" t="s">
        <v>221</v>
      </c>
    </row>
    <row r="23" spans="2:31">
      <c r="U23" s="1">
        <f t="shared" si="2"/>
        <v>38.303030303030305</v>
      </c>
      <c r="V23" s="1">
        <f t="shared" si="0"/>
        <v>2.2700182471111548E-3</v>
      </c>
      <c r="W23" s="1">
        <f t="shared" si="1"/>
        <v>2.7822855168983234E-3</v>
      </c>
      <c r="Y23" s="43" t="s">
        <v>215</v>
      </c>
      <c r="Z23" s="43" t="s">
        <v>212</v>
      </c>
      <c r="AA23" s="43" t="s">
        <v>213</v>
      </c>
      <c r="AC23" s="43" t="s">
        <v>215</v>
      </c>
      <c r="AD23" s="43" t="s">
        <v>212</v>
      </c>
      <c r="AE23" s="43" t="s">
        <v>213</v>
      </c>
    </row>
    <row r="24" spans="2:31">
      <c r="U24" s="1">
        <f t="shared" si="2"/>
        <v>43.090909090909093</v>
      </c>
      <c r="V24" s="1">
        <f t="shared" si="0"/>
        <v>3.6336339386543325E-3</v>
      </c>
      <c r="W24" s="1">
        <f t="shared" si="1"/>
        <v>4.3482727057223506E-3</v>
      </c>
      <c r="Y24" s="43" t="s">
        <v>214</v>
      </c>
      <c r="Z24" s="1">
        <f>$V$12-$W$12</f>
        <v>58</v>
      </c>
      <c r="AA24" s="1">
        <v>0</v>
      </c>
      <c r="AC24" s="43" t="s">
        <v>214</v>
      </c>
      <c r="AD24" s="1">
        <f>$V$12-$Y$12</f>
        <v>-68.718614496179299</v>
      </c>
      <c r="AE24" s="1">
        <v>0</v>
      </c>
    </row>
    <row r="25" spans="2:31">
      <c r="U25" s="1">
        <f t="shared" si="2"/>
        <v>47.878787878787882</v>
      </c>
      <c r="V25" s="1">
        <f t="shared" si="0"/>
        <v>5.4924209732535069E-3</v>
      </c>
      <c r="W25" s="1">
        <f t="shared" si="1"/>
        <v>6.4171570829679144E-3</v>
      </c>
      <c r="Y25" s="43" t="s">
        <v>216</v>
      </c>
      <c r="Z25" s="1">
        <f>Z24</f>
        <v>58</v>
      </c>
      <c r="AA25" s="1">
        <f>IF(Y13,MAX($W$15:$W$47),0)</f>
        <v>1.9898724584214312E-2</v>
      </c>
      <c r="AC25" s="43" t="s">
        <v>216</v>
      </c>
      <c r="AD25" s="1">
        <f>AD24</f>
        <v>-68.718614496179299</v>
      </c>
      <c r="AE25" s="1">
        <f>IF(AC13,MAX($W$15:$W$47),0)</f>
        <v>0</v>
      </c>
    </row>
    <row r="26" spans="2:31">
      <c r="U26" s="1">
        <f t="shared" si="2"/>
        <v>52.666666666666671</v>
      </c>
      <c r="V26" s="1">
        <f t="shared" si="0"/>
        <v>7.8396609192754318E-3</v>
      </c>
      <c r="W26" s="1">
        <f t="shared" si="1"/>
        <v>8.9429208247270298E-3</v>
      </c>
      <c r="Y26" s="43" t="s">
        <v>217</v>
      </c>
      <c r="Z26" s="43" t="s">
        <v>212</v>
      </c>
      <c r="AA26" s="43" t="s">
        <v>213</v>
      </c>
      <c r="AC26" s="43" t="s">
        <v>217</v>
      </c>
      <c r="AD26" s="43" t="s">
        <v>212</v>
      </c>
      <c r="AE26" s="43" t="s">
        <v>213</v>
      </c>
    </row>
    <row r="27" spans="2:31">
      <c r="U27" s="1">
        <f t="shared" si="2"/>
        <v>57.45454545454546</v>
      </c>
      <c r="V27" s="1">
        <f t="shared" si="0"/>
        <v>1.0566753093708884E-2</v>
      </c>
      <c r="W27" s="1">
        <f t="shared" si="1"/>
        <v>1.1768657388551491E-2</v>
      </c>
      <c r="Y27" s="43" t="s">
        <v>214</v>
      </c>
      <c r="Z27" s="1">
        <f>$V$12+$W$12</f>
        <v>98</v>
      </c>
      <c r="AA27" s="1">
        <v>0</v>
      </c>
      <c r="AC27" s="43" t="s">
        <v>214</v>
      </c>
      <c r="AD27" s="1">
        <f>$V$12+$Y$12</f>
        <v>224.7186144961793</v>
      </c>
      <c r="AE27" s="1">
        <v>0</v>
      </c>
    </row>
    <row r="28" spans="2:31">
      <c r="U28" s="1">
        <f t="shared" si="2"/>
        <v>62.242424242424249</v>
      </c>
      <c r="V28" s="1">
        <f t="shared" si="0"/>
        <v>1.344920640875991E-2</v>
      </c>
      <c r="W28" s="1">
        <f t="shared" si="1"/>
        <v>1.4624642962929819E-2</v>
      </c>
      <c r="Y28" s="43" t="s">
        <v>216</v>
      </c>
      <c r="Z28" s="1">
        <f>Z27</f>
        <v>98</v>
      </c>
      <c r="AA28" s="1">
        <f>AA25</f>
        <v>1.9898724584214312E-2</v>
      </c>
      <c r="AC28" s="43" t="s">
        <v>216</v>
      </c>
      <c r="AD28" s="1">
        <f>AD27</f>
        <v>224.7186144961793</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224</v>
      </c>
    </row>
    <row r="31" spans="2:31">
      <c r="U31" s="1">
        <f t="shared" si="2"/>
        <v>76.606060606060595</v>
      </c>
      <c r="V31" s="1">
        <f t="shared" si="0"/>
        <v>1.9661962691716266E-2</v>
      </c>
      <c r="W31" s="1">
        <f t="shared" si="1"/>
        <v>1.9898724584214312E-2</v>
      </c>
      <c r="Y31" s="43" t="s">
        <v>215</v>
      </c>
      <c r="Z31" s="43" t="s">
        <v>212</v>
      </c>
      <c r="AA31" s="43" t="s">
        <v>213</v>
      </c>
    </row>
    <row r="32" spans="2:31">
      <c r="U32" s="1">
        <f t="shared" si="2"/>
        <v>81.393939393939377</v>
      </c>
      <c r="V32" s="1">
        <f t="shared" si="0"/>
        <v>1.9898724584214315E-2</v>
      </c>
      <c r="W32" s="1">
        <f t="shared" si="1"/>
        <v>1.9661962691716269E-2</v>
      </c>
      <c r="Y32" s="43" t="s">
        <v>214</v>
      </c>
      <c r="Z32" s="1">
        <f>$V$12-$C$6</f>
        <v>68</v>
      </c>
      <c r="AA32" s="1">
        <v>0</v>
      </c>
    </row>
    <row r="33" spans="2:27">
      <c r="U33" s="1">
        <f t="shared" si="2"/>
        <v>86.181818181818159</v>
      </c>
      <c r="V33" s="1">
        <f t="shared" si="0"/>
        <v>1.9016668369460466E-2</v>
      </c>
      <c r="W33" s="1">
        <f t="shared" si="1"/>
        <v>1.8345912291388617E-2</v>
      </c>
      <c r="Y33" s="43" t="s">
        <v>216</v>
      </c>
      <c r="Z33" s="1">
        <f>Z32</f>
        <v>68</v>
      </c>
      <c r="AA33" s="1">
        <f>IF($Y$29,MAX($V$15:$W$47),0)</f>
        <v>1.9898724584214315E-2</v>
      </c>
    </row>
    <row r="34" spans="2:27">
      <c r="U34" s="1">
        <f t="shared" si="2"/>
        <v>90.96969696969694</v>
      </c>
      <c r="V34" s="1">
        <f t="shared" si="0"/>
        <v>1.7161468335135838E-2</v>
      </c>
      <c r="W34" s="1">
        <f t="shared" si="1"/>
        <v>1.6164511205090777E-2</v>
      </c>
      <c r="Y34" s="43" t="s">
        <v>217</v>
      </c>
      <c r="Z34" s="43" t="s">
        <v>212</v>
      </c>
      <c r="AA34" s="43" t="s">
        <v>213</v>
      </c>
    </row>
    <row r="35" spans="2:27">
      <c r="U35" s="1">
        <f t="shared" si="2"/>
        <v>95.757575757575722</v>
      </c>
      <c r="V35" s="1">
        <f t="shared" si="0"/>
        <v>1.4624642962929837E-2</v>
      </c>
      <c r="W35" s="1">
        <f t="shared" si="1"/>
        <v>1.3449206408759923E-2</v>
      </c>
      <c r="Y35" s="43" t="s">
        <v>214</v>
      </c>
      <c r="Z35" s="1">
        <f>$V$12+$C$6</f>
        <v>88</v>
      </c>
      <c r="AA35" s="1">
        <v>0</v>
      </c>
    </row>
    <row r="36" spans="2:27">
      <c r="U36" s="1">
        <f t="shared" si="2"/>
        <v>100.5454545454545</v>
      </c>
      <c r="V36" s="1">
        <f t="shared" si="0"/>
        <v>1.176865738855151E-2</v>
      </c>
      <c r="W36" s="1">
        <f t="shared" si="1"/>
        <v>1.0566753093708905E-2</v>
      </c>
      <c r="Y36" s="43" t="s">
        <v>216</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7" t="s">
        <v>121</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123</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488950</xdr:colOff>
                    <xdr:row>8</xdr:row>
                    <xdr:rowOff>69850</xdr:rowOff>
                  </from>
                  <to>
                    <xdr:col>12</xdr:col>
                    <xdr:colOff>31750</xdr:colOff>
                    <xdr:row>9</xdr:row>
                    <xdr:rowOff>107950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488950</xdr:colOff>
                    <xdr:row>9</xdr:row>
                    <xdr:rowOff>107950</xdr:rowOff>
                  </from>
                  <to>
                    <xdr:col>12</xdr:col>
                    <xdr:colOff>31750</xdr:colOff>
                    <xdr:row>10</xdr:row>
                    <xdr:rowOff>107950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488950</xdr:colOff>
                    <xdr:row>10</xdr:row>
                    <xdr:rowOff>107950</xdr:rowOff>
                  </from>
                  <to>
                    <xdr:col>12</xdr:col>
                    <xdr:colOff>31750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120</v>
      </c>
    </row>
    <row r="2" spans="2:31" ht="13.5" thickBot="1">
      <c r="B2" s="1" t="s">
        <v>1</v>
      </c>
      <c r="C2" s="2">
        <v>0.8</v>
      </c>
    </row>
    <row r="3" spans="2:31" ht="13.5" thickBot="1">
      <c r="B3" s="1" t="s">
        <v>231</v>
      </c>
      <c r="C3" s="48">
        <v>1</v>
      </c>
      <c r="D3" s="1" t="s">
        <v>232</v>
      </c>
    </row>
    <row r="4" spans="2:31" ht="13.5" thickBot="1">
      <c r="B4" s="8" t="s">
        <v>58</v>
      </c>
      <c r="C4" s="2">
        <v>0.05</v>
      </c>
    </row>
    <row r="5" spans="2:31" ht="13.5" thickBot="1">
      <c r="B5" s="43" t="s">
        <v>234</v>
      </c>
      <c r="C5" s="42">
        <v>0.8</v>
      </c>
      <c r="D5" s="75" t="s">
        <v>244</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3" t="s">
        <v>210</v>
      </c>
      <c r="W10" s="43" t="s">
        <v>208</v>
      </c>
      <c r="X10" s="43" t="s">
        <v>211</v>
      </c>
      <c r="Y10" s="43" t="s">
        <v>209</v>
      </c>
      <c r="AA10" s="43" t="s">
        <v>222</v>
      </c>
      <c r="AB10" s="43" t="s">
        <v>223</v>
      </c>
    </row>
    <row r="11" spans="2:31" ht="16" thickBot="1">
      <c r="B11" s="1" t="s">
        <v>34</v>
      </c>
      <c r="C11" s="7">
        <v>3</v>
      </c>
      <c r="U11" s="43" t="s">
        <v>204</v>
      </c>
      <c r="V11" s="44">
        <f>C6</f>
        <v>0.95</v>
      </c>
      <c r="W11" s="1">
        <f>$C$10</f>
        <v>0.70334645931866824</v>
      </c>
      <c r="X11" s="1">
        <f>W11/SQRT(C20)</f>
        <v>0.40607726762120328</v>
      </c>
      <c r="Y11" s="1">
        <f>TINV($C$4*2,$C$20-2)*X11</f>
        <v>2.5638709635184753</v>
      </c>
      <c r="AA11" s="45">
        <f>V11+4*W11</f>
        <v>3.7633858372746731</v>
      </c>
      <c r="AB11" s="1">
        <f>AA11/33</f>
        <v>0.11404199506892949</v>
      </c>
    </row>
    <row r="12" spans="2:31" ht="15.5">
      <c r="B12" s="1" t="s">
        <v>35</v>
      </c>
      <c r="C12" s="1">
        <f>C11*(C3+1)-2</f>
        <v>4</v>
      </c>
      <c r="U12" s="43"/>
    </row>
    <row r="13" spans="2:31" ht="15.5">
      <c r="B13" s="1" t="s">
        <v>36</v>
      </c>
      <c r="C13" s="1">
        <f>TINV(C4*2,C12)</f>
        <v>2.1318467863266499</v>
      </c>
      <c r="Y13" s="1" t="b">
        <v>0</v>
      </c>
      <c r="AC13" s="1" t="b">
        <v>1</v>
      </c>
    </row>
    <row r="14" spans="2:31" ht="13">
      <c r="B14" s="1" t="s">
        <v>3</v>
      </c>
      <c r="C14" s="1">
        <f>SQRT(C3*C11)*(LN(C6)-LN(C8))/SQRT((C3+1)*C10^2)</f>
        <v>-0.47787987675335786</v>
      </c>
      <c r="U14" s="43" t="s">
        <v>203</v>
      </c>
      <c r="V14" s="43" t="s">
        <v>225</v>
      </c>
      <c r="W14" s="43"/>
      <c r="Y14" s="9" t="s">
        <v>218</v>
      </c>
      <c r="AC14" s="9" t="s">
        <v>220</v>
      </c>
    </row>
    <row r="15" spans="2:31">
      <c r="B15" s="1" t="s">
        <v>4</v>
      </c>
      <c r="C15" s="1">
        <f>SQRT(C3*C11)*(LN(C6)-LN(C7))/SQRT((C3+1)*C10^2)</f>
        <v>0.29924472929335222</v>
      </c>
      <c r="N15" s="43" t="s">
        <v>241</v>
      </c>
      <c r="U15" s="1">
        <v>0</v>
      </c>
      <c r="V15" s="1">
        <f>_xlfn.NORM.DIST($U15,$V$11,$C$5,FALSE)</f>
        <v>0.24638175239823415</v>
      </c>
      <c r="Y15" s="43" t="s">
        <v>215</v>
      </c>
      <c r="Z15" s="43" t="s">
        <v>212</v>
      </c>
      <c r="AA15" s="43" t="s">
        <v>213</v>
      </c>
      <c r="AC15" s="43" t="s">
        <v>215</v>
      </c>
      <c r="AD15" s="43" t="s">
        <v>212</v>
      </c>
      <c r="AE15" s="43" t="s">
        <v>213</v>
      </c>
    </row>
    <row r="16" spans="2:31">
      <c r="B16" s="1" t="s">
        <v>7</v>
      </c>
      <c r="C16" s="1">
        <f>NCt(-C13,C12,C14)</f>
        <v>0.10711223508099388</v>
      </c>
      <c r="N16" s="43" t="s">
        <v>242</v>
      </c>
      <c r="U16" s="1">
        <f>U15+$AB$11</f>
        <v>0.11404199506892949</v>
      </c>
      <c r="V16" s="1">
        <f t="shared" ref="V16:V47" si="0">_xlfn.NORM.DIST($U16,$V$11,$C$5,FALSE)</f>
        <v>0.2888774794762195</v>
      </c>
      <c r="Y16" s="43" t="s">
        <v>214</v>
      </c>
      <c r="Z16" s="1">
        <f>$V$11-$W$11</f>
        <v>0.24665354068133172</v>
      </c>
      <c r="AA16" s="1">
        <v>0</v>
      </c>
      <c r="AC16" s="43" t="s">
        <v>214</v>
      </c>
      <c r="AD16" s="1">
        <f>$V$11-$Y$11</f>
        <v>-1.6138709635184754</v>
      </c>
      <c r="AE16" s="1">
        <v>0</v>
      </c>
    </row>
    <row r="17" spans="2:31" ht="13.5" thickBot="1">
      <c r="B17" s="1" t="s">
        <v>6</v>
      </c>
      <c r="C17" s="1">
        <f>NCt(C13,C12,C15)</f>
        <v>0.91805097802087354</v>
      </c>
      <c r="N17" s="55" t="s">
        <v>243</v>
      </c>
      <c r="O17" s="56"/>
      <c r="P17" s="57"/>
      <c r="U17" s="1">
        <f t="shared" ref="U17:U47" si="1">U16+$AB$11</f>
        <v>0.22808399013785899</v>
      </c>
      <c r="V17" s="1">
        <f t="shared" si="0"/>
        <v>0.33188944549186422</v>
      </c>
      <c r="Y17" s="43" t="s">
        <v>216</v>
      </c>
      <c r="Z17" s="1">
        <f>Z16</f>
        <v>0.24665354068133172</v>
      </c>
      <c r="AA17" s="1">
        <f>IF(Y13,MAX($V$15:$V$47),0)</f>
        <v>0</v>
      </c>
      <c r="AC17" s="43" t="s">
        <v>216</v>
      </c>
      <c r="AD17" s="1">
        <f>AD16</f>
        <v>-1.6138709635184754</v>
      </c>
      <c r="AE17" s="1">
        <f>IF(AC13,MAX($V$15:$V$47),0)</f>
        <v>0.49812548917176475</v>
      </c>
    </row>
    <row r="18" spans="2:31" ht="13.5" thickBot="1">
      <c r="B18" s="1" t="s">
        <v>57</v>
      </c>
      <c r="C18" s="1">
        <f>C16-C17</f>
        <v>-0.81093874293987966</v>
      </c>
      <c r="E18" s="5"/>
      <c r="N18" s="58" t="s">
        <v>235</v>
      </c>
      <c r="O18" s="63">
        <v>0.3</v>
      </c>
      <c r="P18" s="59"/>
      <c r="U18" s="1">
        <f t="shared" si="1"/>
        <v>0.3421259852067885</v>
      </c>
      <c r="V18" s="1">
        <f t="shared" si="0"/>
        <v>0.37363521879612333</v>
      </c>
      <c r="Y18" s="43" t="s">
        <v>217</v>
      </c>
      <c r="Z18" s="43" t="s">
        <v>212</v>
      </c>
      <c r="AA18" s="43" t="s">
        <v>213</v>
      </c>
      <c r="AC18" s="43" t="s">
        <v>217</v>
      </c>
      <c r="AD18" s="43" t="s">
        <v>212</v>
      </c>
      <c r="AE18" s="43" t="s">
        <v>213</v>
      </c>
    </row>
    <row r="19" spans="2:31" ht="15.5" thickBot="1">
      <c r="C19" s="16" t="s">
        <v>62</v>
      </c>
      <c r="D19" s="16" t="s">
        <v>63</v>
      </c>
      <c r="E19" s="16" t="s">
        <v>65</v>
      </c>
      <c r="N19" s="58" t="s">
        <v>236</v>
      </c>
      <c r="O19" s="63">
        <v>0.2</v>
      </c>
      <c r="P19" s="59"/>
      <c r="U19" s="1">
        <f t="shared" si="1"/>
        <v>0.45616798027571798</v>
      </c>
      <c r="V19" s="1">
        <f t="shared" si="0"/>
        <v>0.41217038093519348</v>
      </c>
      <c r="Y19" s="43" t="s">
        <v>214</v>
      </c>
      <c r="Z19" s="1">
        <f>$V$11+$W$11</f>
        <v>1.6533464593186682</v>
      </c>
      <c r="AA19" s="1">
        <v>0</v>
      </c>
      <c r="AC19" s="43" t="s">
        <v>214</v>
      </c>
      <c r="AD19" s="1">
        <f>$V$11+$Y$11</f>
        <v>3.5138709635184755</v>
      </c>
      <c r="AE19" s="1">
        <v>0</v>
      </c>
    </row>
    <row r="20" spans="2:31" ht="13">
      <c r="B20" s="1" t="s">
        <v>11</v>
      </c>
      <c r="C20" s="1">
        <f>CEILING(C11,1)</f>
        <v>3</v>
      </c>
      <c r="D20" s="1">
        <f>C20*C3</f>
        <v>3</v>
      </c>
      <c r="E20" s="1">
        <f>C20+D20</f>
        <v>6</v>
      </c>
      <c r="N20" s="60" t="s">
        <v>237</v>
      </c>
      <c r="O20" s="61">
        <f>SQRT(EXP(AVERAGE(LN(O18^2+1),LN(O19^2+1)))-1)</f>
        <v>0.25437478714780926</v>
      </c>
      <c r="P20" s="62"/>
      <c r="U20" s="1">
        <f t="shared" si="1"/>
        <v>0.57020997534464746</v>
      </c>
      <c r="V20" s="1">
        <f t="shared" si="0"/>
        <v>0.44553349777912132</v>
      </c>
      <c r="Y20" s="43" t="s">
        <v>216</v>
      </c>
      <c r="Z20" s="1">
        <f>Z19</f>
        <v>1.6533464593186682</v>
      </c>
      <c r="AA20" s="1">
        <f>AA17</f>
        <v>0</v>
      </c>
      <c r="AC20" s="43" t="s">
        <v>216</v>
      </c>
      <c r="AD20" s="1">
        <f>AD19</f>
        <v>3.5138709635184755</v>
      </c>
      <c r="AE20" s="1">
        <f>AE17</f>
        <v>0.49812548917176475</v>
      </c>
    </row>
    <row r="21" spans="2:31">
      <c r="U21" s="1">
        <f t="shared" si="1"/>
        <v>0.68425197041357699</v>
      </c>
      <c r="V21" s="1">
        <f t="shared" si="0"/>
        <v>0.4719093196270166</v>
      </c>
    </row>
    <row r="22" spans="2:31" ht="13">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ht="13">
      <c r="U30" s="1">
        <f t="shared" si="1"/>
        <v>1.7106299260339428</v>
      </c>
      <c r="V30" s="1">
        <f t="shared" si="0"/>
        <v>0.31733625401860682</v>
      </c>
      <c r="Y30" s="9" t="s">
        <v>226</v>
      </c>
    </row>
    <row r="31" spans="2:31">
      <c r="U31" s="1">
        <f t="shared" si="1"/>
        <v>1.8246719211028724</v>
      </c>
      <c r="V31" s="1">
        <f t="shared" si="0"/>
        <v>0.27431147398263156</v>
      </c>
      <c r="Y31" s="43" t="s">
        <v>215</v>
      </c>
      <c r="Z31" s="43" t="s">
        <v>212</v>
      </c>
      <c r="AA31" s="43" t="s">
        <v>213</v>
      </c>
    </row>
    <row r="32" spans="2:31">
      <c r="U32" s="1">
        <f t="shared" si="1"/>
        <v>1.9387139161718019</v>
      </c>
      <c r="V32" s="1">
        <f t="shared" si="0"/>
        <v>0.23235010113869112</v>
      </c>
      <c r="Y32" s="43" t="s">
        <v>214</v>
      </c>
      <c r="Z32" s="31">
        <f>C7</f>
        <v>0.8</v>
      </c>
      <c r="AA32" s="1">
        <v>0</v>
      </c>
    </row>
    <row r="33" spans="2:27">
      <c r="U33" s="1">
        <f t="shared" si="1"/>
        <v>2.0527559112407312</v>
      </c>
      <c r="V33" s="1">
        <f t="shared" si="0"/>
        <v>0.19284854521492664</v>
      </c>
      <c r="Y33" s="43" t="s">
        <v>216</v>
      </c>
      <c r="Z33" s="31">
        <f>Z32</f>
        <v>0.8</v>
      </c>
      <c r="AA33" s="1">
        <f>IF($Y$29,MAX($V$15:$W$47),0)</f>
        <v>0.49812548917176475</v>
      </c>
    </row>
    <row r="34" spans="2:27">
      <c r="U34" s="1">
        <f t="shared" si="1"/>
        <v>2.1667979063096605</v>
      </c>
      <c r="V34" s="1">
        <f t="shared" si="0"/>
        <v>0.15684276045422713</v>
      </c>
      <c r="Y34" s="43" t="s">
        <v>217</v>
      </c>
      <c r="Z34" s="43" t="s">
        <v>212</v>
      </c>
      <c r="AA34" s="43" t="s">
        <v>213</v>
      </c>
    </row>
    <row r="35" spans="2:27">
      <c r="U35" s="1">
        <f t="shared" si="1"/>
        <v>2.2808399013785898</v>
      </c>
      <c r="V35" s="1">
        <f t="shared" si="0"/>
        <v>0.12499343312455446</v>
      </c>
      <c r="Y35" s="43" t="s">
        <v>214</v>
      </c>
      <c r="Z35" s="31">
        <f>C8</f>
        <v>1.25</v>
      </c>
      <c r="AA35" s="1">
        <v>0</v>
      </c>
    </row>
    <row r="36" spans="2:27">
      <c r="U36" s="1">
        <f t="shared" si="1"/>
        <v>2.3948818964475191</v>
      </c>
      <c r="V36" s="1">
        <f t="shared" si="0"/>
        <v>9.7607800230644914E-2</v>
      </c>
      <c r="Y36" s="43" t="s">
        <v>216</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121</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ht="13">
      <c r="B59" s="9" t="s">
        <v>123</v>
      </c>
    </row>
    <row r="61" spans="2:2" ht="13">
      <c r="B61" s="9" t="s">
        <v>233</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184150</xdr:colOff>
                    <xdr:row>22</xdr:row>
                    <xdr:rowOff>152400</xdr:rowOff>
                  </from>
                  <to>
                    <xdr:col>9</xdr:col>
                    <xdr:colOff>450850</xdr:colOff>
                    <xdr:row>24</xdr:row>
                    <xdr:rowOff>95250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69850</xdr:rowOff>
                  </from>
                  <to>
                    <xdr:col>12</xdr:col>
                    <xdr:colOff>317500</xdr:colOff>
                    <xdr:row>7</xdr:row>
                    <xdr:rowOff>107950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107950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73</v>
      </c>
      <c r="G1" s="9" t="s">
        <v>120</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58</v>
      </c>
      <c r="C4" s="2">
        <v>0.05</v>
      </c>
      <c r="J4" s="43"/>
      <c r="K4" s="43"/>
      <c r="L4" s="43"/>
      <c r="M4" s="43"/>
      <c r="N4" s="43"/>
      <c r="O4" s="43"/>
    </row>
    <row r="5" spans="2:31" ht="16" thickBot="1">
      <c r="B5" s="1" t="s">
        <v>118</v>
      </c>
      <c r="C5" s="42">
        <v>0.25</v>
      </c>
      <c r="D5" s="1" t="s">
        <v>125</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3" t="s">
        <v>210</v>
      </c>
      <c r="W10" s="43" t="s">
        <v>208</v>
      </c>
      <c r="X10" s="43" t="s">
        <v>211</v>
      </c>
      <c r="Y10" s="43" t="s">
        <v>209</v>
      </c>
      <c r="AA10" s="43" t="s">
        <v>222</v>
      </c>
      <c r="AB10" s="43" t="s">
        <v>223</v>
      </c>
    </row>
    <row r="11" spans="2:31" ht="13.5" thickBot="1">
      <c r="B11" s="1" t="s">
        <v>0</v>
      </c>
      <c r="C11" s="7">
        <v>3</v>
      </c>
      <c r="U11" s="43" t="s">
        <v>204</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ht="13">
      <c r="B14" s="1" t="s">
        <v>3</v>
      </c>
      <c r="C14" s="1">
        <f>(SQRT(C11)*(LN(C6)-LN(C8)))/(SQRT(2*C10^2))</f>
        <v>-1.3650970474733803</v>
      </c>
      <c r="U14" s="43" t="s">
        <v>203</v>
      </c>
      <c r="V14" s="43" t="s">
        <v>225</v>
      </c>
      <c r="W14" s="43"/>
      <c r="Y14" s="9" t="s">
        <v>218</v>
      </c>
      <c r="AC14" s="9" t="s">
        <v>220</v>
      </c>
    </row>
    <row r="15" spans="2:31">
      <c r="B15" s="1" t="s">
        <v>4</v>
      </c>
      <c r="C15" s="1">
        <f>(SQRT(C11)*(LN(C6)-LN(C7)))/(SQRT(2*C10^2))</f>
        <v>0.85481334599313763</v>
      </c>
      <c r="U15" s="1">
        <v>0</v>
      </c>
      <c r="V15" s="1">
        <f>_xlfn.NORM.DIST($U15,$V$11,$C$5,FALSE)</f>
        <v>1.1677877031658411E-3</v>
      </c>
      <c r="Y15" s="43" t="s">
        <v>215</v>
      </c>
      <c r="Z15" s="43" t="s">
        <v>212</v>
      </c>
      <c r="AA15" s="43" t="s">
        <v>213</v>
      </c>
      <c r="AC15" s="43" t="s">
        <v>215</v>
      </c>
      <c r="AD15" s="43" t="s">
        <v>212</v>
      </c>
      <c r="AE15" s="43" t="s">
        <v>213</v>
      </c>
    </row>
    <row r="16" spans="2:31">
      <c r="B16" s="1" t="s">
        <v>7</v>
      </c>
      <c r="C16" s="1">
        <f>NCt(-C13,C12,C14)</f>
        <v>0.17408384664483201</v>
      </c>
      <c r="U16" s="1">
        <f>U15+$AB$11</f>
        <v>5.8632809341726023E-2</v>
      </c>
      <c r="V16" s="1">
        <f t="shared" ref="V16:V47" si="0">_xlfn.NORM.DIST($U16,$V$11,$C$5,FALSE)</f>
        <v>2.7699447059280034E-3</v>
      </c>
      <c r="Y16" s="43" t="s">
        <v>214</v>
      </c>
      <c r="Z16" s="1">
        <f>$V$11-$W$11</f>
        <v>0.70377932293076018</v>
      </c>
      <c r="AA16" s="1">
        <v>0</v>
      </c>
      <c r="AC16" s="43" t="s">
        <v>214</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216</v>
      </c>
      <c r="Z17" s="1">
        <f>Z16</f>
        <v>0.70377932293076018</v>
      </c>
      <c r="AA17" s="1">
        <f>IF(Y13,MAX($V$15:$V$47),0)</f>
        <v>0</v>
      </c>
      <c r="AC17" s="43" t="s">
        <v>216</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3" t="s">
        <v>217</v>
      </c>
      <c r="Z18" s="43" t="s">
        <v>212</v>
      </c>
      <c r="AA18" s="43" t="s">
        <v>213</v>
      </c>
      <c r="AC18" s="43" t="s">
        <v>217</v>
      </c>
      <c r="AD18" s="43" t="s">
        <v>212</v>
      </c>
      <c r="AE18" s="43" t="s">
        <v>213</v>
      </c>
    </row>
    <row r="19" spans="2:31">
      <c r="U19" s="1">
        <f t="shared" si="1"/>
        <v>0.23453123736690409</v>
      </c>
      <c r="V19" s="1">
        <f t="shared" si="0"/>
        <v>2.6574356367658435E-2</v>
      </c>
      <c r="Y19" s="43" t="s">
        <v>214</v>
      </c>
      <c r="Z19" s="1">
        <f>$V$11+$W$11</f>
        <v>1.1962206770692396</v>
      </c>
      <c r="AA19" s="1">
        <v>0</v>
      </c>
      <c r="AC19" s="43" t="s">
        <v>214</v>
      </c>
      <c r="AD19" s="1">
        <f>$V$11+$Y$11</f>
        <v>1.847534971836216</v>
      </c>
      <c r="AE19" s="1">
        <v>0</v>
      </c>
    </row>
    <row r="20" spans="2:31">
      <c r="B20" s="1" t="s">
        <v>11</v>
      </c>
      <c r="C20" s="1">
        <f>CEILING(C11,1)</f>
        <v>3</v>
      </c>
      <c r="U20" s="1">
        <f t="shared" si="1"/>
        <v>0.29316404670863011</v>
      </c>
      <c r="V20" s="1">
        <f t="shared" si="0"/>
        <v>5.0584406183643189E-2</v>
      </c>
      <c r="Y20" s="43" t="s">
        <v>216</v>
      </c>
      <c r="Z20" s="1">
        <f>Z19</f>
        <v>1.1962206770692396</v>
      </c>
      <c r="AA20" s="1">
        <f>AA17</f>
        <v>0</v>
      </c>
      <c r="AC20" s="43" t="s">
        <v>216</v>
      </c>
      <c r="AD20" s="1">
        <f>AD19</f>
        <v>1.847534971836216</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ht="13">
      <c r="U30" s="1">
        <f t="shared" si="1"/>
        <v>0.87949214012589016</v>
      </c>
      <c r="V30" s="1">
        <f t="shared" si="0"/>
        <v>1.5335494667705791</v>
      </c>
      <c r="Y30" s="9" t="s">
        <v>226</v>
      </c>
    </row>
    <row r="31" spans="2:31">
      <c r="U31" s="1">
        <f t="shared" si="1"/>
        <v>0.93812494946761615</v>
      </c>
      <c r="V31" s="1">
        <f t="shared" si="0"/>
        <v>1.5939698943202625</v>
      </c>
      <c r="Y31" s="43" t="s">
        <v>215</v>
      </c>
      <c r="Z31" s="43" t="s">
        <v>212</v>
      </c>
      <c r="AA31" s="43" t="s">
        <v>213</v>
      </c>
    </row>
    <row r="32" spans="2:31">
      <c r="U32" s="1">
        <f t="shared" si="1"/>
        <v>0.99675775880934214</v>
      </c>
      <c r="V32" s="1">
        <f t="shared" si="0"/>
        <v>1.5681012990763428</v>
      </c>
      <c r="Y32" s="43" t="s">
        <v>214</v>
      </c>
      <c r="Z32" s="31">
        <f>C7</f>
        <v>0.8</v>
      </c>
      <c r="AA32" s="1">
        <v>0</v>
      </c>
    </row>
    <row r="33" spans="2:27">
      <c r="U33" s="1">
        <f t="shared" si="1"/>
        <v>1.0553905681510682</v>
      </c>
      <c r="V33" s="1">
        <f t="shared" si="0"/>
        <v>1.4600905481436155</v>
      </c>
      <c r="Y33" s="43" t="s">
        <v>216</v>
      </c>
      <c r="Z33" s="31">
        <f>Z32</f>
        <v>0.8</v>
      </c>
      <c r="AA33" s="1">
        <f>IF($Y$29,MAX($V$15:$W$47),0)</f>
        <v>1.5939698943202625</v>
      </c>
    </row>
    <row r="34" spans="2:27">
      <c r="U34" s="1">
        <f t="shared" si="1"/>
        <v>1.1140233774927943</v>
      </c>
      <c r="V34" s="1">
        <f t="shared" si="0"/>
        <v>1.2867587775324509</v>
      </c>
      <c r="Y34" s="43" t="s">
        <v>217</v>
      </c>
      <c r="Z34" s="43" t="s">
        <v>212</v>
      </c>
      <c r="AA34" s="43" t="s">
        <v>213</v>
      </c>
    </row>
    <row r="35" spans="2:27">
      <c r="U35" s="1">
        <f t="shared" si="1"/>
        <v>1.1726561868345204</v>
      </c>
      <c r="V35" s="1">
        <f t="shared" si="0"/>
        <v>1.0733124429725074</v>
      </c>
      <c r="Y35" s="43" t="s">
        <v>214</v>
      </c>
      <c r="Z35" s="31">
        <f>C8</f>
        <v>1.25</v>
      </c>
      <c r="AA35" s="1">
        <v>0</v>
      </c>
    </row>
    <row r="36" spans="2:27">
      <c r="U36" s="1">
        <f t="shared" si="1"/>
        <v>1.2312889961762465</v>
      </c>
      <c r="V36" s="1">
        <f t="shared" si="0"/>
        <v>0.84735786302017235</v>
      </c>
      <c r="Y36" s="43" t="s">
        <v>216</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121</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124</v>
      </c>
    </row>
    <row r="67" spans="2:7" ht="13">
      <c r="B67" s="9" t="s">
        <v>123</v>
      </c>
      <c r="G67" s="6"/>
    </row>
    <row r="68" spans="2:7">
      <c r="G68" s="6"/>
    </row>
    <row r="69" spans="2:7" ht="13">
      <c r="B69" s="9" t="s">
        <v>233</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184150</xdr:colOff>
                    <xdr:row>23</xdr:row>
                    <xdr:rowOff>0</xdr:rowOff>
                  </from>
                  <to>
                    <xdr:col>9</xdr:col>
                    <xdr:colOff>571500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69850</xdr:rowOff>
                  </from>
                  <to>
                    <xdr:col>11</xdr:col>
                    <xdr:colOff>508000</xdr:colOff>
                    <xdr:row>7</xdr:row>
                    <xdr:rowOff>107950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107950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Normal="100" zoomScalePageLayoutView="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0"/>
    <col min="27" max="27" width="20.453125" style="50" bestFit="1" customWidth="1"/>
    <col min="28" max="34" width="9.1796875" style="50"/>
    <col min="35" max="16384" width="9.1796875" style="1"/>
  </cols>
  <sheetData>
    <row r="1" spans="2:31" ht="25.5" thickBot="1">
      <c r="B1" s="17" t="s">
        <v>75</v>
      </c>
      <c r="G1" s="9" t="s">
        <v>120</v>
      </c>
      <c r="Z1" s="50" t="s">
        <v>32</v>
      </c>
    </row>
    <row r="2" spans="2:31" ht="13.5" thickBot="1">
      <c r="B2" s="1" t="s">
        <v>1</v>
      </c>
      <c r="C2" s="2">
        <v>0.8</v>
      </c>
      <c r="Y2" s="50" t="s">
        <v>31</v>
      </c>
      <c r="Z2" s="50">
        <f>(2*G9+1)/(G9+1)</f>
        <v>1</v>
      </c>
    </row>
    <row r="3" spans="2:31" ht="13.5" thickBot="1">
      <c r="C3" s="14"/>
      <c r="Y3" s="50" t="s">
        <v>309</v>
      </c>
      <c r="Z3" s="50">
        <v>0.75</v>
      </c>
    </row>
    <row r="4" spans="2:31" ht="13.5" thickBot="1">
      <c r="B4" s="8" t="s">
        <v>58</v>
      </c>
      <c r="C4" s="2">
        <v>0.05</v>
      </c>
      <c r="Y4" s="50" t="s">
        <v>310</v>
      </c>
      <c r="Z4" s="50">
        <v>0.5</v>
      </c>
    </row>
    <row r="5" spans="2:31" ht="16" thickBot="1">
      <c r="B5" s="1" t="s">
        <v>118</v>
      </c>
      <c r="C5" s="42">
        <v>0.65</v>
      </c>
      <c r="D5" s="1" t="s">
        <v>125</v>
      </c>
      <c r="U5" s="50" t="s">
        <v>55</v>
      </c>
      <c r="Y5" s="50">
        <v>2</v>
      </c>
    </row>
    <row r="6" spans="2:31" ht="16" thickBot="1">
      <c r="B6" s="1" t="s">
        <v>33</v>
      </c>
      <c r="C6" s="42">
        <v>0.9</v>
      </c>
      <c r="D6" s="1" t="str">
        <f>IF(C6=1,"","(to "&amp;ROUND(100/C6,1)&amp;"%)")&amp;IF(OR($C$6&lt;$C$7,$C$6&gt;$C$8)," WARNING: Ratio outside BE limits.","")</f>
        <v>(to 111.1%)</v>
      </c>
      <c r="U6" s="50">
        <v>1</v>
      </c>
      <c r="Y6" s="50">
        <f>INDEX(Z2:Z4,Y5,1)</f>
        <v>0.75</v>
      </c>
    </row>
    <row r="7" spans="2:31" ht="13.5" thickBot="1">
      <c r="B7" s="1" t="s">
        <v>9</v>
      </c>
      <c r="C7" s="13">
        <v>0.8</v>
      </c>
    </row>
    <row r="8" spans="2:31" ht="13.5" thickBot="1">
      <c r="B8" s="1" t="s">
        <v>10</v>
      </c>
      <c r="C8" s="13">
        <f>1/C7</f>
        <v>1.25</v>
      </c>
    </row>
    <row r="10" spans="2:31" ht="15.5">
      <c r="B10" s="8" t="s">
        <v>26</v>
      </c>
      <c r="C10" s="1">
        <f>SQRT(LN((C5)^2+1))</f>
        <v>0.59364626421662003</v>
      </c>
      <c r="V10" s="50" t="s">
        <v>210</v>
      </c>
      <c r="W10" s="50" t="s">
        <v>208</v>
      </c>
      <c r="X10" s="50" t="s">
        <v>211</v>
      </c>
      <c r="Y10" s="50" t="s">
        <v>209</v>
      </c>
      <c r="AA10" s="50" t="s">
        <v>222</v>
      </c>
      <c r="AB10" s="50" t="s">
        <v>223</v>
      </c>
    </row>
    <row r="11" spans="2:31" ht="13">
      <c r="B11" s="1" t="s">
        <v>0</v>
      </c>
      <c r="C11" s="7">
        <v>3</v>
      </c>
      <c r="U11" s="50" t="s">
        <v>204</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ht="13">
      <c r="B14" s="1" t="s">
        <v>3</v>
      </c>
      <c r="C14" s="1">
        <f>(SQRT(C11)*(LN(C6)-LN(C8)))/(SQRT(2*C10^2))</f>
        <v>-0.67773301291839627</v>
      </c>
      <c r="U14" s="50" t="s">
        <v>203</v>
      </c>
      <c r="V14" s="50" t="s">
        <v>225</v>
      </c>
      <c r="Y14" s="53" t="s">
        <v>218</v>
      </c>
      <c r="AC14" s="53" t="s">
        <v>220</v>
      </c>
    </row>
    <row r="15" spans="2:31">
      <c r="B15" s="1" t="s">
        <v>4</v>
      </c>
      <c r="C15" s="1">
        <f>(SQRT(C11)*(LN(C6)-LN(C7)))/(SQRT(2*C10^2))</f>
        <v>0.24299684433700114</v>
      </c>
      <c r="U15" s="50">
        <v>0</v>
      </c>
      <c r="V15" s="50">
        <f>_xlfn.NORM.DIST($U15,$V$11,$C$5,FALSE)</f>
        <v>0.23533729435330628</v>
      </c>
      <c r="Y15" s="50" t="s">
        <v>215</v>
      </c>
      <c r="Z15" s="50" t="s">
        <v>212</v>
      </c>
      <c r="AA15" s="50" t="s">
        <v>213</v>
      </c>
      <c r="AC15" s="50" t="s">
        <v>215</v>
      </c>
      <c r="AD15" s="50" t="s">
        <v>212</v>
      </c>
      <c r="AE15" s="50" t="s">
        <v>213</v>
      </c>
    </row>
    <row r="16" spans="2:31">
      <c r="B16" s="1" t="s">
        <v>7</v>
      </c>
      <c r="C16" s="1">
        <f>NCt(-C13,C12,C14)</f>
        <v>0.10307839717957634</v>
      </c>
      <c r="U16" s="50">
        <f>U15+$AB$11</f>
        <v>9.9229850208075149E-2</v>
      </c>
      <c r="V16" s="50">
        <f t="shared" ref="V16:V47" si="0">_xlfn.NORM.DIST($U16,$V$11,$C$5,FALSE)</f>
        <v>0.28736242915824389</v>
      </c>
      <c r="Y16" s="50" t="s">
        <v>214</v>
      </c>
      <c r="Z16" s="50">
        <f>$V$11-$W$11</f>
        <v>0.30635373578337999</v>
      </c>
      <c r="AA16" s="50">
        <v>0</v>
      </c>
      <c r="AC16" s="50" t="s">
        <v>214</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216</v>
      </c>
      <c r="Z17" s="50">
        <f>Z16</f>
        <v>0.30635373578337999</v>
      </c>
      <c r="AA17" s="50">
        <f>IF(Y13,MAX($V$15:$V$47),0)</f>
        <v>0</v>
      </c>
      <c r="AC17" s="50" t="s">
        <v>216</v>
      </c>
      <c r="AD17" s="50">
        <f>AD16</f>
        <v>-1.2639867511391212</v>
      </c>
      <c r="AE17" s="50">
        <f>IF(AC13,MAX($V$15:$V$47),0)</f>
        <v>0.61372245947377413</v>
      </c>
    </row>
    <row r="18" spans="2:31">
      <c r="B18" s="1" t="s">
        <v>57</v>
      </c>
      <c r="C18" s="1">
        <f>C16-C17</f>
        <v>-0.83031565608205138</v>
      </c>
      <c r="E18" s="5"/>
      <c r="U18" s="50">
        <f t="shared" si="1"/>
        <v>0.29768955062422542</v>
      </c>
      <c r="V18" s="50">
        <f t="shared" si="0"/>
        <v>0.39952515522834975</v>
      </c>
      <c r="Y18" s="50" t="s">
        <v>217</v>
      </c>
      <c r="Z18" s="50" t="s">
        <v>212</v>
      </c>
      <c r="AA18" s="50" t="s">
        <v>213</v>
      </c>
      <c r="AC18" s="50" t="s">
        <v>217</v>
      </c>
      <c r="AD18" s="50" t="s">
        <v>212</v>
      </c>
      <c r="AE18" s="50" t="s">
        <v>213</v>
      </c>
    </row>
    <row r="19" spans="2:31">
      <c r="U19" s="50">
        <f t="shared" si="1"/>
        <v>0.3969194008323006</v>
      </c>
      <c r="V19" s="50">
        <f t="shared" si="0"/>
        <v>0.45490325198376713</v>
      </c>
      <c r="Y19" s="50" t="s">
        <v>214</v>
      </c>
      <c r="Z19" s="50">
        <f>$V$11+$W$11</f>
        <v>1.4936462642166202</v>
      </c>
      <c r="AA19" s="50">
        <v>0</v>
      </c>
      <c r="AC19" s="50" t="s">
        <v>214</v>
      </c>
      <c r="AD19" s="50">
        <f>$V$11+$Y$11</f>
        <v>3.063986751139121</v>
      </c>
      <c r="AE19" s="50">
        <v>0</v>
      </c>
    </row>
    <row r="20" spans="2:31">
      <c r="B20" s="1" t="s">
        <v>11</v>
      </c>
      <c r="C20" s="1">
        <f>CEILING(INDEX(Z2:Z4,Y5,1)*C11,1)</f>
        <v>3</v>
      </c>
      <c r="U20" s="50">
        <f t="shared" si="1"/>
        <v>0.49614925104037577</v>
      </c>
      <c r="V20" s="50">
        <f t="shared" si="0"/>
        <v>0.50602563077485663</v>
      </c>
      <c r="Y20" s="50" t="s">
        <v>216</v>
      </c>
      <c r="Z20" s="50">
        <f>Z19</f>
        <v>1.4936462642166202</v>
      </c>
      <c r="AA20" s="50">
        <f>AA17</f>
        <v>0</v>
      </c>
      <c r="AC20" s="50" t="s">
        <v>216</v>
      </c>
      <c r="AD20" s="50">
        <f>AD19</f>
        <v>3.063986751139121</v>
      </c>
      <c r="AE20" s="50">
        <f>AE17</f>
        <v>0.61372245947377413</v>
      </c>
    </row>
    <row r="21" spans="2:31">
      <c r="U21" s="50">
        <f t="shared" si="1"/>
        <v>0.59537910124845095</v>
      </c>
      <c r="V21" s="50">
        <f t="shared" si="0"/>
        <v>0.54992637471810812</v>
      </c>
    </row>
    <row r="22" spans="2:31" ht="13">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ht="13">
      <c r="U30" s="50">
        <f t="shared" si="1"/>
        <v>1.4884477531211271</v>
      </c>
      <c r="V30" s="50">
        <f t="shared" si="0"/>
        <v>0.40740663195800214</v>
      </c>
      <c r="Y30" s="53" t="s">
        <v>226</v>
      </c>
    </row>
    <row r="31" spans="2:31">
      <c r="U31" s="50">
        <f t="shared" si="1"/>
        <v>1.5876776033292022</v>
      </c>
      <c r="V31" s="50">
        <f t="shared" si="0"/>
        <v>0.35070805182037268</v>
      </c>
      <c r="Y31" s="50" t="s">
        <v>215</v>
      </c>
      <c r="Z31" s="50" t="s">
        <v>212</v>
      </c>
      <c r="AA31" s="50" t="s">
        <v>213</v>
      </c>
    </row>
    <row r="32" spans="2:31">
      <c r="U32" s="50">
        <f t="shared" si="1"/>
        <v>1.6869074535372772</v>
      </c>
      <c r="V32" s="50">
        <f t="shared" si="0"/>
        <v>0.29494561250934742</v>
      </c>
      <c r="Y32" s="50" t="s">
        <v>214</v>
      </c>
      <c r="Z32" s="54">
        <f>C7</f>
        <v>0.8</v>
      </c>
      <c r="AA32" s="50">
        <v>0</v>
      </c>
    </row>
    <row r="33" spans="21:27">
      <c r="U33" s="50">
        <f t="shared" si="1"/>
        <v>1.7861373037453523</v>
      </c>
      <c r="V33" s="50">
        <f t="shared" si="0"/>
        <v>0.24233531319033688</v>
      </c>
      <c r="Y33" s="50" t="s">
        <v>216</v>
      </c>
      <c r="Z33" s="54">
        <f>Z32</f>
        <v>0.8</v>
      </c>
      <c r="AA33" s="50">
        <f>IF($Y$29,MAX($V$15:$W$47),0)</f>
        <v>0.61372245947377413</v>
      </c>
    </row>
    <row r="34" spans="21:27">
      <c r="U34" s="50">
        <f t="shared" si="1"/>
        <v>1.8853671539534274</v>
      </c>
      <c r="V34" s="50">
        <f t="shared" si="0"/>
        <v>0.1945225836599368</v>
      </c>
      <c r="Y34" s="50" t="s">
        <v>217</v>
      </c>
      <c r="Z34" s="50" t="s">
        <v>212</v>
      </c>
      <c r="AA34" s="50" t="s">
        <v>213</v>
      </c>
    </row>
    <row r="35" spans="21:27">
      <c r="U35" s="50">
        <f t="shared" si="1"/>
        <v>1.9845970041615024</v>
      </c>
      <c r="V35" s="50">
        <f t="shared" si="0"/>
        <v>0.15254638314764188</v>
      </c>
      <c r="Y35" s="50" t="s">
        <v>214</v>
      </c>
      <c r="Z35" s="54">
        <f>C8</f>
        <v>1.25</v>
      </c>
      <c r="AA35" s="50">
        <v>0</v>
      </c>
    </row>
    <row r="36" spans="21:27">
      <c r="U36" s="50">
        <f t="shared" si="1"/>
        <v>2.0838268543695775</v>
      </c>
      <c r="V36" s="50">
        <f t="shared" si="0"/>
        <v>0.11687250742502221</v>
      </c>
      <c r="Y36" s="50" t="s">
        <v>216</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121</v>
      </c>
    </row>
    <row r="63" spans="2:2" ht="13">
      <c r="B63" s="9" t="s">
        <v>123</v>
      </c>
    </row>
    <row r="67" spans="2:7" ht="13">
      <c r="B67" s="9"/>
      <c r="G67" s="6"/>
    </row>
    <row r="68" spans="2:7">
      <c r="G68" s="6"/>
    </row>
    <row r="69" spans="2:7" ht="13">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35843" r:id="rId5" name="Button 3">
              <controlPr defaultSize="0" print="0" autoFill="0" autoPict="0" macro="[0]!ISVrep_Calculator">
                <anchor moveWithCells="1" sizeWithCells="1">
                  <from>
                    <xdr:col>5</xdr:col>
                    <xdr:colOff>184150</xdr:colOff>
                    <xdr:row>23</xdr:row>
                    <xdr:rowOff>0</xdr:rowOff>
                  </from>
                  <to>
                    <xdr:col>10</xdr:col>
                    <xdr:colOff>69850</xdr:colOff>
                    <xdr:row>24</xdr:row>
                    <xdr:rowOff>88900</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336550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336550</xdr:colOff>
                    <xdr:row>7</xdr:row>
                    <xdr:rowOff>127000</xdr:rowOff>
                  </from>
                  <to>
                    <xdr:col>11</xdr:col>
                    <xdr:colOff>488950</xdr:colOff>
                    <xdr:row>9</xdr:row>
                    <xdr:rowOff>31750</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336550</xdr:colOff>
                    <xdr:row>9</xdr:row>
                    <xdr:rowOff>31750</xdr:rowOff>
                  </from>
                  <to>
                    <xdr:col>11</xdr:col>
                    <xdr:colOff>488950</xdr:colOff>
                    <xdr:row>10</xdr:row>
                    <xdr:rowOff>31750</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796875" defaultRowHeight="12.5"/>
  <cols>
    <col min="1" max="1" width="4.54296875" style="90" customWidth="1"/>
    <col min="2" max="3" width="12" style="90" customWidth="1"/>
    <col min="4" max="13" width="11.54296875" style="90" customWidth="1"/>
    <col min="14" max="16" width="14.26953125" style="90" customWidth="1"/>
    <col min="17" max="16384" width="9.1796875" style="90"/>
  </cols>
  <sheetData>
    <row r="2" spans="2:16" ht="25">
      <c r="B2" s="96" t="s">
        <v>304</v>
      </c>
      <c r="C2" s="91"/>
    </row>
    <row r="9" spans="2:16" ht="13">
      <c r="C9" s="129" t="s">
        <v>305</v>
      </c>
      <c r="D9" s="130"/>
      <c r="E9" s="130"/>
      <c r="F9" s="131"/>
      <c r="G9" s="132" t="s">
        <v>306</v>
      </c>
      <c r="H9" s="139"/>
      <c r="I9" s="133"/>
      <c r="J9" s="133"/>
      <c r="K9" s="133"/>
      <c r="L9" s="133"/>
      <c r="M9" s="134"/>
      <c r="N9" s="135" t="s">
        <v>307</v>
      </c>
      <c r="O9" s="136"/>
      <c r="P9" s="137"/>
    </row>
    <row r="10" spans="2:16" ht="13">
      <c r="B10" s="93" t="s">
        <v>297</v>
      </c>
      <c r="C10" s="97" t="s">
        <v>301</v>
      </c>
      <c r="D10" s="97" t="s">
        <v>301</v>
      </c>
      <c r="E10" s="97" t="s">
        <v>301</v>
      </c>
      <c r="F10" s="97" t="s">
        <v>301</v>
      </c>
      <c r="G10" s="103" t="s">
        <v>301</v>
      </c>
      <c r="H10" s="103" t="s">
        <v>279</v>
      </c>
      <c r="I10" s="103" t="s">
        <v>279</v>
      </c>
      <c r="J10" s="103" t="s">
        <v>285</v>
      </c>
      <c r="K10" s="103" t="s">
        <v>285</v>
      </c>
      <c r="L10" s="104" t="s">
        <v>286</v>
      </c>
      <c r="M10" s="105" t="s">
        <v>286</v>
      </c>
      <c r="N10" s="122" t="s">
        <v>288</v>
      </c>
      <c r="O10" s="122" t="s">
        <v>289</v>
      </c>
      <c r="P10" s="122" t="s">
        <v>293</v>
      </c>
    </row>
    <row r="11" spans="2:16" ht="13">
      <c r="B11" s="94"/>
      <c r="C11" s="98" t="s">
        <v>303</v>
      </c>
      <c r="D11" s="98" t="s">
        <v>292</v>
      </c>
      <c r="E11" s="98" t="s">
        <v>281</v>
      </c>
      <c r="F11" s="98" t="s">
        <v>283</v>
      </c>
      <c r="G11" s="106" t="s">
        <v>292</v>
      </c>
      <c r="H11" s="106" t="s">
        <v>281</v>
      </c>
      <c r="I11" s="106" t="s">
        <v>283</v>
      </c>
      <c r="J11" s="106" t="s">
        <v>281</v>
      </c>
      <c r="K11" s="106" t="s">
        <v>283</v>
      </c>
      <c r="L11" s="107" t="s">
        <v>281</v>
      </c>
      <c r="M11" s="108" t="s">
        <v>283</v>
      </c>
      <c r="N11" s="123" t="s">
        <v>283</v>
      </c>
      <c r="O11" s="123" t="s">
        <v>292</v>
      </c>
      <c r="P11" s="123" t="s">
        <v>292</v>
      </c>
    </row>
    <row r="12" spans="2:16" ht="13">
      <c r="B12" s="94" t="s">
        <v>296</v>
      </c>
      <c r="C12" s="99" t="s">
        <v>295</v>
      </c>
      <c r="D12" s="99" t="s">
        <v>295</v>
      </c>
      <c r="E12" s="99" t="s">
        <v>295</v>
      </c>
      <c r="F12" s="99" t="s">
        <v>295</v>
      </c>
      <c r="G12" s="109" t="s">
        <v>295</v>
      </c>
      <c r="H12" s="109" t="s">
        <v>287</v>
      </c>
      <c r="I12" s="109" t="s">
        <v>287</v>
      </c>
      <c r="J12" s="109" t="s">
        <v>287</v>
      </c>
      <c r="K12" s="109" t="s">
        <v>287</v>
      </c>
      <c r="L12" s="110" t="s">
        <v>287</v>
      </c>
      <c r="M12" s="111" t="s">
        <v>287</v>
      </c>
      <c r="N12" s="124" t="s">
        <v>287</v>
      </c>
      <c r="O12" s="124" t="s">
        <v>290</v>
      </c>
      <c r="P12" s="124" t="s">
        <v>294</v>
      </c>
    </row>
    <row r="13" spans="2:16" ht="13">
      <c r="B13" s="94" t="s">
        <v>298</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ht="13">
      <c r="B14" s="94" t="s">
        <v>299</v>
      </c>
      <c r="C14" s="99" t="s">
        <v>302</v>
      </c>
      <c r="D14" s="99" t="s">
        <v>291</v>
      </c>
      <c r="E14" s="99" t="s">
        <v>280</v>
      </c>
      <c r="F14" s="99" t="s">
        <v>282</v>
      </c>
      <c r="G14" s="109" t="s">
        <v>291</v>
      </c>
      <c r="H14" s="109" t="s">
        <v>280</v>
      </c>
      <c r="I14" s="109" t="s">
        <v>282</v>
      </c>
      <c r="J14" s="109" t="s">
        <v>280</v>
      </c>
      <c r="K14" s="109" t="s">
        <v>282</v>
      </c>
      <c r="L14" s="110" t="s">
        <v>280</v>
      </c>
      <c r="M14" s="111" t="s">
        <v>282</v>
      </c>
      <c r="N14" s="124" t="s">
        <v>282</v>
      </c>
      <c r="O14" s="124" t="s">
        <v>291</v>
      </c>
      <c r="P14" s="124" t="s">
        <v>291</v>
      </c>
    </row>
    <row r="15" spans="2:16" ht="13">
      <c r="B15" s="94" t="s">
        <v>300</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ht="13">
      <c r="B16" s="95" t="s">
        <v>284</v>
      </c>
      <c r="C16" s="101"/>
      <c r="D16" s="101"/>
      <c r="E16" s="101"/>
      <c r="F16" s="101"/>
      <c r="G16" s="118"/>
      <c r="H16" s="118"/>
      <c r="I16" s="118"/>
      <c r="J16" s="118"/>
      <c r="K16" s="118"/>
      <c r="L16" s="119"/>
      <c r="M16" s="120"/>
      <c r="N16" s="127"/>
      <c r="O16" s="127" t="s">
        <v>308</v>
      </c>
      <c r="P16" s="127" t="s">
        <v>308</v>
      </c>
    </row>
    <row r="17" spans="2:16" ht="13">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ht="13">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ht="13">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ht="13">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ht="13">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ht="13">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ht="13">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ht="13">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ht="13">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ht="13">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ht="13">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ht="13">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ht="13">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ht="13">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ht="13">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ht="13">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ht="13">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ht="13">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ht="13">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ht="13">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ht="13">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ht="13">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ht="13">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ht="13">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ht="13">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ht="13">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ht="13">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ht="13">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ht="13">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ht="13">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ht="13">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ht="13">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ht="13">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ht="13">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ht="13">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ht="13">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ht="13">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ht="13">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ht="13">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ht="13">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ht="13">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ht="13">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ht="13">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ht="13">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ht="13">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ht="13">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ht="13">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ht="13">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ht="13">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ht="13">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ht="13">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ht="13">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ht="13">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ht="13">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ht="13">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ht="13">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ht="13">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ht="13">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ht="13">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ht="13">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ht="13">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ht="13">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ht="13">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ht="13">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ht="13">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ht="13">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ht="13">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ht="13">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ht="13">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ht="13">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ht="13">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ht="13">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ht="13">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ht="13">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ht="13">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ht="13">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ht="13">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ht="13">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ht="13">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ht="13">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ht="13">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ht="13">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ht="13">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ht="13">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ht="13">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ht="13">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ht="13">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ht="13">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ht="13">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ht="13">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ht="13">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ht="13">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ht="13">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ht="13">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ht="13">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ht="13">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ht="13">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ht="13">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ht="13">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ht="13">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ht="13">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ht="13">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ht="13">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ht="13">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ht="13">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ht="13">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ht="13">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ht="13">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ht="13">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ht="13">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ht="13">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ht="13">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ht="13">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ht="13">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ht="13">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ht="13">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ht="13">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ht="13">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ht="13">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ht="13">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ht="13">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ht="13">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ht="13">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ht="13">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ht="13">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ht="13">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ht="13">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ht="13">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ht="13">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ht="13">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ht="13">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ht="13">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ht="13">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ht="13">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ht="13">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ht="13">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ht="13">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ht="13">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ht="13">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ht="13">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ht="13">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ht="13">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ht="13">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ht="13">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ht="13">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ht="13">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ht="13">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ht="13">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ht="13">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ht="13">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ht="13">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ht="13">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ht="13">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ht="13">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ht="13">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ht="13">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ht="13">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ht="13">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ht="13">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ht="13">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ht="13">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796875" defaultRowHeight="14.5"/>
  <cols>
    <col min="1" max="1" width="5.81640625" style="77" customWidth="1"/>
    <col min="2" max="2" width="9.1796875" style="77" customWidth="1"/>
    <col min="3" max="16384" width="9.1796875" style="77"/>
  </cols>
  <sheetData>
    <row r="2" spans="2:2" ht="23.5">
      <c r="B2" s="76" t="s">
        <v>245</v>
      </c>
    </row>
    <row r="19" spans="2:4" ht="15" thickBot="1"/>
    <row r="20" spans="2:4" ht="17" thickBot="1">
      <c r="B20" s="77" t="s">
        <v>246</v>
      </c>
      <c r="C20" s="78">
        <v>0.1</v>
      </c>
      <c r="D20" s="89" t="s">
        <v>278</v>
      </c>
    </row>
    <row r="21" spans="2:4" ht="17" thickBot="1">
      <c r="B21" s="77" t="s">
        <v>247</v>
      </c>
      <c r="C21" s="79">
        <v>0.2</v>
      </c>
    </row>
    <row r="22" spans="2:4" ht="17">
      <c r="B22" s="77" t="s">
        <v>248</v>
      </c>
      <c r="C22" s="80">
        <f>C20*C21</f>
        <v>2.0000000000000004E-2</v>
      </c>
    </row>
    <row r="23" spans="2:4">
      <c r="C23" s="80"/>
    </row>
    <row r="24" spans="2:4" ht="17">
      <c r="B24" s="77" t="s">
        <v>249</v>
      </c>
      <c r="C24" s="80">
        <f>1-C25</f>
        <v>0.28000000000000003</v>
      </c>
      <c r="D24" s="77" t="s">
        <v>250</v>
      </c>
    </row>
    <row r="25" spans="2:4" ht="17">
      <c r="B25" s="77" t="s">
        <v>251</v>
      </c>
      <c r="C25" s="80">
        <f>1-C20-C21+C22</f>
        <v>0.72</v>
      </c>
      <c r="D25" s="77" t="s">
        <v>252</v>
      </c>
    </row>
    <row r="26" spans="2:4" ht="15" thickBot="1"/>
    <row r="27" spans="2:4" ht="15" thickBot="1">
      <c r="C27" s="81" t="s">
        <v>277</v>
      </c>
      <c r="D27" s="78">
        <v>50</v>
      </c>
    </row>
    <row r="28" spans="2:4">
      <c r="C28" s="81" t="s">
        <v>253</v>
      </c>
      <c r="D28" s="80">
        <f>D27*C24</f>
        <v>14.000000000000002</v>
      </c>
    </row>
    <row r="29" spans="2:4">
      <c r="C29" s="81" t="s">
        <v>254</v>
      </c>
      <c r="D29" s="80">
        <f>D27/C25</f>
        <v>69.444444444444443</v>
      </c>
    </row>
    <row r="30" spans="2:4" ht="15" thickBot="1"/>
    <row r="31" spans="2:4" ht="15" thickBot="1">
      <c r="B31" s="81" t="s">
        <v>255</v>
      </c>
      <c r="C31" s="78">
        <v>2</v>
      </c>
      <c r="D31" s="77" t="s">
        <v>256</v>
      </c>
    </row>
    <row r="33" spans="2:5">
      <c r="B33" s="81" t="s">
        <v>257</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258</v>
      </c>
      <c r="C39" s="82">
        <f>_xlfn.XLOOKUP("&lt;-- divisible",E33:E37,C33:C37,"NOT FOUND", 0,1)</f>
        <v>70</v>
      </c>
      <c r="D39" s="77" t="s">
        <v>259</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796875" defaultRowHeight="14.5"/>
  <cols>
    <col min="1" max="1" width="5.26953125" style="77" customWidth="1"/>
    <col min="2" max="16384" width="9.1796875" style="77"/>
  </cols>
  <sheetData>
    <row r="2" spans="2:2" ht="23.5">
      <c r="B2" s="76" t="s">
        <v>260</v>
      </c>
    </row>
    <row r="3" spans="2:2" ht="23.5">
      <c r="B3" s="83"/>
    </row>
    <row r="28" spans="3:9" ht="15" thickBot="1"/>
    <row r="29" spans="3:9" ht="17" thickBot="1">
      <c r="C29" s="77" t="s">
        <v>246</v>
      </c>
      <c r="D29" s="78">
        <v>0.1</v>
      </c>
      <c r="E29" s="89" t="s">
        <v>278</v>
      </c>
    </row>
    <row r="30" spans="3:9" ht="17" thickBot="1">
      <c r="C30" s="77" t="s">
        <v>247</v>
      </c>
      <c r="D30" s="78">
        <v>0.01</v>
      </c>
      <c r="E30" s="77" t="s">
        <v>261</v>
      </c>
    </row>
    <row r="31" spans="3:9" ht="17" thickBot="1">
      <c r="C31" s="77" t="s">
        <v>262</v>
      </c>
      <c r="D31" s="78">
        <v>0.03</v>
      </c>
      <c r="E31" s="77" t="s">
        <v>263</v>
      </c>
    </row>
    <row r="32" spans="3:9">
      <c r="D32" s="84"/>
      <c r="F32" s="85"/>
      <c r="G32" s="85"/>
      <c r="H32" s="85"/>
      <c r="I32" s="85"/>
    </row>
    <row r="33" spans="3:9">
      <c r="D33" s="84"/>
      <c r="F33" s="85" t="s">
        <v>264</v>
      </c>
      <c r="G33" s="85" t="s">
        <v>265</v>
      </c>
      <c r="H33" s="85" t="s">
        <v>266</v>
      </c>
      <c r="I33" s="85" t="s">
        <v>267</v>
      </c>
    </row>
    <row r="34" spans="3:9" ht="17">
      <c r="C34" s="77" t="s">
        <v>248</v>
      </c>
      <c r="D34" s="86">
        <f>D29*D30</f>
        <v>1E-3</v>
      </c>
      <c r="E34" s="87" t="s">
        <v>268</v>
      </c>
      <c r="F34" s="86">
        <f>D34-D37</f>
        <v>9.7000000000000005E-4</v>
      </c>
      <c r="G34" s="86">
        <f>D29-F34-F36-D37</f>
        <v>9.6030000000000004E-2</v>
      </c>
      <c r="H34" s="88">
        <f>D37+SUM(F34:G36)</f>
        <v>0.13573000000000002</v>
      </c>
      <c r="I34" s="88">
        <f>1-H34</f>
        <v>0.86426999999999998</v>
      </c>
    </row>
    <row r="35" spans="3:9" ht="17">
      <c r="C35" s="77" t="s">
        <v>269</v>
      </c>
      <c r="D35" s="86">
        <f>D29*D31</f>
        <v>3.0000000000000001E-3</v>
      </c>
      <c r="E35" s="87" t="s">
        <v>270</v>
      </c>
      <c r="F35" s="86">
        <f>D36-D37</f>
        <v>2.6999999999999995E-4</v>
      </c>
      <c r="G35" s="86">
        <f>D30-F34-F35-D37</f>
        <v>8.7299999999999999E-3</v>
      </c>
      <c r="H35" s="86"/>
      <c r="I35" s="86"/>
    </row>
    <row r="36" spans="3:9" ht="17">
      <c r="C36" s="77" t="s">
        <v>271</v>
      </c>
      <c r="D36" s="86">
        <f>D30*D31</f>
        <v>2.9999999999999997E-4</v>
      </c>
      <c r="E36" s="87" t="s">
        <v>272</v>
      </c>
      <c r="F36" s="86">
        <f>D35-D37</f>
        <v>2.97E-3</v>
      </c>
      <c r="G36" s="86">
        <f>D31-F36-F35-D37</f>
        <v>2.673E-2</v>
      </c>
      <c r="H36" s="86"/>
      <c r="I36" s="86"/>
    </row>
    <row r="37" spans="3:9" ht="17">
      <c r="C37" s="77" t="s">
        <v>273</v>
      </c>
      <c r="D37" s="86">
        <f>D29*D30*D31</f>
        <v>3.0000000000000001E-5</v>
      </c>
      <c r="E37" s="87" t="s">
        <v>274</v>
      </c>
      <c r="F37" s="88">
        <f>SUM(F34:F36)</f>
        <v>4.2100000000000002E-3</v>
      </c>
      <c r="G37" s="88">
        <f>SUM(G34:G36)</f>
        <v>0.13149</v>
      </c>
      <c r="H37" s="86"/>
      <c r="I37" s="86"/>
    </row>
    <row r="39" spans="3:9" ht="17">
      <c r="C39" s="77" t="s">
        <v>275</v>
      </c>
      <c r="D39" s="86">
        <f>D29+D30+D31-D34-D35-D36+D37</f>
        <v>0.13573000000000002</v>
      </c>
      <c r="E39" s="77" t="s">
        <v>250</v>
      </c>
    </row>
    <row r="40" spans="3:9" ht="17">
      <c r="C40" s="77" t="s">
        <v>276</v>
      </c>
      <c r="D40" s="86">
        <f>1-D39</f>
        <v>0.86426999999999998</v>
      </c>
      <c r="E40" s="77" t="s">
        <v>252</v>
      </c>
    </row>
    <row r="41" spans="3:9" ht="15" thickBot="1"/>
    <row r="42" spans="3:9" ht="15" thickBot="1">
      <c r="D42" s="81" t="s">
        <v>277</v>
      </c>
      <c r="E42" s="78">
        <v>67</v>
      </c>
    </row>
    <row r="43" spans="3:9">
      <c r="D43" s="81" t="s">
        <v>253</v>
      </c>
      <c r="E43" s="80">
        <f>E42*D39</f>
        <v>9.093910000000001</v>
      </c>
    </row>
    <row r="44" spans="3:9">
      <c r="D44" s="81" t="s">
        <v>254</v>
      </c>
      <c r="E44" s="80">
        <f>E42/D40</f>
        <v>77.522070649218421</v>
      </c>
    </row>
    <row r="45" spans="3:9" ht="15" thickBot="1">
      <c r="C45" s="85"/>
    </row>
    <row r="46" spans="3:9" ht="15" thickBot="1">
      <c r="C46" s="81" t="s">
        <v>255</v>
      </c>
      <c r="D46" s="78">
        <v>2</v>
      </c>
      <c r="E46" s="77" t="s">
        <v>256</v>
      </c>
    </row>
    <row r="47" spans="3:9">
      <c r="C47" s="85"/>
    </row>
    <row r="48" spans="3:9">
      <c r="C48" s="81" t="s">
        <v>257</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258</v>
      </c>
      <c r="D54" s="82">
        <f>_xlfn.XLOOKUP("&lt;-- divisible",F48:F52,D48:D52,"NOT FOUND", 0,1)</f>
        <v>78</v>
      </c>
      <c r="E54" s="77" t="s">
        <v>259</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192</v>
      </c>
    </row>
    <row r="2" spans="2:15" ht="13" thickBot="1"/>
    <row r="3" spans="2:15" ht="13.5" thickBot="1">
      <c r="B3" s="15" t="s">
        <v>195</v>
      </c>
      <c r="C3" s="33">
        <v>0.3</v>
      </c>
      <c r="D3" s="15" t="s">
        <v>196</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39" t="s">
        <v>166</v>
      </c>
    </row>
    <row r="7" spans="2:15" ht="15.5">
      <c r="B7" s="39" t="s">
        <v>167</v>
      </c>
    </row>
    <row r="8" spans="2:15" ht="15.5">
      <c r="B8" s="39"/>
    </row>
    <row r="9" spans="2:15" ht="18">
      <c r="B9" s="27" t="s">
        <v>148</v>
      </c>
      <c r="C9" s="15"/>
      <c r="D9" s="15"/>
      <c r="E9" s="15"/>
      <c r="F9" s="15"/>
      <c r="G9" s="15"/>
      <c r="H9" s="15"/>
      <c r="I9" s="15"/>
      <c r="J9" s="15"/>
      <c r="K9" s="15"/>
      <c r="L9" s="15"/>
      <c r="M9" s="15"/>
      <c r="N9" s="15"/>
      <c r="O9" s="15"/>
    </row>
    <row r="10" spans="2:15" ht="18">
      <c r="B10" s="27" t="s">
        <v>164</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181</v>
      </c>
      <c r="C12" s="29">
        <v>0.29360000000000003</v>
      </c>
      <c r="E12" s="15" t="s">
        <v>146</v>
      </c>
      <c r="H12" s="15"/>
      <c r="I12" s="15"/>
      <c r="J12" s="15"/>
      <c r="K12" s="15"/>
      <c r="L12" s="15"/>
      <c r="M12" s="15"/>
      <c r="N12" s="15"/>
      <c r="O12" s="15"/>
    </row>
    <row r="13" spans="2:15">
      <c r="B13" s="15" t="s">
        <v>182</v>
      </c>
      <c r="C13" s="15">
        <f>LN(1.25)^2/(C12^2)</f>
        <v>0.57763909465877594</v>
      </c>
      <c r="E13" s="15" t="s">
        <v>143</v>
      </c>
      <c r="K13" s="15"/>
      <c r="L13" s="15"/>
      <c r="M13" s="15"/>
      <c r="N13" s="15"/>
      <c r="O13" s="15"/>
    </row>
    <row r="14" spans="2:15">
      <c r="B14" s="15" t="s">
        <v>183</v>
      </c>
      <c r="C14" s="31">
        <f>SQRT(EXP((C12^2))-1)</f>
        <v>0.30004226001050344</v>
      </c>
      <c r="E14" s="15" t="s">
        <v>144</v>
      </c>
      <c r="G14" s="15"/>
      <c r="H14" s="15"/>
      <c r="I14" s="15"/>
      <c r="J14" s="15"/>
      <c r="K14" s="15"/>
      <c r="L14" s="15"/>
      <c r="M14" s="15"/>
      <c r="N14" s="15"/>
      <c r="O14" s="15"/>
    </row>
    <row r="15" spans="2:15">
      <c r="B15" s="15" t="s">
        <v>184</v>
      </c>
      <c r="C15" s="1">
        <f>LN((C3)^2+1)</f>
        <v>8.6177696241052412E-2</v>
      </c>
      <c r="D15" s="15"/>
      <c r="E15" s="15"/>
      <c r="F15" s="15"/>
      <c r="G15" s="15"/>
      <c r="H15" s="15"/>
      <c r="I15" s="15"/>
      <c r="J15" s="15"/>
      <c r="K15" s="15"/>
      <c r="L15" s="15"/>
      <c r="M15" s="15"/>
      <c r="N15" s="15"/>
      <c r="O15" s="15"/>
    </row>
    <row r="16" spans="2:15">
      <c r="B16" s="15" t="s">
        <v>185</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7.5">
      <c r="B19" s="35" t="s">
        <v>150</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136</v>
      </c>
      <c r="C21" s="9"/>
      <c r="D21" s="15"/>
      <c r="E21" s="15"/>
      <c r="F21" s="15"/>
      <c r="G21" s="15"/>
      <c r="H21" s="15"/>
      <c r="I21" s="15"/>
      <c r="J21" s="15"/>
      <c r="K21" s="15"/>
      <c r="L21" s="15"/>
      <c r="M21" s="15"/>
      <c r="N21" s="15"/>
      <c r="O21" s="15"/>
    </row>
    <row r="22" spans="2:16" ht="13">
      <c r="B22" s="32" t="s">
        <v>142</v>
      </c>
      <c r="C22" s="9"/>
      <c r="D22" s="15"/>
      <c r="E22" s="15"/>
      <c r="F22" s="15"/>
      <c r="G22" s="15"/>
      <c r="H22" s="15"/>
      <c r="I22" s="15"/>
      <c r="J22" s="15"/>
      <c r="K22" s="15"/>
      <c r="L22" s="15"/>
      <c r="M22" s="15"/>
      <c r="N22" s="15"/>
      <c r="O22" s="15"/>
    </row>
    <row r="23" spans="2:16">
      <c r="B23" s="32" t="s">
        <v>145</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147</v>
      </c>
      <c r="C25" s="15"/>
      <c r="D25" s="15"/>
      <c r="E25" s="15"/>
      <c r="F25" s="15"/>
      <c r="G25" s="15"/>
      <c r="I25" s="15"/>
      <c r="J25" s="15"/>
      <c r="K25" s="15"/>
      <c r="L25" s="15"/>
      <c r="M25" s="15"/>
      <c r="N25" s="15"/>
      <c r="O25" s="15"/>
    </row>
    <row r="26" spans="2:16">
      <c r="B26" s="15" t="s">
        <v>191</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0" t="s">
        <v>165</v>
      </c>
      <c r="C29" s="37"/>
      <c r="D29" s="37"/>
      <c r="E29" s="37"/>
      <c r="F29" s="37"/>
      <c r="G29" s="37"/>
      <c r="H29" s="37"/>
      <c r="I29" s="37"/>
      <c r="J29" s="37"/>
      <c r="K29" s="37"/>
      <c r="L29" s="37"/>
      <c r="M29" s="37"/>
      <c r="N29" s="37"/>
      <c r="O29" s="37"/>
      <c r="P29" s="38"/>
    </row>
    <row r="30" spans="2:16" ht="18">
      <c r="B30" s="27" t="s">
        <v>149</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131</v>
      </c>
      <c r="H32" s="15"/>
      <c r="I32" s="15"/>
      <c r="J32" s="15"/>
      <c r="K32" s="15"/>
      <c r="L32" s="15"/>
      <c r="M32" s="15"/>
      <c r="N32" s="15"/>
      <c r="O32" s="15"/>
    </row>
    <row r="33" spans="2:21">
      <c r="B33" s="15"/>
      <c r="C33" s="15"/>
      <c r="D33" s="15"/>
      <c r="E33" s="15"/>
      <c r="F33" s="15"/>
      <c r="G33" s="15" t="s">
        <v>137</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181</v>
      </c>
      <c r="C35" s="29">
        <v>0.25</v>
      </c>
      <c r="D35" s="15" t="s">
        <v>138</v>
      </c>
      <c r="E35" s="15"/>
      <c r="F35" s="15"/>
      <c r="G35" s="15"/>
      <c r="H35" s="15"/>
      <c r="I35" s="15"/>
      <c r="J35" s="15"/>
      <c r="K35" s="15"/>
      <c r="L35" s="15"/>
      <c r="M35" s="15"/>
      <c r="N35" s="15"/>
      <c r="O35" s="15"/>
    </row>
    <row r="36" spans="2:21">
      <c r="B36" s="15" t="s">
        <v>183</v>
      </c>
      <c r="C36" s="31">
        <f>SQRT(EXP((C35^2))-1)</f>
        <v>0.25395759275489149</v>
      </c>
      <c r="F36" s="15"/>
      <c r="G36" s="15"/>
      <c r="H36" s="15"/>
      <c r="I36" s="15"/>
      <c r="J36" s="15"/>
      <c r="K36" s="15"/>
      <c r="L36" s="15"/>
      <c r="M36" s="15"/>
      <c r="N36" s="15"/>
      <c r="O36" s="15"/>
    </row>
    <row r="37" spans="2:21">
      <c r="B37" s="15" t="s">
        <v>186</v>
      </c>
      <c r="C37" s="15">
        <f>SQRT(LN((C3)^2+1))</f>
        <v>0.29356037920852401</v>
      </c>
      <c r="D37" s="15" t="s">
        <v>141</v>
      </c>
      <c r="E37" s="15"/>
      <c r="F37" s="15"/>
      <c r="G37" s="15"/>
      <c r="H37" s="15"/>
      <c r="I37" s="15"/>
      <c r="J37" s="15"/>
      <c r="K37" s="15"/>
      <c r="L37" s="15"/>
      <c r="M37" s="15"/>
      <c r="N37" s="15"/>
      <c r="O37" s="15"/>
    </row>
    <row r="38" spans="2:21">
      <c r="B38" s="15" t="s">
        <v>132</v>
      </c>
      <c r="C38" s="1">
        <f>IF(C37&gt;=C35,LN(1.25)*C37/C35,LN(1.25))</f>
        <v>0.2620244221669446</v>
      </c>
      <c r="F38" s="15"/>
      <c r="G38" s="15"/>
      <c r="H38" s="15"/>
      <c r="I38" s="15"/>
      <c r="J38" s="15"/>
      <c r="K38" s="15"/>
      <c r="L38" s="15"/>
      <c r="M38" s="15"/>
      <c r="N38" s="15"/>
      <c r="O38" s="15"/>
    </row>
    <row r="39" spans="2:21">
      <c r="B39" s="15"/>
      <c r="C39" s="15"/>
      <c r="D39" s="15"/>
      <c r="E39" s="15"/>
      <c r="F39" s="15"/>
      <c r="G39" s="15" t="s">
        <v>198</v>
      </c>
      <c r="H39" s="15"/>
      <c r="I39" s="15"/>
      <c r="J39" s="15"/>
      <c r="K39" s="15"/>
      <c r="L39" s="15"/>
      <c r="M39" s="15"/>
      <c r="N39" s="15"/>
      <c r="O39" s="15"/>
    </row>
    <row r="40" spans="2:21" ht="17.5">
      <c r="B40" s="35" t="s">
        <v>130</v>
      </c>
      <c r="C40" s="35" t="str">
        <f>FIXED(100*EXP(-C38),2)&amp;" - "&amp;FIXED(100*EXP(C38),2)&amp;"%"</f>
        <v>76.95 - 129.96%</v>
      </c>
      <c r="D40" s="30"/>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136</v>
      </c>
      <c r="C42" s="9"/>
      <c r="D42" s="15"/>
      <c r="E42" s="15"/>
      <c r="F42" s="15"/>
      <c r="G42" s="15"/>
      <c r="H42" s="15"/>
      <c r="I42" s="15"/>
      <c r="J42" s="15"/>
      <c r="K42" s="15"/>
      <c r="L42" s="15"/>
      <c r="M42" s="15"/>
      <c r="N42" s="15"/>
      <c r="O42" s="15"/>
    </row>
    <row r="43" spans="2:21" ht="13">
      <c r="B43" s="32" t="s">
        <v>135</v>
      </c>
      <c r="C43" s="9"/>
      <c r="D43" s="15"/>
      <c r="E43" s="15"/>
      <c r="F43" s="15"/>
      <c r="G43" s="15"/>
      <c r="H43" s="15"/>
      <c r="I43" s="15"/>
      <c r="J43" s="15"/>
      <c r="K43" s="15"/>
      <c r="L43" s="15"/>
      <c r="M43" s="15"/>
      <c r="N43" s="15"/>
      <c r="O43" s="15"/>
    </row>
    <row r="44" spans="2:21">
      <c r="B44" s="32" t="s">
        <v>134</v>
      </c>
      <c r="C44" s="15"/>
      <c r="D44" s="15"/>
      <c r="E44" s="15"/>
      <c r="F44" s="15"/>
      <c r="G44" s="15"/>
      <c r="H44" s="15"/>
      <c r="I44" s="15"/>
      <c r="J44" s="15"/>
      <c r="K44" s="15"/>
      <c r="L44" s="15"/>
      <c r="M44" s="15"/>
      <c r="N44" s="15"/>
      <c r="O44" s="15"/>
    </row>
    <row r="45" spans="2:21">
      <c r="B45" s="32" t="s">
        <v>139</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152</v>
      </c>
      <c r="L48" s="15"/>
      <c r="M48" s="15"/>
      <c r="N48" s="15"/>
      <c r="O48" s="15"/>
      <c r="P48" s="15"/>
      <c r="Q48" s="15"/>
      <c r="R48" s="15"/>
      <c r="S48" s="15"/>
      <c r="T48" s="15"/>
      <c r="U48" s="15"/>
    </row>
    <row r="49" spans="2:21" ht="18">
      <c r="B49" s="27" t="s">
        <v>153</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155</v>
      </c>
      <c r="C51" s="29">
        <v>1</v>
      </c>
      <c r="D51" s="15"/>
      <c r="K51" s="15"/>
      <c r="L51" s="15"/>
      <c r="M51" s="15"/>
      <c r="N51" s="15"/>
      <c r="O51" s="15"/>
      <c r="P51" s="15"/>
      <c r="Q51" s="15"/>
      <c r="R51" s="15"/>
      <c r="S51" s="15"/>
      <c r="T51" s="15"/>
      <c r="U51" s="15"/>
    </row>
    <row r="52" spans="2:21" ht="13.5" thickBot="1">
      <c r="B52" s="15" t="s">
        <v>154</v>
      </c>
      <c r="C52" s="29">
        <v>24</v>
      </c>
      <c r="K52" s="15"/>
      <c r="L52" s="15"/>
      <c r="M52" s="15"/>
      <c r="N52" s="15"/>
      <c r="O52" s="15"/>
      <c r="P52" s="15"/>
      <c r="Q52" s="15"/>
      <c r="R52" s="15"/>
      <c r="S52" s="15"/>
      <c r="T52" s="15"/>
      <c r="U52" s="15"/>
    </row>
    <row r="53" spans="2:21">
      <c r="B53" s="15" t="s">
        <v>140</v>
      </c>
      <c r="C53" s="1">
        <f>LN((C3)^2+1)</f>
        <v>8.6177696241052412E-2</v>
      </c>
      <c r="K53" s="15"/>
      <c r="L53" s="15"/>
      <c r="M53" s="15"/>
      <c r="N53" s="15"/>
      <c r="O53" s="15"/>
      <c r="P53" s="15"/>
      <c r="Q53" s="15"/>
      <c r="R53" s="15"/>
      <c r="S53" s="15"/>
      <c r="T53" s="15"/>
      <c r="U53" s="15"/>
    </row>
    <row r="54" spans="2:21" ht="13">
      <c r="B54" s="15" t="s">
        <v>160</v>
      </c>
      <c r="C54" s="1">
        <f>SQRT((2*C53)/C52)</f>
        <v>8.474358197972498E-2</v>
      </c>
      <c r="I54" s="9"/>
      <c r="K54" s="15"/>
      <c r="L54" s="15"/>
      <c r="M54" s="15"/>
      <c r="N54" s="15"/>
      <c r="O54" s="15"/>
      <c r="P54" s="15"/>
      <c r="Q54" s="15"/>
      <c r="R54" s="15"/>
      <c r="S54" s="15"/>
      <c r="T54" s="15"/>
      <c r="U54" s="15"/>
    </row>
    <row r="55" spans="2:21" ht="13">
      <c r="B55" s="15" t="s">
        <v>156</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5" t="s">
        <v>130</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158</v>
      </c>
      <c r="D59" s="15"/>
      <c r="E59" s="15"/>
      <c r="F59" s="15"/>
      <c r="G59" s="15"/>
      <c r="H59" s="15"/>
      <c r="I59" s="15"/>
      <c r="J59" s="15"/>
      <c r="K59" s="15"/>
      <c r="L59" s="15"/>
      <c r="M59" s="15"/>
      <c r="N59" s="15"/>
      <c r="O59" s="15"/>
    </row>
    <row r="60" spans="2:21">
      <c r="B60" s="15" t="s">
        <v>159</v>
      </c>
      <c r="C60" s="15"/>
      <c r="D60" s="15"/>
      <c r="E60" s="15"/>
      <c r="F60" s="15"/>
      <c r="G60" s="15"/>
      <c r="H60" s="15"/>
      <c r="I60" s="15"/>
      <c r="J60" s="15"/>
      <c r="K60" s="15"/>
      <c r="L60" s="15"/>
      <c r="M60" s="15"/>
      <c r="N60" s="15"/>
      <c r="O60" s="15"/>
    </row>
    <row r="61" spans="2:21">
      <c r="B61" s="15" t="s">
        <v>161</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133</v>
      </c>
      <c r="C76" s="15"/>
      <c r="D76" s="15"/>
      <c r="E76" s="15"/>
      <c r="F76" s="15"/>
      <c r="G76" s="15"/>
      <c r="H76" s="15"/>
      <c r="I76" s="15"/>
      <c r="J76" s="15"/>
      <c r="K76" s="15"/>
      <c r="L76" s="15"/>
      <c r="M76" s="15"/>
      <c r="N76" s="15"/>
      <c r="O76" s="15"/>
    </row>
    <row r="77" spans="2:15">
      <c r="B77" s="32" t="s">
        <v>142</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151</v>
      </c>
      <c r="C80" s="15"/>
      <c r="D80" s="15"/>
      <c r="E80" s="15"/>
      <c r="F80" s="15"/>
      <c r="G80" s="15"/>
      <c r="H80" s="15"/>
      <c r="I80" s="15"/>
      <c r="J80" s="15"/>
      <c r="K80" s="15"/>
      <c r="L80" s="15"/>
      <c r="M80" s="15"/>
      <c r="N80" s="15"/>
      <c r="O80" s="15"/>
    </row>
    <row r="81" spans="2:15" ht="18">
      <c r="B81" s="27" t="s">
        <v>157</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6" t="s">
        <v>162</v>
      </c>
      <c r="C83" s="29">
        <v>1</v>
      </c>
      <c r="D83" s="15"/>
      <c r="E83" s="15"/>
      <c r="F83" s="15"/>
      <c r="G83" s="15"/>
      <c r="H83" s="15"/>
      <c r="I83" s="15"/>
      <c r="J83" s="15"/>
      <c r="K83" s="15"/>
      <c r="L83" s="15"/>
      <c r="M83" s="15"/>
      <c r="N83" s="15"/>
      <c r="O83" s="15"/>
    </row>
    <row r="84" spans="2:15">
      <c r="B84" s="15" t="s">
        <v>163</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5" t="s">
        <v>130</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136</v>
      </c>
      <c r="C106" s="15"/>
      <c r="D106" s="15"/>
      <c r="E106" s="15"/>
      <c r="F106" s="15"/>
      <c r="G106" s="15"/>
      <c r="H106" s="15"/>
      <c r="I106" s="15"/>
      <c r="J106" s="15"/>
      <c r="K106" s="15"/>
      <c r="L106" s="15"/>
      <c r="M106" s="15"/>
      <c r="N106" s="15"/>
      <c r="O106" s="15"/>
    </row>
    <row r="107" spans="2:15">
      <c r="B107" s="32" t="s">
        <v>142</v>
      </c>
      <c r="C107" s="15"/>
      <c r="D107" s="15"/>
      <c r="E107" s="15"/>
      <c r="F107" s="15"/>
      <c r="G107" s="15"/>
      <c r="H107" s="15"/>
      <c r="I107" s="15"/>
      <c r="J107" s="15"/>
      <c r="K107" s="15"/>
      <c r="L107" s="15"/>
      <c r="M107" s="15"/>
      <c r="N107" s="15"/>
      <c r="O107" s="15"/>
    </row>
    <row r="108" spans="2:15">
      <c r="B108" s="41" t="s">
        <v>197</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151</v>
      </c>
    </row>
    <row r="111" spans="2:15" ht="18">
      <c r="B111" s="27" t="s">
        <v>177</v>
      </c>
    </row>
    <row r="112" spans="2:15" ht="13" thickBot="1"/>
    <row r="113" spans="2:15" ht="13.5" thickBot="1">
      <c r="B113" s="15" t="s">
        <v>181</v>
      </c>
      <c r="C113" s="29">
        <v>0.25</v>
      </c>
    </row>
    <row r="114" spans="2:15" ht="13.5" thickBot="1">
      <c r="B114" s="15" t="s">
        <v>178</v>
      </c>
      <c r="C114" s="29">
        <f>C115</f>
        <v>8.6177696241052412E-2</v>
      </c>
      <c r="D114" s="15" t="s">
        <v>188</v>
      </c>
    </row>
    <row r="115" spans="2:15" ht="13.5" thickBot="1">
      <c r="B115" s="15" t="s">
        <v>140</v>
      </c>
      <c r="C115" s="29">
        <f>LN((C3)^2+1)</f>
        <v>8.6177696241052412E-2</v>
      </c>
      <c r="D115" s="15" t="s">
        <v>187</v>
      </c>
    </row>
    <row r="116" spans="2:15" ht="13.5" thickBot="1">
      <c r="B116" s="15" t="s">
        <v>179</v>
      </c>
      <c r="C116" s="29">
        <f>0.1356^2</f>
        <v>1.8387359999999998E-2</v>
      </c>
      <c r="D116" s="15" t="s">
        <v>189</v>
      </c>
    </row>
    <row r="117" spans="2:15">
      <c r="B117" s="15" t="s">
        <v>180</v>
      </c>
      <c r="C117" s="1">
        <f>(LN(1.25)^2+0.05)/C113^2</f>
        <v>1.596688711889878</v>
      </c>
    </row>
    <row r="118" spans="2:15">
      <c r="B118" s="15" t="s">
        <v>190</v>
      </c>
      <c r="C118" s="1">
        <f>SQRT((C117*C115)-(C114-C115)-C116)</f>
        <v>0.3452703213494655</v>
      </c>
    </row>
    <row r="119" spans="2:15" ht="17.5">
      <c r="B119" s="35" t="s">
        <v>130</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136</v>
      </c>
      <c r="C143" s="15"/>
      <c r="D143" s="15"/>
      <c r="E143" s="15"/>
      <c r="F143" s="15"/>
      <c r="G143" s="15"/>
      <c r="H143" s="15"/>
      <c r="I143" s="15"/>
      <c r="J143" s="15"/>
      <c r="K143" s="15"/>
      <c r="L143" s="15"/>
      <c r="M143" s="15"/>
      <c r="N143" s="15"/>
      <c r="O143" s="15"/>
    </row>
    <row r="144" spans="2:15">
      <c r="B144" s="32" t="s">
        <v>176</v>
      </c>
      <c r="C144" s="15"/>
      <c r="D144" s="15"/>
      <c r="E144" s="15"/>
      <c r="F144" s="15"/>
      <c r="G144" s="15"/>
      <c r="H144" s="15"/>
      <c r="I144" s="15"/>
      <c r="J144" s="15"/>
      <c r="K144" s="15"/>
      <c r="L144" s="15"/>
      <c r="M144" s="15"/>
      <c r="N144" s="15"/>
      <c r="O144" s="15"/>
    </row>
    <row r="145" spans="2:15">
      <c r="B145" s="32" t="s">
        <v>142</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168</v>
      </c>
      <c r="C148" s="15"/>
      <c r="D148" s="15"/>
      <c r="E148" s="15"/>
      <c r="F148" s="15"/>
      <c r="G148" s="15"/>
      <c r="H148" s="15"/>
      <c r="I148" s="15"/>
      <c r="J148" s="15"/>
      <c r="K148" s="15"/>
      <c r="L148" s="15"/>
      <c r="M148" s="15"/>
      <c r="N148" s="15"/>
      <c r="O148" s="15"/>
    </row>
    <row r="149" spans="2:15" ht="18">
      <c r="B149" s="27" t="s">
        <v>169</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172</v>
      </c>
      <c r="C151" s="29">
        <v>24</v>
      </c>
      <c r="D151" s="15"/>
      <c r="E151" s="15"/>
      <c r="F151" s="15"/>
      <c r="G151" s="15"/>
      <c r="H151" s="15"/>
      <c r="I151" s="15"/>
      <c r="J151" s="15"/>
      <c r="K151" s="15"/>
      <c r="L151" s="15"/>
      <c r="M151" s="15"/>
      <c r="N151" s="15"/>
      <c r="O151" s="15"/>
    </row>
    <row r="152" spans="2:15" ht="13.5" thickBot="1">
      <c r="B152" s="15" t="s">
        <v>171</v>
      </c>
      <c r="C152" s="28">
        <v>0.05</v>
      </c>
      <c r="D152" s="15" t="s">
        <v>175</v>
      </c>
      <c r="E152" s="15"/>
      <c r="F152" s="15"/>
      <c r="G152" s="15"/>
      <c r="H152" s="15"/>
      <c r="I152" s="15"/>
      <c r="J152" s="15"/>
      <c r="K152" s="15"/>
      <c r="L152" s="15"/>
      <c r="M152" s="15"/>
      <c r="N152" s="15"/>
      <c r="O152" s="15"/>
    </row>
    <row r="153" spans="2:15" ht="13.5" thickBot="1">
      <c r="B153" s="15" t="s">
        <v>170</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163</v>
      </c>
      <c r="C154" s="15">
        <f>C37</f>
        <v>0.29356037920852401</v>
      </c>
      <c r="D154" s="15"/>
      <c r="E154" s="15"/>
      <c r="F154" s="15"/>
      <c r="G154" s="15"/>
      <c r="H154" s="15"/>
      <c r="I154" s="15"/>
      <c r="J154" s="15"/>
      <c r="K154" s="15"/>
      <c r="L154" s="15"/>
      <c r="M154" s="15"/>
      <c r="N154" s="15"/>
      <c r="O154" s="15"/>
    </row>
    <row r="155" spans="2:15">
      <c r="B155" s="15" t="s">
        <v>173</v>
      </c>
      <c r="C155" s="15">
        <f>TINV(($C$152*2),$C$151-2)</f>
        <v>1.7171443743802424</v>
      </c>
      <c r="D155" s="15"/>
      <c r="E155" s="15"/>
      <c r="F155" s="15"/>
      <c r="G155" s="15"/>
      <c r="H155" s="15"/>
      <c r="I155" s="15"/>
      <c r="J155" s="15"/>
      <c r="K155" s="15"/>
      <c r="L155" s="15"/>
      <c r="M155" s="15"/>
      <c r="N155" s="15"/>
      <c r="O155" s="15"/>
    </row>
    <row r="156" spans="2:15">
      <c r="B156" s="15" t="s">
        <v>174</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5" t="s">
        <v>130</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136</v>
      </c>
      <c r="C176" s="15"/>
      <c r="D176" s="15"/>
      <c r="E176" s="15"/>
      <c r="F176" s="15"/>
      <c r="G176" s="15"/>
      <c r="H176" s="15"/>
      <c r="I176" s="15"/>
      <c r="J176" s="15"/>
      <c r="K176" s="15"/>
      <c r="L176" s="15"/>
      <c r="M176" s="15"/>
      <c r="N176" s="15"/>
      <c r="O176" s="15"/>
    </row>
    <row r="177" spans="2:15">
      <c r="B177" s="32" t="s">
        <v>142</v>
      </c>
      <c r="C177" s="15"/>
      <c r="D177" s="15"/>
      <c r="E177" s="15"/>
      <c r="F177" s="15"/>
      <c r="G177" s="15"/>
      <c r="H177" s="15"/>
      <c r="I177" s="15"/>
      <c r="J177" s="15"/>
      <c r="K177" s="15"/>
      <c r="L177" s="15"/>
      <c r="M177" s="15"/>
      <c r="N177" s="15"/>
      <c r="O177" s="15"/>
    </row>
    <row r="178" spans="2:15">
      <c r="B178" s="41" t="s">
        <v>197</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31750</xdr:colOff>
                <xdr:row>30</xdr:row>
                <xdr:rowOff>38100</xdr:rowOff>
              </from>
              <to>
                <xdr:col>5</xdr:col>
                <xdr:colOff>114300</xdr:colOff>
                <xdr:row>33</xdr:row>
                <xdr:rowOff>146050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76</v>
      </c>
      <c r="F1" s="9" t="s">
        <v>120</v>
      </c>
    </row>
    <row r="2" spans="2:6" ht="13.5" thickBot="1">
      <c r="C2" s="14"/>
    </row>
    <row r="3" spans="2:6" ht="16"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 thickBot="1">
      <c r="C7" s="4"/>
    </row>
    <row r="8" spans="2:6" ht="13"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5">
      <c r="C19" s="16" t="s">
        <v>62</v>
      </c>
      <c r="D19" s="16" t="s">
        <v>63</v>
      </c>
      <c r="E19" s="16" t="s">
        <v>65</v>
      </c>
    </row>
    <row r="20" spans="2:5">
      <c r="B20" s="1" t="s">
        <v>11</v>
      </c>
      <c r="C20" s="1">
        <f>CEILING(C11,1)</f>
        <v>3</v>
      </c>
      <c r="D20" s="1">
        <f>C20*C3</f>
        <v>3</v>
      </c>
      <c r="E20" s="1">
        <f>C20+D20</f>
        <v>6</v>
      </c>
    </row>
    <row r="26" spans="2:5" ht="18">
      <c r="B26" s="27" t="s">
        <v>121</v>
      </c>
    </row>
    <row r="27" spans="2:5" ht="20.25" customHeight="1"/>
    <row r="50" spans="2:7">
      <c r="G50" s="6"/>
    </row>
    <row r="51" spans="2:7">
      <c r="G51" s="6"/>
    </row>
    <row r="52" spans="2:7">
      <c r="G52" s="6"/>
    </row>
    <row r="53" spans="2:7" ht="13">
      <c r="B53" s="9" t="s">
        <v>123</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77</v>
      </c>
      <c r="G1" s="9" t="s">
        <v>120</v>
      </c>
    </row>
    <row r="2" spans="2:7" ht="13">
      <c r="C2" s="14"/>
    </row>
    <row r="3" spans="2:7" ht="13.5" thickBot="1">
      <c r="C3" s="10"/>
    </row>
    <row r="4" spans="2:7" ht="13.5" thickBot="1">
      <c r="B4" s="8" t="s">
        <v>58</v>
      </c>
      <c r="C4" s="2">
        <v>0.05</v>
      </c>
      <c r="D4" s="1" t="s">
        <v>20</v>
      </c>
    </row>
    <row r="5" spans="2:7" ht="16" thickBot="1">
      <c r="B5" s="8" t="s">
        <v>26</v>
      </c>
      <c r="C5" s="3">
        <v>10</v>
      </c>
      <c r="D5" s="1" t="s">
        <v>19</v>
      </c>
    </row>
    <row r="6" spans="2:7" ht="13.5" thickBot="1">
      <c r="B6" s="1" t="s">
        <v>37</v>
      </c>
      <c r="C6" s="3">
        <v>5</v>
      </c>
      <c r="D6" s="1" t="s">
        <v>38</v>
      </c>
    </row>
    <row r="7" spans="2:7" ht="13" thickBot="1">
      <c r="C7" s="4"/>
    </row>
    <row r="8" spans="2:7" ht="13" thickBot="1">
      <c r="B8" s="12" t="s">
        <v>17</v>
      </c>
      <c r="C8" s="11">
        <f>C6/C5</f>
        <v>0.5</v>
      </c>
    </row>
    <row r="10" spans="2:7" ht="15.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ht="13">
      <c r="C19" s="9"/>
      <c r="D19" s="9"/>
    </row>
    <row r="20" spans="2:5">
      <c r="B20" s="1" t="s">
        <v>11</v>
      </c>
      <c r="C20" s="1">
        <f>CEILING(C11,1)</f>
        <v>3</v>
      </c>
    </row>
    <row r="26" spans="2:5" ht="18">
      <c r="B26" s="27" t="s">
        <v>121</v>
      </c>
    </row>
    <row r="27" spans="2:5" ht="20.25" customHeight="1"/>
    <row r="35" spans="2:2" ht="13">
      <c r="B35" s="9" t="s">
        <v>123</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114</v>
      </c>
    </row>
    <row r="2" spans="2:5" ht="13.5" thickBot="1">
      <c r="C2" s="14"/>
      <c r="E2" s="9" t="s">
        <v>120</v>
      </c>
    </row>
    <row r="3" spans="2:5" ht="13.5" thickBot="1">
      <c r="B3" s="1" t="s">
        <v>1</v>
      </c>
      <c r="C3" s="2">
        <v>0.8</v>
      </c>
    </row>
    <row r="4" spans="2:5" ht="13.5" thickBot="1">
      <c r="B4" s="8" t="s">
        <v>58</v>
      </c>
      <c r="C4" s="2">
        <v>0.05</v>
      </c>
      <c r="D4" s="1" t="s">
        <v>20</v>
      </c>
    </row>
    <row r="5" spans="2:5" ht="16" thickBot="1">
      <c r="B5" s="1" t="s">
        <v>81</v>
      </c>
      <c r="C5" s="18">
        <v>0.1</v>
      </c>
      <c r="D5" s="1" t="s">
        <v>82</v>
      </c>
    </row>
    <row r="6" spans="2:5" ht="16" thickBot="1">
      <c r="B6" s="1" t="s">
        <v>84</v>
      </c>
      <c r="C6" s="18">
        <v>0.3</v>
      </c>
      <c r="D6" s="1" t="s">
        <v>86</v>
      </c>
    </row>
    <row r="7" spans="2:5" ht="13" thickBot="1">
      <c r="C7" s="4"/>
    </row>
    <row r="8" spans="2:5" ht="13" thickBot="1">
      <c r="B8" s="12" t="s">
        <v>17</v>
      </c>
      <c r="C8" s="19">
        <f>C6-C5</f>
        <v>0.19999999999999998</v>
      </c>
      <c r="D8" s="1" t="s">
        <v>83</v>
      </c>
    </row>
    <row r="10" spans="2:5" ht="15.5">
      <c r="B10" s="1" t="s">
        <v>109</v>
      </c>
      <c r="C10" s="1">
        <v>5</v>
      </c>
      <c r="D10" s="1" t="s">
        <v>85</v>
      </c>
    </row>
    <row r="11" spans="2:5">
      <c r="B11" s="1" t="s">
        <v>0</v>
      </c>
      <c r="C11" s="7">
        <v>3</v>
      </c>
    </row>
    <row r="18" spans="2:5">
      <c r="B18" s="1" t="s">
        <v>57</v>
      </c>
      <c r="C18" s="1">
        <v>0.80651155791193363</v>
      </c>
      <c r="E18" s="5"/>
    </row>
    <row r="19" spans="2:5" ht="13">
      <c r="C19" s="16"/>
      <c r="D19" s="16"/>
      <c r="E19" s="16"/>
    </row>
    <row r="20" spans="2:5">
      <c r="B20" s="1" t="s">
        <v>11</v>
      </c>
      <c r="C20" s="1">
        <f>CEILING(C11,1)</f>
        <v>3</v>
      </c>
      <c r="D20" s="1" t="s">
        <v>127</v>
      </c>
    </row>
    <row r="21" spans="2:5">
      <c r="B21" s="1" t="s">
        <v>110</v>
      </c>
      <c r="C21" s="1">
        <f>C10</f>
        <v>5</v>
      </c>
      <c r="D21" s="1" t="s">
        <v>112</v>
      </c>
    </row>
    <row r="23" spans="2:5" ht="13">
      <c r="D23" s="9" t="s">
        <v>119</v>
      </c>
    </row>
    <row r="25" spans="2:5" ht="20.25" customHeight="1">
      <c r="B25" s="1" t="s">
        <v>111</v>
      </c>
    </row>
    <row r="26" spans="2:5">
      <c r="B26" s="1" t="s">
        <v>87</v>
      </c>
    </row>
    <row r="28" spans="2:5" ht="15.5">
      <c r="B28" s="1" t="s">
        <v>113</v>
      </c>
    </row>
    <row r="29" spans="2:5" ht="13">
      <c r="D29" s="9"/>
    </row>
    <row r="30" spans="2:5" ht="18">
      <c r="B30" s="27" t="s">
        <v>121</v>
      </c>
    </row>
    <row r="39" spans="2:7" ht="13">
      <c r="B39" s="9" t="s">
        <v>126</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78</v>
      </c>
    </row>
    <row r="3" spans="2:4">
      <c r="B3" s="1" t="s">
        <v>41</v>
      </c>
    </row>
    <row r="4" spans="2:4">
      <c r="B4" s="1" t="s">
        <v>42</v>
      </c>
    </row>
    <row r="5" spans="2:4">
      <c r="B5" s="1" t="s">
        <v>43</v>
      </c>
    </row>
    <row r="13" spans="2:4">
      <c r="B13" s="1" t="s">
        <v>44</v>
      </c>
    </row>
    <row r="14" spans="2:4" ht="13" thickBot="1"/>
    <row r="15" spans="2:4" ht="15.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5">
      <c r="B22" s="8" t="s">
        <v>50</v>
      </c>
      <c r="C22" s="1">
        <f>C15*C20</f>
        <v>12.5</v>
      </c>
    </row>
    <row r="24" spans="2:4" ht="13">
      <c r="B24" s="9" t="s">
        <v>51</v>
      </c>
    </row>
    <row r="33" spans="2:4" ht="13" thickBot="1"/>
    <row r="34" spans="2:4" ht="15.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5">
      <c r="B41" s="8" t="s">
        <v>50</v>
      </c>
      <c r="C41" s="1">
        <f>C34*C39</f>
        <v>12</v>
      </c>
    </row>
    <row r="44" spans="2:4" ht="13">
      <c r="B44" s="9" t="s">
        <v>54</v>
      </c>
    </row>
    <row r="50" spans="2:4" ht="13" thickBot="1"/>
    <row r="51" spans="2:4" ht="15.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5">
      <c r="B59" s="8" t="s">
        <v>50</v>
      </c>
      <c r="C59" s="1">
        <f>C51*C57</f>
        <v>3.9999999999999991</v>
      </c>
    </row>
    <row r="61" spans="2:4" ht="13">
      <c r="B61" s="9" t="s">
        <v>123</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B2" sqref="B2"/>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7" ht="7.5" customHeight="1"/>
    <row r="2" spans="2:7" ht="18.75" customHeight="1">
      <c r="B2" s="140" t="s">
        <v>345</v>
      </c>
    </row>
    <row r="3" spans="2:7" ht="18.75" customHeight="1" thickBot="1">
      <c r="B3" s="21" t="s">
        <v>89</v>
      </c>
    </row>
    <row r="4" spans="2:7" ht="13">
      <c r="B4" s="1" t="s">
        <v>90</v>
      </c>
      <c r="C4" s="22">
        <v>1</v>
      </c>
      <c r="D4" s="1" t="s">
        <v>91</v>
      </c>
    </row>
    <row r="5" spans="2:7" ht="13">
      <c r="B5" s="1" t="s">
        <v>92</v>
      </c>
      <c r="C5" s="23">
        <v>0.9</v>
      </c>
      <c r="D5" s="1" t="s">
        <v>93</v>
      </c>
    </row>
    <row r="6" spans="2:7" ht="13">
      <c r="B6" s="1" t="s">
        <v>94</v>
      </c>
      <c r="C6" s="23">
        <v>1.1000000000000001</v>
      </c>
      <c r="D6" s="1" t="s">
        <v>95</v>
      </c>
    </row>
    <row r="7" spans="2:7" ht="13.5" thickBot="1">
      <c r="B7" s="1" t="s">
        <v>96</v>
      </c>
      <c r="C7" s="24">
        <v>25</v>
      </c>
      <c r="D7" s="1" t="s">
        <v>97</v>
      </c>
    </row>
    <row r="8" spans="2:7" ht="13.5" thickBot="1">
      <c r="B8" s="1" t="s">
        <v>98</v>
      </c>
      <c r="C8" s="2">
        <v>0.9</v>
      </c>
    </row>
    <row r="10" spans="2:7">
      <c r="E10" s="43" t="s">
        <v>326</v>
      </c>
      <c r="F10" s="25"/>
      <c r="G10" s="43"/>
    </row>
    <row r="11" spans="2:7">
      <c r="E11" s="32" t="s">
        <v>321</v>
      </c>
    </row>
    <row r="12" spans="2:7">
      <c r="B12" s="1" t="s">
        <v>99</v>
      </c>
      <c r="C12" s="25">
        <f>C7-2</f>
        <v>23</v>
      </c>
      <c r="E12" s="1" t="s">
        <v>99</v>
      </c>
      <c r="F12" s="25">
        <f>C7-2</f>
        <v>23</v>
      </c>
      <c r="G12" s="43" t="s">
        <v>315</v>
      </c>
    </row>
    <row r="13" spans="2:7">
      <c r="B13" s="1" t="s">
        <v>100</v>
      </c>
      <c r="C13" s="25">
        <f>TINV(1-$C$8,$C$12)</f>
        <v>1.7138715277470482</v>
      </c>
      <c r="E13" s="1" t="s">
        <v>100</v>
      </c>
      <c r="F13" s="25">
        <f>TINV(1-$C$8,$C$12)</f>
        <v>1.7138715277470482</v>
      </c>
    </row>
    <row r="14" spans="2:7">
      <c r="B14" s="1" t="s">
        <v>101</v>
      </c>
      <c r="C14" s="25">
        <f>(LN($C$4)-LN($C$5))/$C$13</f>
        <v>6.1475153739397749E-2</v>
      </c>
      <c r="E14" s="1" t="s">
        <v>314</v>
      </c>
      <c r="F14" s="25">
        <f>1/(C7/2)+1/(C7/2)</f>
        <v>0.16</v>
      </c>
    </row>
    <row r="15" spans="2:7">
      <c r="B15" s="1" t="s">
        <v>102</v>
      </c>
      <c r="C15" s="25">
        <f>(LN($C$6)-LN($C$4))/$C$13</f>
        <v>5.5611041003530717E-2</v>
      </c>
      <c r="E15" s="1" t="s">
        <v>316</v>
      </c>
      <c r="F15" s="25">
        <f>SQRT(0.5*F14)</f>
        <v>0.28284271247461901</v>
      </c>
    </row>
    <row r="16" spans="2:7">
      <c r="B16" s="1" t="s">
        <v>103</v>
      </c>
      <c r="C16" s="25">
        <f>(C14^2)*($C$12+2)/2</f>
        <v>4.7239931591032368E-2</v>
      </c>
      <c r="E16" s="1" t="s">
        <v>317</v>
      </c>
      <c r="F16" s="25">
        <f>(LN($C$4)-LN($C$5))/($F$15*$F$13)</f>
        <v>0.21734749041806845</v>
      </c>
      <c r="G16" s="43" t="s">
        <v>322</v>
      </c>
    </row>
    <row r="17" spans="2:8">
      <c r="B17" s="1" t="s">
        <v>104</v>
      </c>
      <c r="C17" s="25">
        <f>(C15^2)*($C$12+2)/2</f>
        <v>3.8657348518704684E-2</v>
      </c>
      <c r="E17" s="1" t="s">
        <v>318</v>
      </c>
      <c r="F17" s="25">
        <f>(LN($C$6)-LN($C$4))/($F$15*$F$13)</f>
        <v>0.1966147210121986</v>
      </c>
      <c r="G17" s="43" t="s">
        <v>323</v>
      </c>
    </row>
    <row r="18" spans="2:8">
      <c r="B18" s="1" t="s">
        <v>105</v>
      </c>
      <c r="C18" s="25">
        <f>SQRT(EXP($C$16)-1)*100</f>
        <v>21.993980274614049</v>
      </c>
      <c r="E18" s="1" t="s">
        <v>319</v>
      </c>
      <c r="F18" s="25">
        <f>AVERAGE(F16:F17)</f>
        <v>0.20698110571513351</v>
      </c>
      <c r="G18" s="43" t="s">
        <v>324</v>
      </c>
    </row>
    <row r="19" spans="2:8">
      <c r="B19" s="1" t="s">
        <v>106</v>
      </c>
      <c r="C19" s="25">
        <f>SQRT(EXP($C$17)-1)*100</f>
        <v>19.853026415764084</v>
      </c>
      <c r="G19" s="34"/>
    </row>
    <row r="21" spans="2:8" ht="20">
      <c r="B21" s="20" t="s">
        <v>107</v>
      </c>
      <c r="C21" s="26">
        <f>(C18+C19)/2</f>
        <v>20.923503345189069</v>
      </c>
      <c r="D21" s="20" t="s">
        <v>108</v>
      </c>
      <c r="E21" s="140" t="s">
        <v>320</v>
      </c>
      <c r="F21" s="26">
        <f>100*SQRT(EXP(F18^2)-1)</f>
        <v>20.921784780556706</v>
      </c>
      <c r="G21" s="20" t="s">
        <v>108</v>
      </c>
      <c r="H21" s="43" t="s">
        <v>325</v>
      </c>
    </row>
    <row r="22" spans="2:8" ht="13">
      <c r="C22" s="10"/>
    </row>
    <row r="23" spans="2:8" ht="13">
      <c r="C23" s="10"/>
    </row>
    <row r="24" spans="2:8" ht="13">
      <c r="C24" s="10"/>
    </row>
    <row r="25" spans="2:8" ht="13">
      <c r="C25" s="10"/>
    </row>
    <row r="26" spans="2:8" ht="13">
      <c r="C26" s="14"/>
    </row>
    <row r="27" spans="2:8">
      <c r="C27" s="25"/>
    </row>
    <row r="28" spans="2:8">
      <c r="C28" s="25"/>
    </row>
    <row r="29" spans="2:8">
      <c r="C29" s="25"/>
    </row>
    <row r="30" spans="2:8">
      <c r="C30" s="25"/>
    </row>
    <row r="32" spans="2:8" ht="20">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AA92B-7DC7-4AEB-844C-7CBDF816FA69}">
  <sheetPr codeName="Sheet21"/>
  <dimension ref="B1:O32"/>
  <sheetViews>
    <sheetView topLeftCell="A6" workbookViewId="0">
      <selection activeCell="B2" sqref="B2"/>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14" ht="7.5" customHeight="1"/>
    <row r="2" spans="2:14" ht="18.75" customHeight="1">
      <c r="B2" s="140" t="s">
        <v>331</v>
      </c>
    </row>
    <row r="3" spans="2:14" ht="18.75" customHeight="1" thickBot="1">
      <c r="B3" s="21" t="s">
        <v>330</v>
      </c>
    </row>
    <row r="4" spans="2:14" ht="13">
      <c r="B4" s="1" t="s">
        <v>90</v>
      </c>
      <c r="C4" s="22">
        <v>91.34</v>
      </c>
      <c r="D4" s="1" t="s">
        <v>91</v>
      </c>
    </row>
    <row r="5" spans="2:14" ht="13">
      <c r="B5" s="1" t="s">
        <v>92</v>
      </c>
      <c r="C5" s="23">
        <v>82.07</v>
      </c>
      <c r="D5" s="1" t="s">
        <v>93</v>
      </c>
      <c r="G5" s="43" t="s">
        <v>326</v>
      </c>
    </row>
    <row r="6" spans="2:14" ht="13">
      <c r="B6" s="1" t="s">
        <v>94</v>
      </c>
      <c r="C6" s="23">
        <v>101.66</v>
      </c>
      <c r="D6" s="1" t="s">
        <v>95</v>
      </c>
      <c r="G6" s="32" t="s">
        <v>321</v>
      </c>
    </row>
    <row r="7" spans="2:14" ht="13.5" thickBot="1">
      <c r="B7" s="1" t="s">
        <v>96</v>
      </c>
      <c r="C7" s="24">
        <v>24</v>
      </c>
      <c r="D7" s="1" t="s">
        <v>97</v>
      </c>
    </row>
    <row r="8" spans="2:14" ht="13.5" thickBot="1">
      <c r="B8" s="1" t="s">
        <v>98</v>
      </c>
      <c r="C8" s="2">
        <v>0.9</v>
      </c>
    </row>
    <row r="10" spans="2:14">
      <c r="F10" s="25"/>
      <c r="G10" s="43"/>
    </row>
    <row r="11" spans="2:14" ht="13">
      <c r="B11" s="9" t="s">
        <v>281</v>
      </c>
      <c r="E11" s="9" t="s">
        <v>283</v>
      </c>
      <c r="L11" s="141" t="s">
        <v>333</v>
      </c>
      <c r="N11" s="141"/>
    </row>
    <row r="12" spans="2:14" ht="13">
      <c r="B12" s="1" t="s">
        <v>99</v>
      </c>
      <c r="C12" s="25">
        <f>2*C7-3</f>
        <v>45</v>
      </c>
      <c r="E12" s="1" t="s">
        <v>99</v>
      </c>
      <c r="F12" s="25">
        <f>3*C7-4</f>
        <v>68</v>
      </c>
      <c r="G12" s="43" t="s">
        <v>344</v>
      </c>
      <c r="I12" s="9"/>
      <c r="J12" s="43"/>
      <c r="L12" s="141" t="s">
        <v>334</v>
      </c>
      <c r="N12" s="141"/>
    </row>
    <row r="13" spans="2:14" ht="13">
      <c r="B13" s="1" t="s">
        <v>100</v>
      </c>
      <c r="C13" s="25">
        <f>TINV(1-$C$8,$C$12)</f>
        <v>1.6794273926523535</v>
      </c>
      <c r="E13" s="1" t="s">
        <v>100</v>
      </c>
      <c r="F13" s="25">
        <f>TINV(1-$C$8,$F$12)</f>
        <v>1.6675722807967104</v>
      </c>
      <c r="I13" s="9"/>
      <c r="J13" s="43"/>
      <c r="L13" s="141" t="s">
        <v>335</v>
      </c>
      <c r="N13" s="141"/>
    </row>
    <row r="14" spans="2:14" ht="13">
      <c r="B14" s="1" t="s">
        <v>314</v>
      </c>
      <c r="C14" s="25">
        <f>1/($C$7/3)+1/($C$7/3)+1/($C$7/3)</f>
        <v>0.375</v>
      </c>
      <c r="E14" s="1" t="s">
        <v>314</v>
      </c>
      <c r="F14" s="25">
        <f>1/(C7/2)+1/(C7/2)</f>
        <v>0.16666666666666666</v>
      </c>
      <c r="J14" s="43"/>
      <c r="L14" s="141" t="s">
        <v>336</v>
      </c>
      <c r="N14" s="141"/>
    </row>
    <row r="15" spans="2:14" ht="13">
      <c r="B15" s="43" t="s">
        <v>332</v>
      </c>
      <c r="C15" s="25">
        <f>1/6</f>
        <v>0.16666666666666666</v>
      </c>
      <c r="E15" s="43" t="s">
        <v>332</v>
      </c>
      <c r="F15" s="25">
        <f>1/4</f>
        <v>0.25</v>
      </c>
      <c r="I15" s="43"/>
      <c r="L15" s="141" t="s">
        <v>337</v>
      </c>
      <c r="N15" s="141"/>
    </row>
    <row r="16" spans="2:14" ht="13">
      <c r="B16" s="1" t="s">
        <v>316</v>
      </c>
      <c r="C16" s="25">
        <f>SQRT($C$15*C14)</f>
        <v>0.25</v>
      </c>
      <c r="E16" s="1" t="s">
        <v>316</v>
      </c>
      <c r="F16" s="25">
        <f>SQRT($F$15*F14)</f>
        <v>0.20412414523193151</v>
      </c>
      <c r="L16" s="141" t="s">
        <v>338</v>
      </c>
      <c r="N16" s="141"/>
    </row>
    <row r="17" spans="2:15" ht="13">
      <c r="B17" s="1" t="s">
        <v>317</v>
      </c>
      <c r="C17" s="25">
        <f>(LN($C$4)-LN($C$5))/($C$16*$C$13)</f>
        <v>0.25488750888174999</v>
      </c>
      <c r="E17" s="1" t="s">
        <v>317</v>
      </c>
      <c r="F17" s="25">
        <f>(LN($C$4)-LN($C$5))/($F$16*$F$13)</f>
        <v>0.31439146498043025</v>
      </c>
      <c r="G17" s="43" t="s">
        <v>322</v>
      </c>
      <c r="L17" s="141" t="s">
        <v>339</v>
      </c>
      <c r="N17" s="141"/>
    </row>
    <row r="18" spans="2:15" ht="13">
      <c r="B18" s="1" t="s">
        <v>318</v>
      </c>
      <c r="C18" s="25">
        <f>(LN($C$6)-LN($C$4))/($C$16*$C$13)</f>
        <v>0.25495619454639212</v>
      </c>
      <c r="E18" s="1" t="s">
        <v>318</v>
      </c>
      <c r="F18" s="25">
        <f>(LN($C$6)-LN($C$4))/($F$16*$F$13)</f>
        <v>0.31447618543936817</v>
      </c>
      <c r="G18" s="43" t="s">
        <v>323</v>
      </c>
      <c r="L18" s="141" t="s">
        <v>340</v>
      </c>
      <c r="N18" s="141"/>
    </row>
    <row r="19" spans="2:15" ht="13.5">
      <c r="B19" s="1" t="s">
        <v>319</v>
      </c>
      <c r="C19" s="25">
        <f>AVERAGE(C17:C18)</f>
        <v>0.25492185171407106</v>
      </c>
      <c r="E19" s="1" t="s">
        <v>319</v>
      </c>
      <c r="F19" s="25">
        <f>AVERAGE(F17:F18)</f>
        <v>0.31443382520989921</v>
      </c>
      <c r="G19" s="43" t="s">
        <v>324</v>
      </c>
      <c r="L19" s="142" t="s">
        <v>341</v>
      </c>
      <c r="N19" s="142"/>
      <c r="O19" s="43"/>
    </row>
    <row r="20" spans="2:15" ht="13">
      <c r="L20" s="141" t="s">
        <v>342</v>
      </c>
      <c r="N20" s="141"/>
    </row>
    <row r="21" spans="2:15" ht="20">
      <c r="B21" s="20" t="s">
        <v>107</v>
      </c>
      <c r="C21" s="26">
        <f>100*SQRT(EXP(C$19^2)-1)</f>
        <v>25.912000637541482</v>
      </c>
      <c r="D21" s="20" t="s">
        <v>108</v>
      </c>
      <c r="E21" s="140" t="s">
        <v>320</v>
      </c>
      <c r="F21" s="26">
        <f>100*SQRT(EXP(F$19^2)-1)</f>
        <v>32.236821862146222</v>
      </c>
      <c r="G21" s="20" t="s">
        <v>108</v>
      </c>
      <c r="H21" s="43" t="s">
        <v>325</v>
      </c>
      <c r="L21" s="142" t="s">
        <v>343</v>
      </c>
      <c r="N21" s="142"/>
    </row>
    <row r="22" spans="2:15" ht="13">
      <c r="C22" s="10"/>
    </row>
    <row r="23" spans="2:15" ht="13">
      <c r="C23" s="10"/>
    </row>
    <row r="24" spans="2:15" ht="13">
      <c r="C24" s="10"/>
    </row>
    <row r="25" spans="2:15" ht="13">
      <c r="C25" s="10"/>
    </row>
    <row r="26" spans="2:15" ht="13">
      <c r="C26" s="14"/>
    </row>
    <row r="27" spans="2:15">
      <c r="C27" s="25"/>
    </row>
    <row r="28" spans="2:15">
      <c r="C28" s="25"/>
    </row>
    <row r="29" spans="2:15">
      <c r="C29" s="25"/>
    </row>
    <row r="30" spans="2:15">
      <c r="C30" s="25"/>
    </row>
    <row r="32" spans="2:15" ht="20">
      <c r="B32" s="20"/>
      <c r="C32" s="26"/>
    </row>
  </sheetData>
  <hyperlinks>
    <hyperlink ref="G6" r:id="rId1" location="page=26" xr:uid="{B36F0B13-A9EF-4AD7-A885-3894E2186E18}"/>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B2" sqref="B2"/>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140" t="s">
        <v>346</v>
      </c>
    </row>
    <row r="3" spans="2:4" ht="18.75" customHeight="1" thickBot="1">
      <c r="B3" s="21" t="s">
        <v>89</v>
      </c>
    </row>
    <row r="4" spans="2:4" ht="13">
      <c r="B4" s="1" t="s">
        <v>90</v>
      </c>
      <c r="C4" s="22"/>
      <c r="D4" s="1" t="s">
        <v>91</v>
      </c>
    </row>
    <row r="5" spans="2:4" ht="13">
      <c r="B5" s="1" t="s">
        <v>92</v>
      </c>
      <c r="C5" s="23"/>
      <c r="D5" s="1" t="s">
        <v>93</v>
      </c>
    </row>
    <row r="6" spans="2:4" ht="13">
      <c r="B6" s="1" t="s">
        <v>94</v>
      </c>
      <c r="C6" s="23"/>
      <c r="D6" s="1" t="s">
        <v>95</v>
      </c>
    </row>
    <row r="7" spans="2:4" ht="13">
      <c r="B7" s="43" t="s">
        <v>16</v>
      </c>
      <c r="C7" s="24"/>
      <c r="D7" s="43" t="s">
        <v>312</v>
      </c>
    </row>
    <row r="8" spans="2:4" ht="13.5" thickBot="1">
      <c r="B8" s="43" t="s">
        <v>311</v>
      </c>
      <c r="C8" s="24"/>
      <c r="D8" s="43" t="s">
        <v>313</v>
      </c>
    </row>
    <row r="9" spans="2:4" ht="13.5" thickBot="1">
      <c r="B9" s="1" t="s">
        <v>98</v>
      </c>
      <c r="C9" s="2">
        <v>0.9</v>
      </c>
    </row>
    <row r="11" spans="2:4">
      <c r="B11" s="43" t="s">
        <v>326</v>
      </c>
      <c r="C11" s="25"/>
      <c r="D11" s="43"/>
    </row>
    <row r="12" spans="2:4">
      <c r="B12" s="32" t="s">
        <v>321</v>
      </c>
    </row>
    <row r="13" spans="2:4">
      <c r="B13" s="1" t="s">
        <v>99</v>
      </c>
      <c r="C13" s="25">
        <f>C7+C8-2</f>
        <v>-2</v>
      </c>
      <c r="D13" s="43" t="s">
        <v>315</v>
      </c>
    </row>
    <row r="14" spans="2:4">
      <c r="B14" s="1" t="s">
        <v>100</v>
      </c>
      <c r="C14" s="25" t="e">
        <f>TINV(1-$C$9,$C$13)</f>
        <v>#NUM!</v>
      </c>
    </row>
    <row r="15" spans="2:4">
      <c r="B15" s="1" t="s">
        <v>314</v>
      </c>
      <c r="C15" s="25" t="e">
        <f>1/C7+1/C8</f>
        <v>#DIV/0!</v>
      </c>
    </row>
    <row r="16" spans="2:4">
      <c r="B16" s="1" t="s">
        <v>316</v>
      </c>
      <c r="C16" s="25" t="e">
        <f>SQRT(C15)</f>
        <v>#DIV/0!</v>
      </c>
    </row>
    <row r="17" spans="2:7">
      <c r="B17" s="1" t="s">
        <v>317</v>
      </c>
      <c r="C17" s="25" t="e">
        <f>(LN($C$4)-LN($C$5))/($C$16*$C$14)</f>
        <v>#NUM!</v>
      </c>
      <c r="D17" s="43" t="s">
        <v>322</v>
      </c>
    </row>
    <row r="18" spans="2:7">
      <c r="B18" s="1" t="s">
        <v>318</v>
      </c>
      <c r="C18" s="25" t="e">
        <f>(LN($C$6)-LN($C$4))/($C$16*$C$14)</f>
        <v>#NUM!</v>
      </c>
      <c r="D18" s="43" t="s">
        <v>323</v>
      </c>
    </row>
    <row r="19" spans="2:7">
      <c r="B19" s="1" t="s">
        <v>319</v>
      </c>
      <c r="C19" s="25" t="e">
        <f>AVERAGE(C17:C18)</f>
        <v>#NUM!</v>
      </c>
      <c r="D19" s="43" t="s">
        <v>324</v>
      </c>
    </row>
    <row r="20" spans="2:7">
      <c r="G20" s="34"/>
    </row>
    <row r="21" spans="2:7" ht="20">
      <c r="B21" s="140" t="s">
        <v>320</v>
      </c>
      <c r="C21" s="26" t="e">
        <f>100*SQRT(EXP(C19^2)-1)</f>
        <v>#NUM!</v>
      </c>
      <c r="D21" s="20" t="s">
        <v>108</v>
      </c>
      <c r="E21" s="43" t="s">
        <v>325</v>
      </c>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ISVrep</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2026-02-09T15:39:46Z</dcterms:modified>
  <cp:category>Sample Size Estimation</cp:category>
</cp:coreProperties>
</file>