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2/Section 2.3 - Sample Size/"/>
    </mc:Choice>
  </mc:AlternateContent>
  <xr:revisionPtr revIDLastSave="4024" documentId="8_{84F6CF09-9E75-404B-9ECD-357F45FF4014}" xr6:coauthVersionLast="47" xr6:coauthVersionMax="47" xr10:uidLastSave="{53F5E222-4A1E-4CC6-B213-DA2B3B2D853F}"/>
  <bookViews>
    <workbookView xWindow="-110" yWindow="-110" windowWidth="19420" windowHeight="105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s="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s="1"/>
  <c r="D6" i="1"/>
  <c r="C12" i="8"/>
  <c r="C13" i="8"/>
  <c r="C10" i="7"/>
  <c r="C14" i="7"/>
  <c r="C12" i="7"/>
  <c r="C13" i="7"/>
  <c r="C21" i="23"/>
  <c r="C9" i="24"/>
  <c r="C10" i="24" s="1"/>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s="1"/>
  <c r="Z20" i="1" s="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s="1"/>
  <c r="AA11" i="1"/>
  <c r="AB11" i="1" s="1"/>
  <c r="U16" i="1" s="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l="1"/>
  <c r="Y11" i="1" s="1"/>
  <c r="U17" i="1"/>
  <c r="V16" i="1"/>
  <c r="C18" i="13"/>
  <c r="C18" i="27"/>
  <c r="C18" i="14"/>
  <c r="C18" i="1"/>
  <c r="C18" i="7"/>
  <c r="C18" i="12"/>
  <c r="C18" i="8"/>
  <c r="C18" i="11"/>
  <c r="C18" i="28"/>
  <c r="AD19" i="1" l="1"/>
  <c r="AD20" i="1" s="1"/>
  <c r="AD16" i="1"/>
  <c r="AD17" i="1" s="1"/>
  <c r="U18" i="1"/>
  <c r="V17" i="1"/>
  <c r="V18" i="1" l="1"/>
  <c r="U19" i="1"/>
  <c r="U20" i="1" l="1"/>
  <c r="V19" i="1"/>
  <c r="V20" i="1" l="1"/>
  <c r="U21" i="1"/>
  <c r="V21" i="1" l="1"/>
  <c r="U22" i="1"/>
  <c r="V22" i="1" l="1"/>
  <c r="U23" i="1"/>
  <c r="U24" i="1" l="1"/>
  <c r="V23" i="1"/>
  <c r="V24" i="1" l="1"/>
  <c r="U25" i="1"/>
  <c r="V25" i="1" l="1"/>
  <c r="U26" i="1"/>
  <c r="V26" i="1" l="1"/>
  <c r="U27" i="1"/>
  <c r="U28" i="1" l="1"/>
  <c r="V27" i="1"/>
  <c r="V28" i="1" l="1"/>
  <c r="U29" i="1"/>
  <c r="U30" i="1" l="1"/>
  <c r="V29" i="1"/>
  <c r="V30" i="1" l="1"/>
  <c r="U31" i="1"/>
  <c r="U32" i="1" l="1"/>
  <c r="V31" i="1"/>
  <c r="U33" i="1" l="1"/>
  <c r="V32" i="1"/>
  <c r="U34" i="1" l="1"/>
  <c r="V33" i="1"/>
  <c r="U35" i="1" l="1"/>
  <c r="V34" i="1"/>
  <c r="U36" i="1" l="1"/>
  <c r="V35" i="1"/>
  <c r="U37" i="1" l="1"/>
  <c r="V36" i="1"/>
  <c r="V37" i="1" l="1"/>
  <c r="U38" i="1"/>
  <c r="U39" i="1" l="1"/>
  <c r="V38" i="1"/>
  <c r="U40" i="1" l="1"/>
  <c r="V39" i="1"/>
  <c r="V40" i="1" l="1"/>
  <c r="U41" i="1"/>
  <c r="U42" i="1" l="1"/>
  <c r="V41" i="1"/>
  <c r="V42" i="1" l="1"/>
  <c r="U43" i="1"/>
  <c r="V43" i="1" l="1"/>
  <c r="U44" i="1"/>
  <c r="V44" i="1" l="1"/>
  <c r="U45" i="1"/>
  <c r="V45" i="1" l="1"/>
  <c r="U46" i="1"/>
  <c r="V46" i="1" l="1"/>
  <c r="U47" i="1"/>
  <c r="V47" i="1" s="1"/>
  <c r="AE17" i="1" l="1"/>
  <c r="AE20" i="1" s="1"/>
  <c r="AA33" i="1"/>
  <c r="AA36" i="1" s="1"/>
  <c r="C11" i="24" l="1"/>
  <c r="C13" i="24" s="1"/>
  <c r="C15" i="24" s="1"/>
  <c r="C12" i="24"/>
  <c r="C14" i="24" s="1"/>
  <c r="C16" i="24" s="1"/>
  <c r="C18"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<sst xmlns="http://schemas.openxmlformats.org/spreadsheetml/2006/main" count="996" uniqueCount="250">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</sst>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0.92063532251344238</c:v>
                </c:pt>
                <c:pt idx="1">
                  <c:v>0.92063532251344238</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1.0793646774865577</c:v>
                </c:pt>
                <c:pt idx="1">
                  <c:v>1.0793646774865577</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0.8449072239905564</c:v>
                </c:pt>
                <c:pt idx="1">
                  <c:v>0.8449072239905564</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0.95509277600944364</c:v>
                </c:pt>
                <c:pt idx="1">
                  <c:v>0.95509277600944364</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412750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796875" defaultRowHeight="12.5"/>
  <cols>
    <col min="1" max="1" width="5.1796875" style="66" customWidth="1"/>
    <col min="2" max="2" width="10.453125" style="66" customWidth="1"/>
    <col min="3" max="16384" width="9.1796875" style="66"/>
  </cols>
  <sheetData>
    <row r="2" spans="2:9" ht="20">
      <c r="C2" s="67" t="s">
        <v>242</v>
      </c>
      <c r="I2" s="68" t="s">
        <v>241</v>
      </c>
    </row>
    <row r="3" spans="2:9" ht="20">
      <c r="C3" s="67" t="s">
        <v>243</v>
      </c>
    </row>
    <row r="4" spans="2:9">
      <c r="B4" s="69" t="s">
        <v>80</v>
      </c>
    </row>
    <row r="6" spans="2:9">
      <c r="B6" s="70" t="s">
        <v>249</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5">
      <c r="B12" s="1" t="s">
        <v>61</v>
      </c>
      <c r="C12" s="1">
        <f>C11*(C3+1)-2</f>
        <v>1052</v>
      </c>
      <c r="U12" s="52" t="s">
        <v>207</v>
      </c>
      <c r="V12" s="55">
        <f>V11+C6</f>
        <v>168</v>
      </c>
      <c r="W12" s="52">
        <f>$C$5</f>
        <v>40</v>
      </c>
      <c r="X12" s="52">
        <f>W12/SQRT(D20)</f>
        <v>1.7424273674761284</v>
      </c>
      <c r="Y12" s="52">
        <f>TINV($C$4*2,$D$20-1)*X12</f>
        <v>2.8710945679140898</v>
      </c>
    </row>
    <row r="13" spans="2:31" ht="15.5">
      <c r="B13" s="1" t="s">
        <v>62</v>
      </c>
      <c r="C13" s="1">
        <f>TINV(C4,C12)</f>
        <v>1.9622215477763136</v>
      </c>
      <c r="Y13" s="52" t="b">
        <v>1</v>
      </c>
      <c r="AC13" s="52" t="b">
        <v>0</v>
      </c>
    </row>
    <row r="14" spans="2:31" ht="13">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5">
      <c r="B12" s="1" t="s">
        <v>36</v>
      </c>
      <c r="C12" s="1">
        <f>C11*(C3+1)-2</f>
        <v>430</v>
      </c>
      <c r="U12" s="44"/>
    </row>
    <row r="13" spans="2:31" ht="15.5">
      <c r="B13" s="1" t="s">
        <v>37</v>
      </c>
      <c r="C13" s="1">
        <f>TINV(C4*2,C12)</f>
        <v>1.6484049694330176</v>
      </c>
      <c r="Y13" s="1" t="b">
        <v>0</v>
      </c>
      <c r="AC13" s="1" t="b">
        <v>1</v>
      </c>
    </row>
    <row r="14" spans="2:31" ht="13">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246</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ht="13">
      <c r="B20" s="1" t="s">
        <v>11</v>
      </c>
      <c r="C20" s="1">
        <f>CEILING(C11,1)</f>
        <v>216</v>
      </c>
      <c r="D20" s="1">
        <f>C20*C3</f>
        <v>216</v>
      </c>
      <c r="E20" s="1">
        <f>C20+D20</f>
        <v>432</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236</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1</v>
      </c>
      <c r="W11" s="1">
        <f>$C$10</f>
        <v>0.24622067706923975</v>
      </c>
      <c r="X11" s="1">
        <f>W11/SQRT(C20)</f>
        <v>4.6531334226225157E-2</v>
      </c>
      <c r="Y11" s="1">
        <f>TINV($C$4*2,$C$20-2)*X11</f>
        <v>7.936467748655765E-2</v>
      </c>
      <c r="AA11" s="46">
        <f>V11+4*W11</f>
        <v>1.9848827082769591</v>
      </c>
      <c r="AB11" s="1">
        <f>AA11/33</f>
        <v>6.0147960856877548E-2</v>
      </c>
    </row>
    <row r="12" spans="2:31">
      <c r="B12" s="1" t="s">
        <v>2</v>
      </c>
      <c r="C12" s="1">
        <f>C11-2</f>
        <v>26</v>
      </c>
      <c r="U12" s="44"/>
    </row>
    <row r="13" spans="2:31">
      <c r="B13" s="1" t="s">
        <v>8</v>
      </c>
      <c r="C13" s="1">
        <f>TINV(C4*2,C12)</f>
        <v>1.7056179197592738</v>
      </c>
      <c r="Y13" s="1" t="b">
        <v>0</v>
      </c>
      <c r="AC13" s="1" t="b">
        <v>1</v>
      </c>
    </row>
    <row r="14" spans="2:31" ht="13">
      <c r="B14" s="1" t="s">
        <v>3</v>
      </c>
      <c r="C14" s="1">
        <f>(SQRT(C11)*(LN(C6)-LN(C8)))/(SQRT(2*C10^2))</f>
        <v>-3.3909691380265081</v>
      </c>
      <c r="U14" s="44" t="s">
        <v>205</v>
      </c>
      <c r="V14" s="44" t="s">
        <v>227</v>
      </c>
      <c r="W14" s="44"/>
      <c r="Y14" s="9" t="s">
        <v>220</v>
      </c>
      <c r="AC14" s="9" t="s">
        <v>222</v>
      </c>
    </row>
    <row r="15" spans="2:31">
      <c r="B15" s="1" t="s">
        <v>4</v>
      </c>
      <c r="C15" s="1">
        <f>(SQRT(C11)*(LN(C6)-LN(C7)))/(SQRT(2*C10^2))</f>
        <v>3.3909691380265072</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0.95113011833985861</v>
      </c>
      <c r="U16" s="1">
        <f>U15+$AB$11</f>
        <v>6.0147960856877548E-2</v>
      </c>
      <c r="V16" s="1">
        <f t="shared" ref="V16:V47" si="0">_xlfn.NORM.DIST($U16,$V$11,$C$5,FALSE)</f>
        <v>1.3614308782823046E-3</v>
      </c>
      <c r="Y16" s="44" t="s">
        <v>216</v>
      </c>
      <c r="Z16" s="1">
        <f>$V$11-$W$11</f>
        <v>0.75377932293076022</v>
      </c>
      <c r="AA16" s="1">
        <v>0</v>
      </c>
      <c r="AC16" s="44" t="s">
        <v>216</v>
      </c>
      <c r="AD16" s="1">
        <f>$V$11-$Y$11</f>
        <v>0.92063532251344238</v>
      </c>
      <c r="AE16" s="1">
        <v>0</v>
      </c>
    </row>
    <row r="17" spans="2:31">
      <c r="B17" s="1" t="s">
        <v>6</v>
      </c>
      <c r="C17" s="1">
        <f>NCt(C13,C12,C15)</f>
        <v>4.8869881660141418E-2</v>
      </c>
      <c r="U17" s="1">
        <f t="shared" ref="U17:U47" si="1">U16+$AB$11</f>
        <v>0.1202959217137551</v>
      </c>
      <c r="V17" s="1">
        <f t="shared" si="0"/>
        <v>3.2676693182428582E-3</v>
      </c>
      <c r="Y17" s="44" t="s">
        <v>218</v>
      </c>
      <c r="Z17" s="1">
        <f>Z16</f>
        <v>0.75377932293076022</v>
      </c>
      <c r="AA17" s="1">
        <f>IF(Y13,MAX($V$15:$V$47),0)</f>
        <v>0</v>
      </c>
      <c r="AC17" s="44" t="s">
        <v>218</v>
      </c>
      <c r="AD17" s="1">
        <f>AD16</f>
        <v>0.92063532251344238</v>
      </c>
      <c r="AE17" s="1">
        <f>IF(AC13,MAX($V$15:$V$47),0)</f>
        <v>1.5893105496006901</v>
      </c>
    </row>
    <row r="18" spans="2:31">
      <c r="B18" s="1" t="s">
        <v>58</v>
      </c>
      <c r="C18" s="1">
        <f>C16-C17</f>
        <v>0.90226023667971722</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1.0793646774865577</v>
      </c>
      <c r="AE19" s="1">
        <v>0</v>
      </c>
    </row>
    <row r="20" spans="2:31">
      <c r="B20" s="1" t="s">
        <v>11</v>
      </c>
      <c r="C20" s="1">
        <f>CEILING(C11,1)</f>
        <v>28</v>
      </c>
      <c r="U20" s="1">
        <f t="shared" si="1"/>
        <v>0.30073980428438774</v>
      </c>
      <c r="V20" s="1">
        <f t="shared" si="0"/>
        <v>3.1925100068458327E-2</v>
      </c>
      <c r="Y20" s="44" t="s">
        <v>218</v>
      </c>
      <c r="Z20" s="1">
        <f>Z19</f>
        <v>1.2462206770692397</v>
      </c>
      <c r="AA20" s="1">
        <f>AA17</f>
        <v>0</v>
      </c>
      <c r="AC20" s="44" t="s">
        <v>218</v>
      </c>
      <c r="AD20" s="1">
        <f>AD19</f>
        <v>1.0793646774865577</v>
      </c>
      <c r="AE20" s="1">
        <f>AE17</f>
        <v>1.5893105496006901</v>
      </c>
    </row>
    <row r="21" spans="2:31">
      <c r="U21" s="1">
        <f t="shared" si="1"/>
        <v>0.3608877651412653</v>
      </c>
      <c r="V21" s="1">
        <f t="shared" si="0"/>
        <v>6.0788189407009453E-2</v>
      </c>
    </row>
    <row r="22" spans="2:31" ht="13">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ht="13">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ht="13">
      <c r="B67" s="9" t="s">
        <v>125</v>
      </c>
      <c r="G67" s="6"/>
    </row>
    <row r="68" spans="2:7">
      <c r="G68" s="6"/>
    </row>
    <row r="69" spans="2:7" ht="13">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 thickBot="1">
      <c r="B5" s="1" t="s">
        <v>120</v>
      </c>
      <c r="C5" s="43">
        <v>0.65</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0.59364626421662003</v>
      </c>
      <c r="V10" s="52" t="s">
        <v>212</v>
      </c>
      <c r="W10" s="52" t="s">
        <v>210</v>
      </c>
      <c r="X10" s="52" t="s">
        <v>213</v>
      </c>
      <c r="Y10" s="52" t="s">
        <v>211</v>
      </c>
      <c r="AA10" s="52" t="s">
        <v>224</v>
      </c>
      <c r="AB10" s="52" t="s">
        <v>225</v>
      </c>
    </row>
    <row r="11" spans="2:31" ht="13">
      <c r="B11" s="1" t="s">
        <v>0</v>
      </c>
      <c r="C11" s="7">
        <v>316</v>
      </c>
      <c r="U11" s="52" t="s">
        <v>206</v>
      </c>
      <c r="V11" s="53">
        <f>C6</f>
        <v>0.9</v>
      </c>
      <c r="W11" s="52">
        <f>$C$10</f>
        <v>0.59364626421662003</v>
      </c>
      <c r="X11" s="52">
        <f>W11/SQRT(C11)</f>
        <v>3.3395211465002642E-2</v>
      </c>
      <c r="Y11" s="52">
        <f>TINV($C$4*2,$C$11-2)*X11</f>
        <v>5.5092776009443595E-2</v>
      </c>
      <c r="AA11" s="54">
        <f>V11+4*W11</f>
        <v>3.27458505686648</v>
      </c>
      <c r="AB11" s="52">
        <f>AA11/33</f>
        <v>9.9229850208075149E-2</v>
      </c>
    </row>
    <row r="12" spans="2:31">
      <c r="B12" s="1" t="s">
        <v>2</v>
      </c>
      <c r="C12" s="1">
        <f>C11-2</f>
        <v>314</v>
      </c>
    </row>
    <row r="13" spans="2:31">
      <c r="B13" s="1" t="s">
        <v>8</v>
      </c>
      <c r="C13" s="1">
        <f>TINV(C4*2,C12)</f>
        <v>1.6497208309993625</v>
      </c>
      <c r="Y13" s="52" t="b">
        <v>0</v>
      </c>
      <c r="AC13" s="52" t="b">
        <v>1</v>
      </c>
    </row>
    <row r="14" spans="2:31" ht="13">
      <c r="B14" s="1" t="s">
        <v>3</v>
      </c>
      <c r="C14" s="1">
        <f>(SQRT(C11)*(LN(C6)-LN(C8)))/(SQRT(2*C10^2))</f>
        <v>-6.9557114093054322</v>
      </c>
      <c r="U14" s="52" t="s">
        <v>205</v>
      </c>
      <c r="V14" s="52" t="s">
        <v>227</v>
      </c>
      <c r="Y14" s="55" t="s">
        <v>220</v>
      </c>
      <c r="AC14" s="55" t="s">
        <v>222</v>
      </c>
    </row>
    <row r="15" spans="2:31">
      <c r="B15" s="1" t="s">
        <v>4</v>
      </c>
      <c r="C15" s="1">
        <f>(SQRT(C11)*(LN(C6)-LN(C7)))/(SQRT(2*C10^2))</f>
        <v>2.4939259123616111</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0.99999994075628706</v>
      </c>
      <c r="U16" s="52">
        <f>U15+$AB$11</f>
        <v>9.9229850208075149E-2</v>
      </c>
      <c r="V16" s="52">
        <f t="shared" ref="V16:V47" si="0">_xlfn.NORM.DIST($U16,$V$11,$C$5,FALSE)</f>
        <v>0.28736242915824389</v>
      </c>
      <c r="Y16" s="52" t="s">
        <v>216</v>
      </c>
      <c r="Z16" s="52">
        <f>$V$11-$W$11</f>
        <v>0.30635373578337999</v>
      </c>
      <c r="AA16" s="52">
        <v>0</v>
      </c>
      <c r="AC16" s="52" t="s">
        <v>216</v>
      </c>
      <c r="AD16" s="52">
        <f>$V$11-$Y$11</f>
        <v>0.8449072239905564</v>
      </c>
      <c r="AE16" s="52">
        <v>0</v>
      </c>
    </row>
    <row r="17" spans="2:31">
      <c r="B17" s="1" t="s">
        <v>6</v>
      </c>
      <c r="C17" s="1">
        <f>NCt(C13,C12,C15)</f>
        <v>0.19942025588842699</v>
      </c>
      <c r="U17" s="52">
        <f t="shared" ref="U17:U47" si="1">U16+$AB$11</f>
        <v>0.1984597004161503</v>
      </c>
      <c r="V17" s="52">
        <f t="shared" si="0"/>
        <v>0.34280549683534484</v>
      </c>
      <c r="Y17" s="52" t="s">
        <v>218</v>
      </c>
      <c r="Z17" s="52">
        <f>Z16</f>
        <v>0.30635373578337999</v>
      </c>
      <c r="AA17" s="52">
        <f>IF(Y13,MAX($V$15:$V$47),0)</f>
        <v>0</v>
      </c>
      <c r="AC17" s="52" t="s">
        <v>218</v>
      </c>
      <c r="AD17" s="52">
        <f>AD16</f>
        <v>0.8449072239905564</v>
      </c>
      <c r="AE17" s="52">
        <f>IF(AC13,MAX($V$15:$V$47),0)</f>
        <v>0.61372245947377413</v>
      </c>
    </row>
    <row r="18" spans="2:31">
      <c r="B18" s="1" t="s">
        <v>58</v>
      </c>
      <c r="C18" s="1">
        <f>C16-C17</f>
        <v>0.80057968486786013</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0.95509277600944364</v>
      </c>
      <c r="AE19" s="52">
        <v>0</v>
      </c>
    </row>
    <row r="20" spans="2:31">
      <c r="B20" s="1" t="s">
        <v>11</v>
      </c>
      <c r="C20" s="1">
        <f>CEILING(INDEX(Z2:Z4,Y5,1)*C11,1)</f>
        <v>158</v>
      </c>
      <c r="U20" s="52">
        <f t="shared" si="1"/>
        <v>0.49614925104037577</v>
      </c>
      <c r="V20" s="52">
        <f t="shared" si="0"/>
        <v>0.50602563077485663</v>
      </c>
      <c r="Y20" s="52" t="s">
        <v>218</v>
      </c>
      <c r="Z20" s="52">
        <f>Z19</f>
        <v>1.4936462642166202</v>
      </c>
      <c r="AA20" s="52">
        <f>AA17</f>
        <v>0</v>
      </c>
      <c r="AC20" s="52" t="s">
        <v>218</v>
      </c>
      <c r="AD20" s="52">
        <f>AD19</f>
        <v>0.95509277600944364</v>
      </c>
      <c r="AE20" s="52">
        <f>AE17</f>
        <v>0.61372245947377413</v>
      </c>
    </row>
    <row r="21" spans="2:31">
      <c r="U21" s="52">
        <f t="shared" si="1"/>
        <v>0.59537910124845095</v>
      </c>
      <c r="V21" s="52">
        <f t="shared" si="0"/>
        <v>0.54992637471810812</v>
      </c>
    </row>
    <row r="22" spans="2:31" ht="13">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ht="13">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412750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1.0308417465824675</v>
      </c>
      <c r="D4" s="1" t="s">
        <v>93</v>
      </c>
    </row>
    <row r="5" spans="2:4" ht="13">
      <c r="B5" s="1" t="s">
        <v>94</v>
      </c>
      <c r="C5" s="23">
        <v>0.92586500000000005</v>
      </c>
      <c r="D5" s="1" t="s">
        <v>95</v>
      </c>
    </row>
    <row r="6" spans="2:4" ht="13">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
      <c r="B18" s="20" t="s">
        <v>109</v>
      </c>
      <c r="C18" s="26">
        <f>(C15+C16)/2</f>
        <v>48.233977696776819</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2022-01-25T22:03:07Z</dcterms:modified>
  <cp:category>Sample Size Estimation</cp:category>
</cp:coreProperties>
</file>