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5928" codeName="{AE6600E7-7A62-396C-DE95-9942FA9DD81E}"/>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F1364C2D-9FB4-4296-9DA9-C50109BEB799}" xr6:coauthVersionLast="47" xr6:coauthVersionMax="47" xr10:uidLastSave="{00000000-0000-0000-0000-000000000000}"/>
  <bookViews>
    <workbookView xWindow="-120" yWindow="-120" windowWidth="25440" windowHeight="1539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concurrentCalc="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C8" i="1" l="1"/>
  <c r="O20" i="28"/>
  <c r="C20" i="8"/>
  <c r="C20" i="28"/>
  <c r="C12" i="28"/>
  <c r="C13" i="28"/>
  <c r="Z32" i="28"/>
  <c r="Z33" i="28"/>
  <c r="V11" i="28"/>
  <c r="C10" i="28"/>
  <c r="C15" i="28"/>
  <c r="C8" i="28"/>
  <c r="D6" i="28"/>
  <c r="C14" i="28"/>
  <c r="D20" i="28"/>
  <c r="E20" i="28"/>
  <c r="Z35" i="28"/>
  <c r="Z36" i="28"/>
  <c r="W11" i="28"/>
  <c r="V15" i="28"/>
  <c r="C20" i="27"/>
  <c r="Y6" i="27"/>
  <c r="Z2" i="27"/>
  <c r="Z32" i="27"/>
  <c r="Z33" i="27"/>
  <c r="C12" i="27"/>
  <c r="C13" i="27"/>
  <c r="V11" i="27"/>
  <c r="V15" i="27"/>
  <c r="C10" i="27"/>
  <c r="C15" i="27"/>
  <c r="C8" i="27"/>
  <c r="Z35" i="27"/>
  <c r="Z36" i="27"/>
  <c r="X11" i="28"/>
  <c r="Y11" i="28"/>
  <c r="Z16" i="28"/>
  <c r="Z17" i="28"/>
  <c r="Z19" i="28"/>
  <c r="Z20" i="28"/>
  <c r="AA11" i="28"/>
  <c r="AB11" i="28"/>
  <c r="U16" i="28"/>
  <c r="C14" i="27"/>
  <c r="D6" i="27"/>
  <c r="W11" i="27"/>
  <c r="X11" i="27"/>
  <c r="Y11" i="27"/>
  <c r="K7" i="14"/>
  <c r="K7" i="13"/>
  <c r="U17" i="28"/>
  <c r="V16" i="28"/>
  <c r="AD16" i="28"/>
  <c r="AD17" i="28"/>
  <c r="AD19" i="28"/>
  <c r="AD20" i="28"/>
  <c r="Z16" i="27"/>
  <c r="Z17" i="27"/>
  <c r="AA11" i="27"/>
  <c r="AB11" i="27"/>
  <c r="U16" i="27"/>
  <c r="Z19" i="27"/>
  <c r="Z20" i="27"/>
  <c r="C25" i="7"/>
  <c r="V17" i="28"/>
  <c r="U18" i="28"/>
  <c r="U17" i="27"/>
  <c r="V16" i="27"/>
  <c r="AD16" i="27"/>
  <c r="AD17" i="27"/>
  <c r="AD19" i="27"/>
  <c r="AD20" i="27"/>
  <c r="V11" i="1"/>
  <c r="V15" i="1"/>
  <c r="Z35" i="1"/>
  <c r="Z36" i="1"/>
  <c r="Z32" i="1"/>
  <c r="Z33" i="1"/>
  <c r="AE25" i="14"/>
  <c r="AE28" i="14"/>
  <c r="V11" i="14"/>
  <c r="V12" i="14"/>
  <c r="W15" i="14"/>
  <c r="W12" i="14"/>
  <c r="AA11" i="14"/>
  <c r="AB11" i="14"/>
  <c r="U16" i="14"/>
  <c r="W16" i="14"/>
  <c r="U17" i="14"/>
  <c r="W17" i="14"/>
  <c r="U18" i="14"/>
  <c r="W18" i="14"/>
  <c r="U19" i="14"/>
  <c r="W19" i="14"/>
  <c r="U20" i="14"/>
  <c r="W20" i="14"/>
  <c r="U21" i="14"/>
  <c r="W21" i="14"/>
  <c r="U22" i="14"/>
  <c r="W22" i="14"/>
  <c r="U23" i="14"/>
  <c r="W23" i="14"/>
  <c r="U24" i="14"/>
  <c r="W24" i="14"/>
  <c r="U25" i="14"/>
  <c r="W25" i="14"/>
  <c r="U26" i="14"/>
  <c r="W26" i="14"/>
  <c r="U27" i="14"/>
  <c r="W27" i="14"/>
  <c r="U28" i="14"/>
  <c r="W28" i="14"/>
  <c r="U29" i="14"/>
  <c r="W29" i="14"/>
  <c r="U30" i="14"/>
  <c r="W30" i="14"/>
  <c r="U31" i="14"/>
  <c r="W31" i="14"/>
  <c r="U32" i="14"/>
  <c r="W32" i="14"/>
  <c r="U33" i="14"/>
  <c r="W33" i="14"/>
  <c r="U34" i="14"/>
  <c r="W34" i="14"/>
  <c r="U35" i="14"/>
  <c r="W35" i="14"/>
  <c r="U36" i="14"/>
  <c r="W36" i="14"/>
  <c r="U37" i="14"/>
  <c r="W37" i="14"/>
  <c r="U38" i="14"/>
  <c r="W38" i="14"/>
  <c r="U39" i="14"/>
  <c r="W39" i="14"/>
  <c r="U40" i="14"/>
  <c r="W40" i="14"/>
  <c r="U41" i="14"/>
  <c r="W41" i="14"/>
  <c r="U42" i="14"/>
  <c r="W42" i="14"/>
  <c r="U43" i="14"/>
  <c r="W43" i="14"/>
  <c r="U44" i="14"/>
  <c r="W44" i="14"/>
  <c r="U45" i="14"/>
  <c r="W45" i="14"/>
  <c r="U46" i="14"/>
  <c r="W46" i="14"/>
  <c r="U47" i="14"/>
  <c r="W47" i="14"/>
  <c r="AA25" i="14"/>
  <c r="AA28" i="14"/>
  <c r="AE17" i="14"/>
  <c r="AE20" i="14"/>
  <c r="V15" i="14"/>
  <c r="V16" i="14"/>
  <c r="V17" i="14"/>
  <c r="V18" i="14"/>
  <c r="V19" i="14"/>
  <c r="V20" i="14"/>
  <c r="V21" i="14"/>
  <c r="V22" i="14"/>
  <c r="V23" i="14"/>
  <c r="V24" i="14"/>
  <c r="V25" i="14"/>
  <c r="V26" i="14"/>
  <c r="V27" i="14"/>
  <c r="V28" i="14"/>
  <c r="V29" i="14"/>
  <c r="V30" i="14"/>
  <c r="V31" i="14"/>
  <c r="V32" i="14"/>
  <c r="V33" i="14"/>
  <c r="V34" i="14"/>
  <c r="V35" i="14"/>
  <c r="V36" i="14"/>
  <c r="V37" i="14"/>
  <c r="V38" i="14"/>
  <c r="V39" i="14"/>
  <c r="V40" i="14"/>
  <c r="V41" i="14"/>
  <c r="V42" i="14"/>
  <c r="V43" i="14"/>
  <c r="V44" i="14"/>
  <c r="V45" i="14"/>
  <c r="V46" i="14"/>
  <c r="V47" i="14"/>
  <c r="AA17" i="14"/>
  <c r="AA20" i="14"/>
  <c r="W11" i="14"/>
  <c r="W12" i="13"/>
  <c r="W11" i="13"/>
  <c r="V11" i="13"/>
  <c r="Z19" i="13"/>
  <c r="Z20" i="13"/>
  <c r="W12" i="12"/>
  <c r="C20" i="12"/>
  <c r="W11" i="12"/>
  <c r="V11" i="12"/>
  <c r="V11" i="11"/>
  <c r="V12" i="11"/>
  <c r="W12" i="11"/>
  <c r="C20" i="11"/>
  <c r="D20" i="11"/>
  <c r="W11" i="11"/>
  <c r="W12" i="8"/>
  <c r="W11" i="8"/>
  <c r="V11" i="8"/>
  <c r="Z32" i="8"/>
  <c r="C20" i="7"/>
  <c r="W12" i="7"/>
  <c r="W11" i="7"/>
  <c r="V11" i="7"/>
  <c r="V15" i="7"/>
  <c r="Z19" i="14"/>
  <c r="Z20" i="14"/>
  <c r="V12" i="13"/>
  <c r="Z32" i="13"/>
  <c r="V15" i="13"/>
  <c r="Z16" i="13"/>
  <c r="Z17" i="13"/>
  <c r="V12" i="12"/>
  <c r="V15" i="12"/>
  <c r="Z19" i="12"/>
  <c r="Z20" i="12"/>
  <c r="Z16" i="12"/>
  <c r="Z17" i="12"/>
  <c r="C156" i="26"/>
  <c r="C155" i="26"/>
  <c r="C117" i="26"/>
  <c r="C116" i="26"/>
  <c r="C115" i="26"/>
  <c r="C114" i="26"/>
  <c r="D153" i="26"/>
  <c r="C84" i="26"/>
  <c r="C86" i="26"/>
  <c r="C55" i="26"/>
  <c r="C53" i="26"/>
  <c r="C54" i="26"/>
  <c r="C15" i="26"/>
  <c r="C16" i="26"/>
  <c r="C18" i="26"/>
  <c r="C13" i="26"/>
  <c r="C14" i="26"/>
  <c r="B18" i="26"/>
  <c r="C36" i="26"/>
  <c r="C37" i="26"/>
  <c r="C154" i="26"/>
  <c r="C158" i="26"/>
  <c r="C10" i="1"/>
  <c r="C15" i="1"/>
  <c r="C12" i="1"/>
  <c r="C13" i="1"/>
  <c r="D6" i="1"/>
  <c r="C12" i="8"/>
  <c r="C13" i="8"/>
  <c r="C10" i="7"/>
  <c r="C14" i="7"/>
  <c r="C12" i="7"/>
  <c r="C13" i="7"/>
  <c r="C21" i="23"/>
  <c r="C9" i="24"/>
  <c r="C10" i="24"/>
  <c r="C8" i="23"/>
  <c r="C20" i="23"/>
  <c r="C20" i="17"/>
  <c r="D20" i="17"/>
  <c r="E20" i="17"/>
  <c r="C20" i="13"/>
  <c r="C12" i="18"/>
  <c r="C13" i="18"/>
  <c r="C10" i="18"/>
  <c r="I7" i="12"/>
  <c r="C8" i="7"/>
  <c r="C57" i="19"/>
  <c r="C59" i="19"/>
  <c r="C39" i="19"/>
  <c r="C41" i="19"/>
  <c r="C20" i="19"/>
  <c r="C22" i="19"/>
  <c r="C8" i="18"/>
  <c r="C20" i="18"/>
  <c r="C8" i="11"/>
  <c r="C10" i="12"/>
  <c r="C15" i="12"/>
  <c r="C12" i="17"/>
  <c r="C13" i="17"/>
  <c r="C10" i="17"/>
  <c r="C10" i="14"/>
  <c r="C14" i="14"/>
  <c r="C8" i="14"/>
  <c r="C12" i="14"/>
  <c r="C13" i="14"/>
  <c r="C20" i="14"/>
  <c r="X12" i="14"/>
  <c r="C8" i="13"/>
  <c r="C12" i="13"/>
  <c r="C13" i="13"/>
  <c r="C10" i="13"/>
  <c r="C14" i="13"/>
  <c r="C12" i="12"/>
  <c r="C13" i="12"/>
  <c r="C10" i="11"/>
  <c r="C14" i="11"/>
  <c r="C12" i="11"/>
  <c r="C13" i="11"/>
  <c r="C10" i="8"/>
  <c r="C14" i="8"/>
  <c r="C8" i="17"/>
  <c r="C8" i="8"/>
  <c r="AA11" i="13"/>
  <c r="AB11" i="13"/>
  <c r="U16" i="13"/>
  <c r="Z24" i="12"/>
  <c r="Z25" i="12"/>
  <c r="W15" i="12"/>
  <c r="Z27" i="12"/>
  <c r="Z28" i="12"/>
  <c r="C38" i="26"/>
  <c r="C40" i="26"/>
  <c r="AA17" i="1"/>
  <c r="AA20" i="1"/>
  <c r="AE17" i="13"/>
  <c r="AE20" i="13"/>
  <c r="V16" i="13"/>
  <c r="U17" i="13"/>
  <c r="V17" i="13"/>
  <c r="U18" i="13"/>
  <c r="V18" i="13"/>
  <c r="U19" i="13"/>
  <c r="V19" i="13"/>
  <c r="U20" i="13"/>
  <c r="V20" i="13"/>
  <c r="U21" i="13"/>
  <c r="V21" i="13"/>
  <c r="U22" i="13"/>
  <c r="V22" i="13"/>
  <c r="U23" i="13"/>
  <c r="V23" i="13"/>
  <c r="U24" i="13"/>
  <c r="V24" i="13"/>
  <c r="U25" i="13"/>
  <c r="V25" i="13"/>
  <c r="U26" i="13"/>
  <c r="V26" i="13"/>
  <c r="U27" i="13"/>
  <c r="V27" i="13"/>
  <c r="U28" i="13"/>
  <c r="V28" i="13"/>
  <c r="U29" i="13"/>
  <c r="V29" i="13"/>
  <c r="U30" i="13"/>
  <c r="V30" i="13"/>
  <c r="U31" i="13"/>
  <c r="V31" i="13"/>
  <c r="U32" i="13"/>
  <c r="V32" i="13"/>
  <c r="U33" i="13"/>
  <c r="V33" i="13"/>
  <c r="U34" i="13"/>
  <c r="V34" i="13"/>
  <c r="U35" i="13"/>
  <c r="V35" i="13"/>
  <c r="U36" i="13"/>
  <c r="V36" i="13"/>
  <c r="U37" i="13"/>
  <c r="V37" i="13"/>
  <c r="U38" i="13"/>
  <c r="V38" i="13"/>
  <c r="U39" i="13"/>
  <c r="V39" i="13"/>
  <c r="U40" i="13"/>
  <c r="V40" i="13"/>
  <c r="U41" i="13"/>
  <c r="V41" i="13"/>
  <c r="U42" i="13"/>
  <c r="V42" i="13"/>
  <c r="U43" i="13"/>
  <c r="V43" i="13"/>
  <c r="U44" i="13"/>
  <c r="V44" i="13"/>
  <c r="U45" i="13"/>
  <c r="V45" i="13"/>
  <c r="U46" i="13"/>
  <c r="V46" i="13"/>
  <c r="U47" i="13"/>
  <c r="V47" i="13"/>
  <c r="AA17" i="13"/>
  <c r="AA20" i="13"/>
  <c r="W15" i="13"/>
  <c r="W16" i="13"/>
  <c r="W17" i="13"/>
  <c r="W18" i="13"/>
  <c r="W19" i="13"/>
  <c r="W20" i="13"/>
  <c r="W21" i="13"/>
  <c r="W22" i="13"/>
  <c r="W23" i="13"/>
  <c r="W24" i="13"/>
  <c r="W25" i="13"/>
  <c r="W26" i="13"/>
  <c r="W27" i="13"/>
  <c r="W28" i="13"/>
  <c r="W29" i="13"/>
  <c r="W30" i="13"/>
  <c r="W31" i="13"/>
  <c r="W32" i="13"/>
  <c r="W33" i="13"/>
  <c r="W34" i="13"/>
  <c r="W35" i="13"/>
  <c r="W36" i="13"/>
  <c r="W37" i="13"/>
  <c r="W38" i="13"/>
  <c r="W39" i="13"/>
  <c r="W40" i="13"/>
  <c r="W41" i="13"/>
  <c r="W42" i="13"/>
  <c r="W43" i="13"/>
  <c r="W44" i="13"/>
  <c r="W45" i="13"/>
  <c r="W46" i="13"/>
  <c r="W47" i="13"/>
  <c r="AA25" i="13"/>
  <c r="AA28" i="13"/>
  <c r="AE25" i="13"/>
  <c r="AE28" i="13"/>
  <c r="AE17" i="12"/>
  <c r="AE20" i="12"/>
  <c r="AA11" i="12"/>
  <c r="AB11" i="12"/>
  <c r="U16" i="12"/>
  <c r="V16" i="12"/>
  <c r="U17" i="12"/>
  <c r="V17" i="12"/>
  <c r="U18" i="12"/>
  <c r="V18" i="12"/>
  <c r="U19" i="12"/>
  <c r="V19" i="12"/>
  <c r="U20" i="12"/>
  <c r="V20" i="12"/>
  <c r="U21" i="12"/>
  <c r="V21" i="12"/>
  <c r="U22" i="12"/>
  <c r="V22" i="12"/>
  <c r="U23" i="12"/>
  <c r="V23" i="12"/>
  <c r="U24" i="12"/>
  <c r="V24" i="12"/>
  <c r="U25" i="12"/>
  <c r="V25" i="12"/>
  <c r="U26" i="12"/>
  <c r="V26" i="12"/>
  <c r="U27" i="12"/>
  <c r="V27" i="12"/>
  <c r="U28" i="12"/>
  <c r="V28" i="12"/>
  <c r="U29" i="12"/>
  <c r="V29" i="12"/>
  <c r="U30" i="12"/>
  <c r="V30" i="12"/>
  <c r="U31" i="12"/>
  <c r="V31" i="12"/>
  <c r="U32" i="12"/>
  <c r="V32" i="12"/>
  <c r="U33" i="12"/>
  <c r="V33" i="12"/>
  <c r="U34" i="12"/>
  <c r="V34" i="12"/>
  <c r="U35" i="12"/>
  <c r="V35" i="12"/>
  <c r="U36" i="12"/>
  <c r="V36" i="12"/>
  <c r="U37" i="12"/>
  <c r="V37" i="12"/>
  <c r="U38" i="12"/>
  <c r="V38" i="12"/>
  <c r="U39" i="12"/>
  <c r="V39" i="12"/>
  <c r="U40" i="12"/>
  <c r="V40" i="12"/>
  <c r="U41" i="12"/>
  <c r="V41" i="12"/>
  <c r="U42" i="12"/>
  <c r="V42" i="12"/>
  <c r="U43" i="12"/>
  <c r="V43" i="12"/>
  <c r="U44" i="12"/>
  <c r="V44" i="12"/>
  <c r="U45" i="12"/>
  <c r="V45" i="12"/>
  <c r="U46" i="12"/>
  <c r="V46" i="12"/>
  <c r="U47" i="12"/>
  <c r="V47" i="12"/>
  <c r="AA17" i="12"/>
  <c r="AA20" i="12"/>
  <c r="AE25" i="12"/>
  <c r="AE28"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AA25" i="12"/>
  <c r="AA28" i="12"/>
  <c r="V15" i="8"/>
  <c r="V12" i="8"/>
  <c r="AA11" i="8"/>
  <c r="AB11" i="8"/>
  <c r="U16" i="8"/>
  <c r="V16" i="8"/>
  <c r="U17" i="8"/>
  <c r="V17" i="8"/>
  <c r="U18" i="8"/>
  <c r="V18" i="8"/>
  <c r="U19" i="8"/>
  <c r="V19" i="8"/>
  <c r="U20" i="8"/>
  <c r="V20" i="8"/>
  <c r="U21" i="8"/>
  <c r="V21" i="8"/>
  <c r="U22" i="8"/>
  <c r="V22" i="8"/>
  <c r="U23" i="8"/>
  <c r="V23" i="8"/>
  <c r="U24" i="8"/>
  <c r="V24" i="8"/>
  <c r="U25" i="8"/>
  <c r="V25" i="8"/>
  <c r="U26" i="8"/>
  <c r="V26" i="8"/>
  <c r="U27" i="8"/>
  <c r="V27" i="8"/>
  <c r="U28" i="8"/>
  <c r="V28" i="8"/>
  <c r="U29" i="8"/>
  <c r="V29" i="8"/>
  <c r="U30" i="8"/>
  <c r="V30" i="8"/>
  <c r="U31" i="8"/>
  <c r="V31" i="8"/>
  <c r="U32" i="8"/>
  <c r="V32" i="8"/>
  <c r="U33" i="8"/>
  <c r="V33" i="8"/>
  <c r="U34" i="8"/>
  <c r="V34" i="8"/>
  <c r="U35" i="8"/>
  <c r="V35" i="8"/>
  <c r="U36" i="8"/>
  <c r="V36" i="8"/>
  <c r="U37" i="8"/>
  <c r="V37" i="8"/>
  <c r="U38" i="8"/>
  <c r="V38" i="8"/>
  <c r="U39" i="8"/>
  <c r="V39" i="8"/>
  <c r="U40" i="8"/>
  <c r="V40" i="8"/>
  <c r="U41" i="8"/>
  <c r="V41" i="8"/>
  <c r="U42" i="8"/>
  <c r="V42" i="8"/>
  <c r="U43" i="8"/>
  <c r="V43" i="8"/>
  <c r="U44" i="8"/>
  <c r="V44" i="8"/>
  <c r="U45" i="8"/>
  <c r="V45" i="8"/>
  <c r="U46" i="8"/>
  <c r="V46" i="8"/>
  <c r="U47" i="8"/>
  <c r="V47" i="8"/>
  <c r="AA17" i="8"/>
  <c r="AA20" i="8"/>
  <c r="W15" i="8"/>
  <c r="W16" i="8"/>
  <c r="W17" i="8"/>
  <c r="W18" i="8"/>
  <c r="W19" i="8"/>
  <c r="W20" i="8"/>
  <c r="W21" i="8"/>
  <c r="W22" i="8"/>
  <c r="W23" i="8"/>
  <c r="W24" i="8"/>
  <c r="W25" i="8"/>
  <c r="W26" i="8"/>
  <c r="W27" i="8"/>
  <c r="W28" i="8"/>
  <c r="W29" i="8"/>
  <c r="W30" i="8"/>
  <c r="W31" i="8"/>
  <c r="W32" i="8"/>
  <c r="W33" i="8"/>
  <c r="W34" i="8"/>
  <c r="W35" i="8"/>
  <c r="W36" i="8"/>
  <c r="W37" i="8"/>
  <c r="W38" i="8"/>
  <c r="W39" i="8"/>
  <c r="W40" i="8"/>
  <c r="W41" i="8"/>
  <c r="W42" i="8"/>
  <c r="W43" i="8"/>
  <c r="W44" i="8"/>
  <c r="W45" i="8"/>
  <c r="W46" i="8"/>
  <c r="W47" i="8"/>
  <c r="AA25" i="8"/>
  <c r="AA28" i="8"/>
  <c r="U19" i="28"/>
  <c r="V18" i="28"/>
  <c r="W11" i="1"/>
  <c r="Z19" i="1"/>
  <c r="Z20" i="1"/>
  <c r="C14" i="1"/>
  <c r="Z16" i="8"/>
  <c r="Z17" i="8"/>
  <c r="U18" i="27"/>
  <c r="V17" i="27"/>
  <c r="Z35" i="14"/>
  <c r="Z36" i="14"/>
  <c r="Z27" i="14"/>
  <c r="Z28" i="14"/>
  <c r="Z32" i="14"/>
  <c r="Z33" i="14"/>
  <c r="Z24" i="14"/>
  <c r="Z25" i="14"/>
  <c r="C8" i="12"/>
  <c r="Z35" i="8"/>
  <c r="Z36" i="8"/>
  <c r="Z19" i="8"/>
  <c r="Z20" i="8"/>
  <c r="X11" i="12"/>
  <c r="C14" i="12"/>
  <c r="C14" i="17"/>
  <c r="C14" i="18"/>
  <c r="C118" i="26"/>
  <c r="C119" i="26"/>
  <c r="Z16" i="14"/>
  <c r="Z17" i="14"/>
  <c r="X11" i="8"/>
  <c r="Y11" i="8"/>
  <c r="AD19" i="8"/>
  <c r="AD20" i="8"/>
  <c r="X11" i="7"/>
  <c r="Y11" i="7"/>
  <c r="AD19" i="7"/>
  <c r="AD20" i="7"/>
  <c r="X12" i="8"/>
  <c r="Y12" i="8"/>
  <c r="X11" i="14"/>
  <c r="Y11" i="14"/>
  <c r="AD16" i="14"/>
  <c r="AD17" i="14"/>
  <c r="Z35" i="13"/>
  <c r="Z36" i="13"/>
  <c r="Z24" i="13"/>
  <c r="Z25" i="13"/>
  <c r="Z27" i="13"/>
  <c r="Z28" i="13"/>
  <c r="Z33" i="13"/>
  <c r="Z35" i="12"/>
  <c r="Z36" i="12"/>
  <c r="Z32" i="12"/>
  <c r="Z33" i="12"/>
  <c r="Z27" i="11"/>
  <c r="Z28" i="11"/>
  <c r="W15" i="11"/>
  <c r="AA11" i="11"/>
  <c r="AB11" i="11"/>
  <c r="U16" i="11"/>
  <c r="V16" i="11"/>
  <c r="Z24" i="11"/>
  <c r="Z25" i="11"/>
  <c r="C15" i="11"/>
  <c r="Z19" i="11"/>
  <c r="Z20" i="11"/>
  <c r="V15" i="11"/>
  <c r="Z16" i="11"/>
  <c r="Z17" i="11"/>
  <c r="Z35" i="11"/>
  <c r="Z36" i="11"/>
  <c r="Z32" i="11"/>
  <c r="Z33" i="11"/>
  <c r="E20" i="11"/>
  <c r="X11" i="11"/>
  <c r="Y11" i="11"/>
  <c r="Z16" i="7"/>
  <c r="Z17" i="7"/>
  <c r="C57" i="26"/>
  <c r="D20" i="13"/>
  <c r="E20" i="13"/>
  <c r="X11" i="13"/>
  <c r="Y11" i="13"/>
  <c r="X12" i="11"/>
  <c r="Y12" i="11"/>
  <c r="Y11" i="12"/>
  <c r="X12" i="12"/>
  <c r="Y12" i="12"/>
  <c r="Z33" i="8"/>
  <c r="Y12" i="14"/>
  <c r="Z19" i="7"/>
  <c r="Z20" i="7"/>
  <c r="X12" i="13"/>
  <c r="Y12" i="13"/>
  <c r="V12" i="7"/>
  <c r="Z35" i="7"/>
  <c r="D20" i="7"/>
  <c r="W16" i="11"/>
  <c r="Z27" i="8"/>
  <c r="Z28" i="8"/>
  <c r="U20" i="28"/>
  <c r="V19" i="28"/>
  <c r="Z16" i="1"/>
  <c r="Z17" i="1"/>
  <c r="AA11" i="1"/>
  <c r="AB11" i="1"/>
  <c r="U16" i="1"/>
  <c r="U17" i="11"/>
  <c r="V17" i="11"/>
  <c r="AD16" i="7"/>
  <c r="AD17" i="7"/>
  <c r="AD16" i="8"/>
  <c r="AD17" i="8"/>
  <c r="U19" i="27"/>
  <c r="V18" i="27"/>
  <c r="AD24" i="8"/>
  <c r="AD25" i="8"/>
  <c r="AD27" i="8"/>
  <c r="AD28" i="8"/>
  <c r="Z24" i="8"/>
  <c r="Z25" i="8"/>
  <c r="AD19" i="14"/>
  <c r="AD20" i="14"/>
  <c r="AD19" i="11"/>
  <c r="AD20" i="11"/>
  <c r="AD16" i="11"/>
  <c r="AD17" i="11"/>
  <c r="AD24" i="11"/>
  <c r="AD25" i="11"/>
  <c r="AD27" i="11"/>
  <c r="AD28" i="11"/>
  <c r="AD24" i="12"/>
  <c r="AD25" i="12"/>
  <c r="AD27" i="12"/>
  <c r="AD28" i="12"/>
  <c r="AD19" i="13"/>
  <c r="AD20" i="13"/>
  <c r="AD16" i="13"/>
  <c r="AD17" i="13"/>
  <c r="AD19" i="12"/>
  <c r="AD20" i="12"/>
  <c r="AD16" i="12"/>
  <c r="AD17" i="12"/>
  <c r="AD24" i="13"/>
  <c r="AD25" i="13"/>
  <c r="AD27" i="13"/>
  <c r="AD28" i="13"/>
  <c r="AD24" i="14"/>
  <c r="AD25" i="14"/>
  <c r="AD27" i="14"/>
  <c r="AD28" i="14"/>
  <c r="Z36" i="7"/>
  <c r="AA11" i="7"/>
  <c r="AB11" i="7"/>
  <c r="U16" i="7"/>
  <c r="Z32" i="7"/>
  <c r="Z33" i="7"/>
  <c r="Z24" i="7"/>
  <c r="Z25" i="7"/>
  <c r="W15" i="7"/>
  <c r="Z27" i="7"/>
  <c r="Z28" i="7"/>
  <c r="X12" i="7"/>
  <c r="Y12" i="7"/>
  <c r="AD27" i="7"/>
  <c r="AD28" i="7"/>
  <c r="E20" i="7"/>
  <c r="U21" i="28"/>
  <c r="V20" i="28"/>
  <c r="W17" i="11"/>
  <c r="U18" i="11"/>
  <c r="V18" i="11"/>
  <c r="U20" i="27"/>
  <c r="V19" i="27"/>
  <c r="U17" i="7"/>
  <c r="W16" i="7"/>
  <c r="V16" i="7"/>
  <c r="AD24" i="7"/>
  <c r="AD25" i="7"/>
  <c r="U22" i="28"/>
  <c r="V21" i="28"/>
  <c r="U19" i="11"/>
  <c r="W19" i="11"/>
  <c r="W18" i="11"/>
  <c r="U21" i="27"/>
  <c r="V20" i="27"/>
  <c r="W17" i="7"/>
  <c r="V17" i="7"/>
  <c r="U18" i="7"/>
  <c r="U23" i="28"/>
  <c r="V22" i="28"/>
  <c r="V19" i="11"/>
  <c r="U20" i="11"/>
  <c r="W20" i="11"/>
  <c r="V21" i="27"/>
  <c r="U22" i="27"/>
  <c r="V18" i="7"/>
  <c r="W18" i="7"/>
  <c r="U19" i="7"/>
  <c r="V23" i="28"/>
  <c r="U24" i="28"/>
  <c r="V20" i="11"/>
  <c r="U21" i="11"/>
  <c r="U22" i="11"/>
  <c r="V22" i="11"/>
  <c r="U23" i="27"/>
  <c r="V22" i="27"/>
  <c r="W19" i="7"/>
  <c r="U20" i="7"/>
  <c r="V19" i="7"/>
  <c r="V24" i="28"/>
  <c r="U25" i="28"/>
  <c r="V21" i="11"/>
  <c r="U23" i="11"/>
  <c r="U24" i="11"/>
  <c r="W22" i="11"/>
  <c r="W21" i="11"/>
  <c r="V23" i="27"/>
  <c r="U24" i="27"/>
  <c r="W20" i="7"/>
  <c r="U21" i="7"/>
  <c r="V20" i="7"/>
  <c r="W23" i="11"/>
  <c r="U26" i="28"/>
  <c r="V25" i="28"/>
  <c r="V23" i="11"/>
  <c r="U25" i="27"/>
  <c r="V24" i="27"/>
  <c r="W21" i="7"/>
  <c r="V21" i="7"/>
  <c r="U22" i="7"/>
  <c r="U25" i="11"/>
  <c r="W24" i="11"/>
  <c r="V24" i="11"/>
  <c r="U27" i="28"/>
  <c r="V26" i="28"/>
  <c r="V25" i="27"/>
  <c r="U26" i="27"/>
  <c r="W22" i="7"/>
  <c r="U23" i="7"/>
  <c r="V22" i="7"/>
  <c r="U26" i="11"/>
  <c r="V25" i="11"/>
  <c r="W25" i="11"/>
  <c r="U28" i="28"/>
  <c r="V27" i="28"/>
  <c r="U27" i="27"/>
  <c r="V26" i="27"/>
  <c r="W23" i="7"/>
  <c r="U24" i="7"/>
  <c r="V23" i="7"/>
  <c r="U27" i="11"/>
  <c r="V26" i="11"/>
  <c r="W26" i="11"/>
  <c r="V28" i="28"/>
  <c r="U29" i="28"/>
  <c r="V27" i="27"/>
  <c r="U28" i="27"/>
  <c r="V24" i="7"/>
  <c r="W24" i="7"/>
  <c r="U25" i="7"/>
  <c r="U28" i="11"/>
  <c r="W27" i="11"/>
  <c r="V27" i="11"/>
  <c r="U30" i="28"/>
  <c r="V29" i="28"/>
  <c r="U29" i="27"/>
  <c r="V28" i="27"/>
  <c r="V25" i="7"/>
  <c r="U26" i="7"/>
  <c r="W25" i="7"/>
  <c r="V28" i="11"/>
  <c r="W28" i="11"/>
  <c r="U29" i="11"/>
  <c r="U31" i="28"/>
  <c r="V30" i="28"/>
  <c r="V29" i="27"/>
  <c r="U30" i="27"/>
  <c r="V26" i="7"/>
  <c r="U27" i="7"/>
  <c r="W26" i="7"/>
  <c r="U30" i="11"/>
  <c r="W29" i="11"/>
  <c r="V29" i="11"/>
  <c r="U32" i="28"/>
  <c r="V31" i="28"/>
  <c r="U31" i="27"/>
  <c r="V30" i="27"/>
  <c r="W27" i="7"/>
  <c r="V27" i="7"/>
  <c r="U28" i="7"/>
  <c r="V30" i="11"/>
  <c r="U31" i="11"/>
  <c r="W30" i="11"/>
  <c r="V32" i="28"/>
  <c r="U33" i="28"/>
  <c r="U32" i="27"/>
  <c r="V31" i="27"/>
  <c r="W28" i="7"/>
  <c r="V28" i="7"/>
  <c r="U29" i="7"/>
  <c r="V31" i="11"/>
  <c r="W31" i="11"/>
  <c r="U32" i="11"/>
  <c r="V33" i="28"/>
  <c r="U34" i="28"/>
  <c r="U33" i="27"/>
  <c r="V32" i="27"/>
  <c r="U30" i="7"/>
  <c r="V29" i="7"/>
  <c r="W29" i="7"/>
  <c r="V32" i="11"/>
  <c r="U33" i="11"/>
  <c r="W32" i="11"/>
  <c r="U35" i="28"/>
  <c r="V34" i="28"/>
  <c r="U34" i="27"/>
  <c r="V33" i="27"/>
  <c r="V30" i="7"/>
  <c r="U31" i="7"/>
  <c r="W30" i="7"/>
  <c r="V33" i="11"/>
  <c r="U34" i="11"/>
  <c r="W33" i="11"/>
  <c r="U36" i="28"/>
  <c r="V35" i="28"/>
  <c r="U35" i="27"/>
  <c r="V34" i="27"/>
  <c r="W31" i="7"/>
  <c r="U32" i="7"/>
  <c r="V31" i="7"/>
  <c r="V34" i="11"/>
  <c r="U35" i="11"/>
  <c r="W34" i="11"/>
  <c r="U37" i="28"/>
  <c r="V36" i="28"/>
  <c r="V35" i="27"/>
  <c r="U36" i="27"/>
  <c r="W32" i="7"/>
  <c r="U33" i="7"/>
  <c r="V32" i="7"/>
  <c r="V35" i="11"/>
  <c r="U36" i="11"/>
  <c r="W35" i="11"/>
  <c r="V37" i="28"/>
  <c r="U38" i="28"/>
  <c r="V36" i="27"/>
  <c r="U37" i="27"/>
  <c r="V33" i="7"/>
  <c r="U34" i="7"/>
  <c r="W33" i="7"/>
  <c r="W36" i="11"/>
  <c r="V36" i="11"/>
  <c r="U37" i="11"/>
  <c r="U39" i="28"/>
  <c r="V38" i="28"/>
  <c r="U38" i="27"/>
  <c r="V37" i="27"/>
  <c r="W34" i="7"/>
  <c r="U35" i="7"/>
  <c r="V34" i="7"/>
  <c r="V37" i="11"/>
  <c r="U38" i="11"/>
  <c r="W37" i="11"/>
  <c r="U40" i="28"/>
  <c r="V39" i="28"/>
  <c r="V38" i="27"/>
  <c r="U39" i="27"/>
  <c r="W35" i="7"/>
  <c r="U36" i="7"/>
  <c r="V35" i="7"/>
  <c r="V38" i="11"/>
  <c r="U39" i="11"/>
  <c r="W38" i="11"/>
  <c r="U41" i="28"/>
  <c r="V40" i="28"/>
  <c r="U40" i="27"/>
  <c r="V39" i="27"/>
  <c r="U37" i="7"/>
  <c r="W36" i="7"/>
  <c r="V36" i="7"/>
  <c r="W39" i="11"/>
  <c r="V39" i="11"/>
  <c r="U40" i="11"/>
  <c r="V41" i="28"/>
  <c r="U42" i="28"/>
  <c r="V40" i="27"/>
  <c r="U41" i="27"/>
  <c r="W37" i="7"/>
  <c r="V37" i="7"/>
  <c r="U38" i="7"/>
  <c r="W40" i="11"/>
  <c r="V40" i="11"/>
  <c r="U41" i="11"/>
  <c r="U43" i="28"/>
  <c r="V42" i="28"/>
  <c r="U42" i="27"/>
  <c r="V41" i="27"/>
  <c r="V38" i="7"/>
  <c r="U39" i="7"/>
  <c r="W38" i="7"/>
  <c r="V41" i="11"/>
  <c r="U42" i="11"/>
  <c r="W41" i="11"/>
  <c r="U44" i="28"/>
  <c r="V43" i="28"/>
  <c r="V42" i="27"/>
  <c r="U43" i="27"/>
  <c r="V39" i="7"/>
  <c r="W39" i="7"/>
  <c r="U40" i="7"/>
  <c r="V42" i="11"/>
  <c r="U43" i="11"/>
  <c r="W42" i="11"/>
  <c r="U45" i="28"/>
  <c r="V44" i="28"/>
  <c r="U44" i="27"/>
  <c r="V43" i="27"/>
  <c r="V40" i="7"/>
  <c r="U41" i="7"/>
  <c r="W40" i="7"/>
  <c r="W43" i="11"/>
  <c r="V43" i="11"/>
  <c r="U44" i="11"/>
  <c r="V45" i="28"/>
  <c r="U46" i="28"/>
  <c r="V44" i="27"/>
  <c r="U45" i="27"/>
  <c r="W41" i="7"/>
  <c r="U42" i="7"/>
  <c r="V41" i="7"/>
  <c r="W44" i="11"/>
  <c r="V44" i="11"/>
  <c r="U45" i="11"/>
  <c r="U47" i="28"/>
  <c r="V47" i="28"/>
  <c r="AA17" i="28"/>
  <c r="AA20" i="28"/>
  <c r="V46" i="28"/>
  <c r="U46" i="27"/>
  <c r="V45" i="27"/>
  <c r="V42" i="7"/>
  <c r="U43" i="7"/>
  <c r="W42" i="7"/>
  <c r="V45" i="11"/>
  <c r="U46" i="11"/>
  <c r="W45" i="11"/>
  <c r="AE17" i="28"/>
  <c r="AE20" i="28"/>
  <c r="AA33" i="28"/>
  <c r="AA36" i="28"/>
  <c r="V46" i="27"/>
  <c r="U47" i="27"/>
  <c r="V47" i="27"/>
  <c r="AA17" i="27"/>
  <c r="AA20" i="27"/>
  <c r="W43" i="7"/>
  <c r="U44" i="7"/>
  <c r="V43" i="7"/>
  <c r="V46" i="11"/>
  <c r="U47" i="11"/>
  <c r="W46" i="11"/>
  <c r="AA33" i="27"/>
  <c r="AA36" i="27"/>
  <c r="AE17" i="27"/>
  <c r="AE20" i="27"/>
  <c r="W44" i="7"/>
  <c r="V44" i="7"/>
  <c r="U45" i="7"/>
  <c r="W47" i="11"/>
  <c r="V47" i="11"/>
  <c r="AE17" i="11"/>
  <c r="AE20" i="11"/>
  <c r="AA17" i="11"/>
  <c r="AA20" i="11"/>
  <c r="AE25" i="11"/>
  <c r="AE28" i="11"/>
  <c r="AA25" i="11"/>
  <c r="AA28" i="11"/>
  <c r="AA33" i="13"/>
  <c r="AA36" i="13"/>
  <c r="W45" i="7"/>
  <c r="U46" i="7"/>
  <c r="V45" i="7"/>
  <c r="AA33" i="11"/>
  <c r="AA36" i="11"/>
  <c r="AA33" i="12"/>
  <c r="AA36" i="12"/>
  <c r="AA33" i="14"/>
  <c r="AA36" i="14"/>
  <c r="V46" i="7"/>
  <c r="U47" i="7"/>
  <c r="W46" i="7"/>
  <c r="AE25" i="8"/>
  <c r="AE28" i="8"/>
  <c r="V47" i="7"/>
  <c r="W47" i="7"/>
  <c r="AE25" i="7"/>
  <c r="AE28" i="7"/>
  <c r="AA33" i="8"/>
  <c r="AA36" i="8"/>
  <c r="AE17" i="8"/>
  <c r="AE20" i="8"/>
  <c r="AA17" i="7"/>
  <c r="AA20" i="7"/>
  <c r="AE17" i="7"/>
  <c r="AE20" i="7"/>
  <c r="AA33" i="7"/>
  <c r="AA36" i="7"/>
  <c r="AA25" i="7"/>
  <c r="AA28" i="7"/>
  <c r="C16" i="28"/>
  <c r="C16" i="11"/>
  <c r="C17" i="8"/>
  <c r="C16" i="12"/>
  <c r="C17" i="28"/>
  <c r="C17" i="1"/>
  <c r="C17" i="7"/>
  <c r="C16" i="1"/>
  <c r="C17" i="14"/>
  <c r="C16" i="27"/>
  <c r="C17" i="12"/>
  <c r="C17" i="13"/>
  <c r="C17" i="11"/>
  <c r="C17" i="27"/>
  <c r="X11" i="1"/>
  <c r="Y11" i="1"/>
  <c r="U17" i="1"/>
  <c r="V16" i="1"/>
  <c r="C18" i="13"/>
  <c r="C18" i="27"/>
  <c r="C18" i="14"/>
  <c r="C18" i="1"/>
  <c r="C18" i="7"/>
  <c r="C18" i="12"/>
  <c r="C18" i="8"/>
  <c r="C18" i="11"/>
  <c r="C18" i="28"/>
  <c r="AD19" i="1"/>
  <c r="AD20" i="1"/>
  <c r="AD16" i="1"/>
  <c r="AD17" i="1"/>
  <c r="U18" i="1"/>
  <c r="V17" i="1"/>
  <c r="V18" i="1"/>
  <c r="U19" i="1"/>
  <c r="U20" i="1"/>
  <c r="V19" i="1"/>
  <c r="V20" i="1"/>
  <c r="U21" i="1"/>
  <c r="V21" i="1"/>
  <c r="U22" i="1"/>
  <c r="V22" i="1"/>
  <c r="U23" i="1"/>
  <c r="U24" i="1"/>
  <c r="V23" i="1"/>
  <c r="V24" i="1"/>
  <c r="U25" i="1"/>
  <c r="V25" i="1"/>
  <c r="U26" i="1"/>
  <c r="V26" i="1"/>
  <c r="U27" i="1"/>
  <c r="U28" i="1"/>
  <c r="V27" i="1"/>
  <c r="V28" i="1"/>
  <c r="U29" i="1"/>
  <c r="U30" i="1"/>
  <c r="V29" i="1"/>
  <c r="V30" i="1"/>
  <c r="U31" i="1"/>
  <c r="U32" i="1"/>
  <c r="V31" i="1"/>
  <c r="U33" i="1"/>
  <c r="V32" i="1"/>
  <c r="U34" i="1"/>
  <c r="V33" i="1"/>
  <c r="U35" i="1"/>
  <c r="V34" i="1"/>
  <c r="U36" i="1"/>
  <c r="V35" i="1"/>
  <c r="U37" i="1"/>
  <c r="V36" i="1"/>
  <c r="V37" i="1"/>
  <c r="U38" i="1"/>
  <c r="U39" i="1"/>
  <c r="V38" i="1"/>
  <c r="U40" i="1"/>
  <c r="V39" i="1"/>
  <c r="V40" i="1"/>
  <c r="U41" i="1"/>
  <c r="U42" i="1"/>
  <c r="V41" i="1"/>
  <c r="V42" i="1"/>
  <c r="U43" i="1"/>
  <c r="V43" i="1"/>
  <c r="U44" i="1"/>
  <c r="V44" i="1"/>
  <c r="U45" i="1"/>
  <c r="V45" i="1"/>
  <c r="U46" i="1"/>
  <c r="V46" i="1"/>
  <c r="U47" i="1"/>
  <c r="V47" i="1"/>
  <c r="AE17" i="1"/>
  <c r="AE20" i="1"/>
  <c r="AA33" i="1"/>
  <c r="AA36" i="1"/>
  <c r="C11" i="24"/>
  <c r="C13" i="24"/>
  <c r="C15" i="24"/>
  <c r="C12" i="24"/>
  <c r="C14" i="24"/>
  <c r="C16" i="24"/>
  <c r="C18" i="2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B5" authorId="0" shapeId="0" xr:uid="{00000000-0006-0000-0700-000001000000}">
      <text>
        <r>
          <rPr>
            <sz val="9"/>
            <color indexed="81"/>
            <rFont val="Tahoma"/>
            <family val="2"/>
          </rPr>
          <t xml:space="preserve">There are various misconceptions regarding the variability used to power a parallel bioequivalence trial, and what this variance means. In a parallel bioequivalence trial, the variability observed between subjects is the </t>
        </r>
        <r>
          <rPr>
            <b/>
            <sz val="9"/>
            <color indexed="81"/>
            <rFont val="Tahoma"/>
            <family val="2"/>
          </rPr>
          <t>total CV</t>
        </r>
        <r>
          <rPr>
            <sz val="9"/>
            <color indexed="81"/>
            <rFont val="Tahoma"/>
            <family val="2"/>
          </rPr>
          <t xml:space="preserve">, which is composed of both the IntraCV and InterCV (even though there is just one treatment per subject). The mathamatical relationships between these variabilities are provided on the right. </t>
        </r>
        <r>
          <rPr>
            <i/>
            <sz val="9"/>
            <color indexed="81"/>
            <rFont val="Tahoma"/>
            <family val="2"/>
          </rPr>
          <t>The total CV, not the InterCV, should be used to estimate the sample size for a parallel bioequivalence study.</t>
        </r>
        <r>
          <rPr>
            <sz val="9"/>
            <color indexed="81"/>
            <rFont val="Tahoma"/>
            <family val="2"/>
          </rPr>
          <t xml:space="preserve">
</t>
        </r>
        <r>
          <rPr>
            <sz val="9"/>
            <color indexed="81"/>
            <rFont val="Tahoma"/>
            <family val="2"/>
          </rPr>
          <t xml:space="preserve">
If you have literature or pilot estimates of the InterCV and IntraCV from a crossover or replicate study, you can use the </t>
        </r>
        <r>
          <rPr>
            <b/>
            <i/>
            <sz val="9"/>
            <color indexed="81"/>
            <rFont val="Tahoma"/>
            <family val="2"/>
          </rPr>
          <t>Total CV Calculator</t>
        </r>
        <r>
          <rPr>
            <sz val="9"/>
            <color indexed="81"/>
            <rFont val="Tahoma"/>
            <family val="2"/>
          </rPr>
          <t xml:space="preserve"> on the right to estimate the total CV for the drug, and use this value to properly estimate the number of subjects for a parallel study.
If you are looking at data from a previous parallel study, the CV estimated in this study will be </t>
        </r>
        <r>
          <rPr>
            <sz val="9"/>
            <color indexed="81"/>
            <rFont val="Tahoma"/>
            <family val="2"/>
          </rPr>
          <t>total CV</t>
        </r>
        <r>
          <rPr>
            <sz val="9"/>
            <color indexed="81"/>
            <rFont val="Tahoma"/>
            <family val="2"/>
          </rPr>
          <t>, and not InterCV.</t>
        </r>
      </text>
    </comment>
    <comment ref="C16" authorId="0" shapeId="0" xr:uid="{00000000-0006-0000-0700-000002000000}">
      <text>
        <r>
          <rPr>
            <b/>
            <sz val="9"/>
            <color indexed="81"/>
            <rFont val="Tahoma"/>
            <family val="2"/>
          </rPr>
          <t>NCt(t, df, delta=0, errBound=1e-8, maxIters=400)</t>
        </r>
      </text>
    </comment>
    <comment ref="C17" authorId="0" shapeId="0" xr:uid="{00000000-0006-0000-0700-000003000000}">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800-000001000000}">
      <text>
        <r>
          <rPr>
            <b/>
            <sz val="9"/>
            <color indexed="81"/>
            <rFont val="Tahoma"/>
            <family val="2"/>
          </rPr>
          <t>NCt(t, df, delta=0, errBound=1e-8, maxIters=400)</t>
        </r>
      </text>
    </comment>
    <comment ref="C17" authorId="0" shapeId="0" xr:uid="{00000000-0006-0000-08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900-000001000000}">
      <text>
        <r>
          <rPr>
            <b/>
            <sz val="9"/>
            <color indexed="81"/>
            <rFont val="Tahoma"/>
            <family val="2"/>
          </rPr>
          <t>NCt(t, df, delta=0, errBound=1e-8, maxIters=400)</t>
        </r>
      </text>
    </comment>
    <comment ref="C17" authorId="0" shapeId="0" xr:uid="{00000000-0006-0000-0900-000002000000}">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<sst xmlns="http://schemas.openxmlformats.org/spreadsheetml/2006/main" count="996" uniqueCount="250">
  <si>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</si>
  <si>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</si>
  <si>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</si>
  <si>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</si>
  <si>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</si>
  <si>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</si>
  <si>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</si>
  <si>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</si>
  <si>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</si>
  <si>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</si>
  <si>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</si>
  <si>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</si>
  <si>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</si>
  <si>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</si>
  <si>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</si>
  <si>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</si>
  <si>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</si>
  <si>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</si>
  <si>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</si>
  <si>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</si>
  <si>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</si>
  <si>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</si>
  <si>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</si>
  <si>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</si>
  <si>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</si>
  <si>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</si>
  <si>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</si>
  <si>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</si>
  <si>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</si>
  <si>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</si>
  <si>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</si>
  <si>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</si>
  <si>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</si>
  <si>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</si>
  <si>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</si>
  <si>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</si>
  <si>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</si>
  <si>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</si>
  <si>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</si>
  <si>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</si>
  <si>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</si>
  <si>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</si>
  <si>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</si>
  <si>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</si>
  <si>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</si>
  <si>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</si>
  <si>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</si>
  <si>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</si>
  <si>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</si>
  <si>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</si>
  <si>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</si>
  <si>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</si>
  <si>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</si>
  <si>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</si>
  <si>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</si>
  <si>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</si>
  <si>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</si>
  <si>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</si>
  <si>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</si>
  <si>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</si>
  <si>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</si>
  <si>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</si>
  <si>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</si>
  <si>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</si>
  <si>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</si>
  <si>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</si>
  <si>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</si>
  <si>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</si>
  <si>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</si>
  <si>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</si>
  <si>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</si>
  <si>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</si>
  <si>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</si>
  <si>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</si>
  <si>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</si>
  <si>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</si>
  <si>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</si>
  <si>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</si>
  <si>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</si>
  <si>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</si>
  <si>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</si>
  <si>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</si>
  <si>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</si>
  <si>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</si>
  <si>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</si>
  <si>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</si>
  <si>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</si>
  <si>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</si>
  <si>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</si>
  <si>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</si>
  <si>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</si>
  <si>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</si>
  <si>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</si>
  <si>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</si>
  <si>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</si>
  <si>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</si>
  <si>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</si>
  <si>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</si>
  <si>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</si>
  <si>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</si>
  <si>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</si>
  <si>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</si>
  <si>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</si>
  <si>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</si>
  <si>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</si>
  <si>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</si>
  <si>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</si>
  <si>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</si>
  <si>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</si>
  <si>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</si>
  <si>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</si>
  <si>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</si>
  <si>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</si>
  <si>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</si>
  <si>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</si>
  <si>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</si>
  <si>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</si>
  <si>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</si>
  <si>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</si>
  <si>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</si>
  <si>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</si>
  <si>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</si>
  <si>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</si>
  <si>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</si>
  <si>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</si>
  <si>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</si>
  <si>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</si>
  <si>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</si>
  <si>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</si>
  <si>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</si>
  <si>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</si>
  <si>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</si>
  <si>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</si>
  <si>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</si>
  <si>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</si>
  <si>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</si>
  <si>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</si>
  <si>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</si>
  <si>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</si>
  <si>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</si>
  <si>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</si>
  <si>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</si>
  <si>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</si>
  <si>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</si>
  <si>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</si>
  <si>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</si>
  <si>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</si>
  <si>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</si>
  <si>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</si>
  <si>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</si>
  <si>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</si>
  <si>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</si>
  <si>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</si>
  <si>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</si>
  <si>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</si>
  <si>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</si>
  <si>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</si>
  <si>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</si>
  <si>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</si>
  <si>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</si>
  <si>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</si>
  <si>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</si>
  <si>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</si>
  <si>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</si>
  <si>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</si>
  <si>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</si>
  <si>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</si>
  <si>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</si>
  <si>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</si>
  <si>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</si>
  <si>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</si>
  <si>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</si>
  <si>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</si>
  <si>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</si>
  <si>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</si>
  <si>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</si>
  <si>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</si>
  <si>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</si>
  <si>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</si>
  <si>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</si>
  <si>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</si>
  <si>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</si>
  <si>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</si>
  <si>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</si>
  <si>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</si>
  <si>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</si>
  <si>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</si>
  <si>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</si>
  <si>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</si>
  <si>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</si>
  <si>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</si>
  <si>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</si>
  <si>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</si>
  <si>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</si>
  <si>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</si>
  <si>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</si>
  <si>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</si>
  <si>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</si>
  <si>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</si>
  <si>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</si>
  <si>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</si>
  <si>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</si>
  <si>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</si>
  <si>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</si>
  <si>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</si>
  <si>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</si>
  <si>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</si>
  <si>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</si>
  <si>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</si>
  <si>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</si>
  <si>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</si>
  <si>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</si>
  <si>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</si>
  <si>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</si>
  <si>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</si>
  <si>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</si>
  <si>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</si>
  <si>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</si>
  <si>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</si>
  <si>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</si>
  <si>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</si>
  <si>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</si>
  <si>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</si>
  <si>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</si>
  <si>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</si>
  <si>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</si>
  <si>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</si>
  <si>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</si>
  <si>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</si>
  <si>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</si>
  <si>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</si>
  <si>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</si>
  <si>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</si>
  <si>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</si>
  <si>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</si>
  <si>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</si>
  <si>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</si>
  <si>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</si>
  <si>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</si>
  <si>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</si>
  <si>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</si>
  <si>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Version 2.8</t>
  </si>
  <si>
    <r>
      <rPr>
        <b/>
        <sz val="16"/>
        <rFont val="Arial"/>
        <family val="2"/>
      </rPr>
      <t>F</t>
    </r>
    <r>
      <rPr>
        <sz val="16"/>
        <rFont val="Arial"/>
        <family val="2"/>
      </rPr>
      <t xml:space="preserve">ree </t>
    </r>
    <r>
      <rPr>
        <b/>
        <sz val="16"/>
        <rFont val="Arial"/>
        <family val="2"/>
      </rPr>
      <t>A</t>
    </r>
    <r>
      <rPr>
        <sz val="16"/>
        <rFont val="Arial"/>
        <family val="2"/>
      </rPr>
      <t xml:space="preserve">nalysis </t>
    </r>
    <r>
      <rPr>
        <b/>
        <sz val="16"/>
        <rFont val="Arial"/>
        <family val="2"/>
      </rPr>
      <t>R</t>
    </r>
    <r>
      <rPr>
        <sz val="16"/>
        <rFont val="Arial"/>
        <family val="2"/>
      </rPr>
      <t xml:space="preserve">esearch </t>
    </r>
    <r>
      <rPr>
        <b/>
        <sz val="16"/>
        <rFont val="Arial"/>
        <family val="2"/>
      </rPr>
      <t>T</t>
    </r>
    <r>
      <rPr>
        <sz val="16"/>
        <rFont val="Arial"/>
        <family val="2"/>
      </rPr>
      <t>ool</t>
    </r>
  </si>
  <si>
    <r>
      <t xml:space="preserve">for </t>
    </r>
    <r>
      <rPr>
        <b/>
        <sz val="16"/>
        <rFont val="Arial"/>
        <family val="2"/>
      </rPr>
      <t>S</t>
    </r>
    <r>
      <rPr>
        <sz val="16"/>
        <rFont val="Arial"/>
        <family val="2"/>
      </rPr>
      <t xml:space="preserve">ample </t>
    </r>
    <r>
      <rPr>
        <b/>
        <sz val="16"/>
        <rFont val="Arial"/>
        <family val="2"/>
      </rPr>
      <t>S</t>
    </r>
    <r>
      <rPr>
        <sz val="16"/>
        <rFont val="Arial"/>
        <family val="2"/>
      </rPr>
      <t xml:space="preserve">ize </t>
    </r>
    <r>
      <rPr>
        <b/>
        <sz val="16"/>
        <rFont val="Arial"/>
        <family val="2"/>
      </rPr>
      <t>I</t>
    </r>
    <r>
      <rPr>
        <sz val="16"/>
        <rFont val="Arial"/>
        <family val="2"/>
      </rPr>
      <t xml:space="preserve">terative </t>
    </r>
    <r>
      <rPr>
        <b/>
        <sz val="16"/>
        <rFont val="Arial"/>
        <family val="2"/>
      </rPr>
      <t>E</t>
    </r>
    <r>
      <rPr>
        <sz val="16"/>
        <rFont val="Arial"/>
        <family val="2"/>
      </rPr>
      <t>stimation</t>
    </r>
  </si>
  <si>
    <t>https://bebac.at/articles/Sample-Size-Estimation-for-Equivalence-Studies-in-a-Parallel-Design.htm#fn9</t>
  </si>
  <si>
    <t>If you have InterCV &amp; IntraCV</t>
  </si>
  <si>
    <t>from a crossover or replicate trial:</t>
  </si>
  <si>
    <t>Total CV Calculator:</t>
  </si>
  <si>
    <t>See the cell note on Total CV.</t>
  </si>
  <si>
    <t>© David Dubins, 2007-2022 (d.dubins@utoronto.ca)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</si>
</sst>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6">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
      <b/>
      <sz val="16"/>
      <name val="Arial"/>
      <family val="2"/>
    </font>
    <font>
      <sz val="9"/>
      <color indexed="81"/>
      <name val="Tahoma"/>
      <family val="2"/>
    </font>
    <font>
      <b/>
      <i/>
      <sz val="9"/>
      <color indexed="81"/>
      <name val="Tahoma"/>
      <family val="2"/>
    </font>
    <font>
      <i/>
      <sz val="9"/>
      <color indexed="81"/>
      <name val="Tahoma"/>
      <family val="2"/>
    </font>
  </fonts>
  <fills count="6">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79998168889431442"/>
        <bgColor indexed="64"/>
      </patternFill>
    </fill>
    <fill>
      <patternFill patternType="solid">
        <fgColor theme="8" tint="0.39997558519241921"/>
        <bgColor indexed="64"/>
      </patternFill>
    </fill>
  </fills>
  <borders count="12">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8">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1" fillId="2" borderId="0" xfId="0" applyFont="1" applyFill="1"/>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10" fontId="39" fillId="2" borderId="0" xfId="0" applyNumberFormat="1" applyFont="1" applyFill="1"/>
    <xf numFmtId="167" fontId="38" fillId="2" borderId="0" xfId="0" applyNumberFormat="1" applyFont="1" applyFill="1"/>
    <xf numFmtId="0" fontId="39" fillId="2" borderId="0" xfId="0" applyFont="1" applyFill="1"/>
    <xf numFmtId="164" fontId="38" fillId="2" borderId="0" xfId="0" applyNumberFormat="1" applyFont="1" applyFill="1"/>
    <xf numFmtId="0" fontId="31" fillId="4" borderId="5" xfId="0" applyFont="1" applyFill="1" applyBorder="1"/>
    <xf numFmtId="0" fontId="0" fillId="4" borderId="6" xfId="0" applyFill="1" applyBorder="1"/>
    <xf numFmtId="0" fontId="0" fillId="4" borderId="7" xfId="0" applyFill="1" applyBorder="1"/>
    <xf numFmtId="0" fontId="40" fillId="4" borderId="8" xfId="0" applyFont="1" applyFill="1" applyBorder="1"/>
    <xf numFmtId="0" fontId="1" fillId="4" borderId="9" xfId="0" applyFont="1" applyFill="1" applyBorder="1"/>
    <xf numFmtId="0" fontId="40" fillId="4" borderId="10" xfId="0" applyFont="1" applyFill="1" applyBorder="1"/>
    <xf numFmtId="164" fontId="41" fillId="4" borderId="4" xfId="2" applyNumberFormat="1" applyFont="1" applyFill="1" applyBorder="1"/>
    <xf numFmtId="0" fontId="0" fillId="4" borderId="11" xfId="0" applyFill="1" applyBorder="1"/>
    <xf numFmtId="164" fontId="27" fillId="3" borderId="1" xfId="0" applyNumberFormat="1" applyFont="1" applyFill="1" applyBorder="1"/>
    <xf numFmtId="0" fontId="0" fillId="5" borderId="0" xfId="0" applyFill="1"/>
    <xf numFmtId="0" fontId="14" fillId="5" borderId="0" xfId="0" applyFont="1" applyFill="1"/>
    <xf numFmtId="0" fontId="31" fillId="5" borderId="0" xfId="0" applyFont="1" applyFill="1" applyAlignment="1">
      <alignment horizontal="right" vertical="top"/>
    </xf>
    <xf numFmtId="0" fontId="16" fillId="5" borderId="0" xfId="0" applyFont="1" applyFill="1"/>
    <xf numFmtId="0" fontId="1" fillId="5" borderId="0" xfId="0" applyFont="1" applyFill="1"/>
    <xf numFmtId="0" fontId="5" fillId="5" borderId="0" xfId="0" applyFont="1" applyFill="1"/>
    <xf numFmtId="0" fontId="25" fillId="5" borderId="0" xfId="1" applyFont="1" applyFill="1" applyAlignment="1" applyProtection="1"/>
    <xf numFmtId="0" fontId="24" fillId="5" borderId="0" xfId="0" applyFont="1" applyFill="1"/>
    <xf numFmtId="0" fontId="3" fillId="5" borderId="0" xfId="0" applyFont="1" applyFill="1"/>
    <xf numFmtId="0" fontId="2" fillId="5" borderId="0" xfId="0" applyFont="1" applyFill="1"/>
    <xf numFmtId="0" fontId="26" fillId="5" borderId="0" xfId="1" applyFont="1" applyFill="1" applyAlignment="1" applyProtection="1"/>
    <xf numFmtId="0" fontId="40" fillId="2" borderId="0" xfId="0" applyFont="1" applyFill="1"/>
    <xf numFmtId="0" fontId="2" fillId="5"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92.565821566118004</c:v>
                </c:pt>
                <c:pt idx="1">
                  <c:v>92.565821566118004</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227.4341784</c:v>
                </c:pt>
                <c:pt idx="1">
                  <c:v>227.4341784</c:v>
                </c:pt>
              </c:strCache>
            </c:strRef>
          </c:tx>
          <c:spPr>
            <a:ln>
              <a:solidFill>
                <a:srgbClr val="FFFF00"/>
              </a:solidFill>
            </a:ln>
          </c:spPr>
          <c:marker>
            <c:symbol val="none"/>
          </c:marker>
          <c:xVal>
            <c:numRef>
              <c:f>'Superiority, Parallel'!$AD$19:$AD$20</c:f>
              <c:numCache>
                <c:formatCode>General</c:formatCode>
                <c:ptCount val="2"/>
                <c:pt idx="0">
                  <c:v>227.43417843388198</c:v>
                </c:pt>
                <c:pt idx="1">
                  <c:v>227.43417843388198</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100.565821566118</c:v>
                </c:pt>
                <c:pt idx="1">
                  <c:v>100.565821566118</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235.43417843388198</c:v>
                </c:pt>
                <c:pt idx="1">
                  <c:v>235.43417843388198</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2146898168"/>
        <c:axId val="2146901592"/>
      </c:scatterChart>
      <c:valAx>
        <c:axId val="2146898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901592"/>
        <c:crosses val="autoZero"/>
        <c:crossBetween val="midCat"/>
      </c:valAx>
      <c:valAx>
        <c:axId val="214690159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898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7.0950772681191125</c:v>
                </c:pt>
                <c:pt idx="1">
                  <c:v>7.0950772681191125</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152.9049227</c:v>
                </c:pt>
                <c:pt idx="1">
                  <c:v>152.9049227</c:v>
                </c:pt>
              </c:strCache>
            </c:strRef>
          </c:tx>
          <c:spPr>
            <a:ln>
              <a:solidFill>
                <a:srgbClr val="FFFF00"/>
              </a:solidFill>
            </a:ln>
          </c:spPr>
          <c:marker>
            <c:symbol val="none"/>
          </c:marker>
          <c:xVal>
            <c:numRef>
              <c:f>'Superiority, Crossover'!$AD$19:$AD$20</c:f>
              <c:numCache>
                <c:formatCode>General</c:formatCode>
                <c:ptCount val="2"/>
                <c:pt idx="0">
                  <c:v>152.9049227318809</c:v>
                </c:pt>
                <c:pt idx="1">
                  <c:v>152.9049227318809</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17.095077268119113</c:v>
                </c:pt>
                <c:pt idx="1">
                  <c:v>17.095077268119113</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162.9049227318809</c:v>
                </c:pt>
                <c:pt idx="1">
                  <c:v>162.9049227318809</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2147158040"/>
        <c:axId val="2147161432"/>
      </c:scatterChart>
      <c:valAx>
        <c:axId val="214715804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61432"/>
        <c:crosses val="autoZero"/>
        <c:crossBetween val="midCat"/>
      </c:valAx>
      <c:valAx>
        <c:axId val="214716143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15804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-166.79653624044829</c:v>
                </c:pt>
                <c:pt idx="1">
                  <c:v>-166.79653624044829</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566.7965362</c:v>
                </c:pt>
                <c:pt idx="1">
                  <c:v>566.7965362</c:v>
                </c:pt>
              </c:strCache>
            </c:strRef>
          </c:tx>
          <c:spPr>
            <a:ln>
              <a:solidFill>
                <a:srgbClr val="FFFF00"/>
              </a:solidFill>
            </a:ln>
          </c:spPr>
          <c:marker>
            <c:symbol val="none"/>
          </c:marker>
          <c:xVal>
            <c:numRef>
              <c:f>'Equivalence, Parallel'!$AD$19:$AD$20</c:f>
              <c:numCache>
                <c:formatCode>General</c:formatCode>
                <c:ptCount val="2"/>
                <c:pt idx="0">
                  <c:v>566.79653624044829</c:v>
                </c:pt>
                <c:pt idx="1">
                  <c:v>566.79653624044829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-166.79653624044829</c:v>
                </c:pt>
                <c:pt idx="1">
                  <c:v>-166.79653624044829</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566.79653624044829</c:v>
                </c:pt>
                <c:pt idx="1">
                  <c:v>566.79653624044829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2147287672"/>
        <c:axId val="2147291128"/>
      </c:scatterChart>
      <c:valAx>
        <c:axId val="214728767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91128"/>
        <c:crosses val="autoZero"/>
        <c:crossBetween val="midCat"/>
      </c:valAx>
      <c:valAx>
        <c:axId val="214729112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2876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-66.718614496179299</c:v>
                </c:pt>
                <c:pt idx="1">
                  <c:v>-66.718614496179299</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226.7186144961793</c:v>
                </c:pt>
                <c:pt idx="1">
                  <c:v>226.7186144961793</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-64.718614496179299</c:v>
                </c:pt>
                <c:pt idx="1">
                  <c:v>-64.718614496179299</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228.7186144961793</c:v>
                </c:pt>
                <c:pt idx="1">
                  <c:v>228.7186144961793</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2147403496"/>
        <c:axId val="2147406888"/>
      </c:scatterChart>
      <c:valAx>
        <c:axId val="214740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6888"/>
        <c:crosses val="autoZero"/>
        <c:crossBetween val="midCat"/>
      </c:valAx>
      <c:valAx>
        <c:axId val="21474068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740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-133.4372289923586</c:v>
                </c:pt>
                <c:pt idx="1">
                  <c:v>-133.4372289923586</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453.4372289923586</c:v>
                </c:pt>
                <c:pt idx="1">
                  <c:v>453.4372289923586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-135.4372289923586</c:v>
                </c:pt>
                <c:pt idx="1">
                  <c:v>-135.4372289923586</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451.4372289923586</c:v>
                </c:pt>
                <c:pt idx="1">
                  <c:v>451.4372289923586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2146538248"/>
        <c:axId val="2146535000"/>
      </c:scatterChart>
      <c:valAx>
        <c:axId val="214653824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5000"/>
        <c:crosses val="autoZero"/>
        <c:crossBetween val="midCat"/>
      </c:valAx>
      <c:valAx>
        <c:axId val="214653500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4653824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-66.718614496179299</c:v>
                </c:pt>
                <c:pt idx="1">
                  <c:v>-66.718614496179299</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226.7186144961793</c:v>
                </c:pt>
                <c:pt idx="1">
                  <c:v>226.7186144961793</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-68.718614496179299</c:v>
                </c:pt>
                <c:pt idx="1">
                  <c:v>-68.718614496179299</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224.7186144961793</c:v>
                </c:pt>
                <c:pt idx="1">
                  <c:v>224.7186144961793</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2128753496"/>
        <c:axId val="-2128750248"/>
      </c:scatterChart>
      <c:valAx>
        <c:axId val="-212875349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0248"/>
        <c:crosses val="autoZero"/>
        <c:crossBetween val="midCat"/>
      </c:valAx>
      <c:valAx>
        <c:axId val="-21287502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7534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0.11404199506892949</c:v>
                </c:pt>
                <c:pt idx="2">
                  <c:v>0.22808399013785899</c:v>
                </c:pt>
                <c:pt idx="3">
                  <c:v>0.3421259852067885</c:v>
                </c:pt>
                <c:pt idx="4">
                  <c:v>0.45616798027571798</c:v>
                </c:pt>
                <c:pt idx="5">
                  <c:v>0.57020997534464746</c:v>
                </c:pt>
                <c:pt idx="6">
                  <c:v>0.68425197041357699</c:v>
                </c:pt>
                <c:pt idx="7">
                  <c:v>0.79829396548250653</c:v>
                </c:pt>
                <c:pt idx="8">
                  <c:v>0.91233596055143606</c:v>
                </c:pt>
                <c:pt idx="9">
                  <c:v>1.0263779556203656</c:v>
                </c:pt>
                <c:pt idx="10">
                  <c:v>1.1404199506892951</c:v>
                </c:pt>
                <c:pt idx="11">
                  <c:v>1.2544619457582247</c:v>
                </c:pt>
                <c:pt idx="12">
                  <c:v>1.3685039408271542</c:v>
                </c:pt>
                <c:pt idx="13">
                  <c:v>1.4825459358960837</c:v>
                </c:pt>
                <c:pt idx="14">
                  <c:v>1.5965879309650133</c:v>
                </c:pt>
                <c:pt idx="15">
                  <c:v>1.7106299260339428</c:v>
                </c:pt>
                <c:pt idx="16">
                  <c:v>1.8246719211028724</c:v>
                </c:pt>
                <c:pt idx="17">
                  <c:v>1.9387139161718019</c:v>
                </c:pt>
                <c:pt idx="18">
                  <c:v>2.0527559112407312</c:v>
                </c:pt>
                <c:pt idx="19">
                  <c:v>2.1667979063096605</c:v>
                </c:pt>
                <c:pt idx="20">
                  <c:v>2.2808399013785898</c:v>
                </c:pt>
                <c:pt idx="21">
                  <c:v>2.3948818964475191</c:v>
                </c:pt>
                <c:pt idx="22">
                  <c:v>2.5089238915164485</c:v>
                </c:pt>
                <c:pt idx="23">
                  <c:v>2.6229658865853778</c:v>
                </c:pt>
                <c:pt idx="24">
                  <c:v>2.7370078816543071</c:v>
                </c:pt>
                <c:pt idx="25">
                  <c:v>2.8510498767232364</c:v>
                </c:pt>
                <c:pt idx="26">
                  <c:v>2.9650918717921657</c:v>
                </c:pt>
                <c:pt idx="27">
                  <c:v>3.079133866861095</c:v>
                </c:pt>
                <c:pt idx="28">
                  <c:v>3.1931758619300243</c:v>
                </c:pt>
                <c:pt idx="29">
                  <c:v>3.3072178569989537</c:v>
                </c:pt>
                <c:pt idx="30">
                  <c:v>3.421259852067883</c:v>
                </c:pt>
                <c:pt idx="31">
                  <c:v>3.5353018471368123</c:v>
                </c:pt>
                <c:pt idx="32">
                  <c:v>3.6493438422057416</c:v>
                </c:pt>
              </c:numCache>
            </c:numRef>
          </c:xVal>
          <c:yVal>
            <c:numRef>
              <c:f>'Bioequivalence, Parallel'!$V$15:$V$47</c:f>
              <c:numCache>
                <c:formatCode>General</c:formatCode>
                <c:ptCount val="33"/>
                <c:pt idx="0">
                  <c:v>0.24638175239823415</c:v>
                </c:pt>
                <c:pt idx="1">
                  <c:v>0.2888774794762195</c:v>
                </c:pt>
                <c:pt idx="2">
                  <c:v>0.33188944549186422</c:v>
                </c:pt>
                <c:pt idx="3">
                  <c:v>0.37363521879612333</c:v>
                </c:pt>
                <c:pt idx="4">
                  <c:v>0.41217038093519348</c:v>
                </c:pt>
                <c:pt idx="5">
                  <c:v>0.44553349777912132</c:v>
                </c:pt>
                <c:pt idx="6">
                  <c:v>0.4719093196270166</c:v>
                </c:pt>
                <c:pt idx="7">
                  <c:v>0.48979162540430449</c:v>
                </c:pt>
                <c:pt idx="8">
                  <c:v>0.49812548917176475</c:v>
                </c:pt>
                <c:pt idx="9">
                  <c:v>0.49641030037181422</c:v>
                </c:pt>
                <c:pt idx="10">
                  <c:v>0.48474954788740393</c:v>
                </c:pt>
                <c:pt idx="11">
                  <c:v>0.46384048284340523</c:v>
                </c:pt>
                <c:pt idx="12">
                  <c:v>0.4349050960714787</c:v>
                </c:pt>
                <c:pt idx="13">
                  <c:v>0.39957191240595913</c:v>
                </c:pt>
                <c:pt idx="14">
                  <c:v>0.35972449947009971</c:v>
                </c:pt>
                <c:pt idx="15">
                  <c:v>0.31733625401860682</c:v>
                </c:pt>
                <c:pt idx="16">
                  <c:v>0.27431147398263156</c:v>
                </c:pt>
                <c:pt idx="17">
                  <c:v>0.23235010113869112</c:v>
                </c:pt>
                <c:pt idx="18">
                  <c:v>0.19284854521492664</c:v>
                </c:pt>
                <c:pt idx="19">
                  <c:v>0.15684276045422713</c:v>
                </c:pt>
                <c:pt idx="20">
                  <c:v>0.12499343312455446</c:v>
                </c:pt>
                <c:pt idx="21">
                  <c:v>9.7607800230644914E-2</c:v>
                </c:pt>
                <c:pt idx="22">
                  <c:v>7.4688968721692603E-2</c:v>
                </c:pt>
                <c:pt idx="23">
                  <c:v>5.600193196586048E-2</c:v>
                </c:pt>
                <c:pt idx="24">
                  <c:v>4.1145672548452104E-2</c:v>
                </c:pt>
                <c:pt idx="25">
                  <c:v>2.9622378747503401E-2</c:v>
                </c:pt>
                <c:pt idx="26">
                  <c:v>2.0897306115164386E-2</c:v>
                </c:pt>
                <c:pt idx="27">
                  <c:v>1.4445590111148958E-2</c:v>
                </c:pt>
                <c:pt idx="28">
                  <c:v>9.7848659437147888E-3</c:v>
                </c:pt>
                <c:pt idx="29">
                  <c:v>6.4945502508561327E-3</c:v>
                </c:pt>
                <c:pt idx="30">
                  <c:v>4.2239414730498807E-3</c:v>
                </c:pt>
                <c:pt idx="31">
                  <c:v>2.6919148087739021E-3</c:v>
                </c:pt>
                <c:pt idx="32">
                  <c:v>1.6810450043310068E-3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0.24665354068133172</c:v>
                </c:pt>
                <c:pt idx="1">
                  <c:v>0.24665354068133172</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1.6533464593186682</c:v>
                </c:pt>
                <c:pt idx="1">
                  <c:v>1.6533464593186682</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-1.6138709635184754</c:v>
                </c:pt>
                <c:pt idx="1">
                  <c:v>-1.6138709635184754</c:v>
                </c:pt>
              </c:numCache>
            </c:numRef>
          </c:xVal>
          <c:yVal>
            <c:numRef>
              <c:f>'Bioequivalence, Parallel'!$AE$16:$AE$17</c:f>
              <c:numCache>
                <c:formatCode>General</c:formatCode>
                <c:ptCount val="2"/>
                <c:pt idx="0">
                  <c:v>0</c:v>
                </c:pt>
                <c:pt idx="1">
                  <c:v>0.49812548917176475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3.5138709635184755</c:v>
                </c:pt>
                <c:pt idx="1">
                  <c:v>3.5138709635184755</c:v>
                </c:pt>
              </c:numCache>
            </c:numRef>
          </c:xVal>
          <c:yVal>
            <c:numRef>
              <c:f>'Bioequivalence, Parallel'!$AE$19:$AE$20</c:f>
              <c:numCache>
                <c:formatCode>General</c:formatCode>
                <c:ptCount val="2"/>
                <c:pt idx="0">
                  <c:v>0</c:v>
                </c:pt>
                <c:pt idx="1">
                  <c:v>0.49812548917176475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0.49812548917176475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0.49812548917176475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2128659736"/>
        <c:axId val="-2128656552"/>
      </c:scatterChart>
      <c:valAx>
        <c:axId val="-212865973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8656552"/>
        <c:crosses val="autoZero"/>
        <c:crossBetween val="midCat"/>
        <c:majorUnit val="0.2"/>
        <c:minorUnit val="0.1"/>
      </c:valAx>
      <c:valAx>
        <c:axId val="-21286565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865973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5.2465028163784067E-2</c:v>
                </c:pt>
                <c:pt idx="1">
                  <c:v>5.2465028163784067E-2</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1.847534971836216</c:v>
                </c:pt>
                <c:pt idx="1">
                  <c:v>1.847534971836216</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2089850696"/>
        <c:axId val="2089847448"/>
      </c:scatterChart>
      <c:valAx>
        <c:axId val="2089850696"/>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089847448"/>
        <c:crosses val="autoZero"/>
        <c:crossBetween val="midCat"/>
        <c:majorUnit val="0.2"/>
        <c:minorUnit val="0.1"/>
      </c:valAx>
      <c:valAx>
        <c:axId val="208984744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08985069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9.9229850208075149E-2</c:v>
                </c:pt>
                <c:pt idx="2">
                  <c:v>0.1984597004161503</c:v>
                </c:pt>
                <c:pt idx="3">
                  <c:v>0.29768955062422542</c:v>
                </c:pt>
                <c:pt idx="4">
                  <c:v>0.3969194008323006</c:v>
                </c:pt>
                <c:pt idx="5">
                  <c:v>0.49614925104037577</c:v>
                </c:pt>
                <c:pt idx="6">
                  <c:v>0.59537910124845095</c:v>
                </c:pt>
                <c:pt idx="7">
                  <c:v>0.69460895145652612</c:v>
                </c:pt>
                <c:pt idx="8">
                  <c:v>0.7938388016646013</c:v>
                </c:pt>
                <c:pt idx="9">
                  <c:v>0.89306865187267648</c:v>
                </c:pt>
                <c:pt idx="10">
                  <c:v>0.99229850208075165</c:v>
                </c:pt>
                <c:pt idx="11">
                  <c:v>1.0915283522888268</c:v>
                </c:pt>
                <c:pt idx="12">
                  <c:v>1.1907582024969019</c:v>
                </c:pt>
                <c:pt idx="13">
                  <c:v>1.289988052704977</c:v>
                </c:pt>
                <c:pt idx="14">
                  <c:v>1.389217902913052</c:v>
                </c:pt>
                <c:pt idx="15">
                  <c:v>1.4884477531211271</c:v>
                </c:pt>
                <c:pt idx="16">
                  <c:v>1.5876776033292022</c:v>
                </c:pt>
                <c:pt idx="17">
                  <c:v>1.6869074535372772</c:v>
                </c:pt>
                <c:pt idx="18">
                  <c:v>1.7861373037453523</c:v>
                </c:pt>
                <c:pt idx="19">
                  <c:v>1.8853671539534274</c:v>
                </c:pt>
                <c:pt idx="20">
                  <c:v>1.9845970041615024</c:v>
                </c:pt>
                <c:pt idx="21">
                  <c:v>2.0838268543695775</c:v>
                </c:pt>
                <c:pt idx="22">
                  <c:v>2.1830567045776528</c:v>
                </c:pt>
                <c:pt idx="23">
                  <c:v>2.2822865547857281</c:v>
                </c:pt>
                <c:pt idx="24">
                  <c:v>2.3815164049938033</c:v>
                </c:pt>
                <c:pt idx="25">
                  <c:v>2.4807462552018786</c:v>
                </c:pt>
                <c:pt idx="26">
                  <c:v>2.5799761054099539</c:v>
                </c:pt>
                <c:pt idx="27">
                  <c:v>2.6792059556180292</c:v>
                </c:pt>
                <c:pt idx="28">
                  <c:v>2.7784358058261045</c:v>
                </c:pt>
                <c:pt idx="29">
                  <c:v>2.8776656560341798</c:v>
                </c:pt>
                <c:pt idx="30">
                  <c:v>2.9768955062422551</c:v>
                </c:pt>
                <c:pt idx="31">
                  <c:v>3.0761253564503304</c:v>
                </c:pt>
                <c:pt idx="32">
                  <c:v>3.1753552066584056</c:v>
                </c:pt>
              </c:numCache>
            </c:numRef>
          </c:xVal>
          <c:yVal>
            <c:numRef>
              <c:f>'Bioequivalence, Replicate'!$V$15:$V$47</c:f>
              <c:numCache>
                <c:formatCode>General</c:formatCode>
                <c:ptCount val="33"/>
                <c:pt idx="0">
                  <c:v>0.23533729435330628</c:v>
                </c:pt>
                <c:pt idx="1">
                  <c:v>0.28736242915824389</c:v>
                </c:pt>
                <c:pt idx="2">
                  <c:v>0.34280549683534484</c:v>
                </c:pt>
                <c:pt idx="3">
                  <c:v>0.39952515522834975</c:v>
                </c:pt>
                <c:pt idx="4">
                  <c:v>0.45490325198376713</c:v>
                </c:pt>
                <c:pt idx="5">
                  <c:v>0.50602563077485663</c:v>
                </c:pt>
                <c:pt idx="6">
                  <c:v>0.54992637471810812</c:v>
                </c:pt>
                <c:pt idx="7">
                  <c:v>0.58386863272477407</c:v>
                </c:pt>
                <c:pt idx="8">
                  <c:v>0.60562570518659309</c:v>
                </c:pt>
                <c:pt idx="9">
                  <c:v>0.61372245947377413</c:v>
                </c:pt>
                <c:pt idx="10">
                  <c:v>0.60760074029019817</c:v>
                </c:pt>
                <c:pt idx="11">
                  <c:v>0.5876830063555375</c:v>
                </c:pt>
                <c:pt idx="12">
                  <c:v>0.55532411335267029</c:v>
                </c:pt>
                <c:pt idx="13">
                  <c:v>0.51265888884221822</c:v>
                </c:pt>
                <c:pt idx="14">
                  <c:v>0.46236932369525469</c:v>
                </c:pt>
                <c:pt idx="15">
                  <c:v>0.40740663195800214</c:v>
                </c:pt>
                <c:pt idx="16">
                  <c:v>0.35070805182037268</c:v>
                </c:pt>
                <c:pt idx="17">
                  <c:v>0.29494561250934742</c:v>
                </c:pt>
                <c:pt idx="18">
                  <c:v>0.24233531319033688</c:v>
                </c:pt>
                <c:pt idx="19">
                  <c:v>0.1945225836599368</c:v>
                </c:pt>
                <c:pt idx="20">
                  <c:v>0.15254638314764188</c:v>
                </c:pt>
                <c:pt idx="21">
                  <c:v>0.11687250742502221</c:v>
                </c:pt>
                <c:pt idx="22">
                  <c:v>8.7478508365891355E-2</c:v>
                </c:pt>
                <c:pt idx="23">
                  <c:v>6.3968908046208445E-2</c:v>
                </c:pt>
                <c:pt idx="24">
                  <c:v>4.569988070902295E-2</c:v>
                </c:pt>
                <c:pt idx="25">
                  <c:v>3.1896259526106731E-2</c:v>
                </c:pt>
                <c:pt idx="26">
                  <c:v>2.1749185983899813E-2</c:v>
                </c:pt>
                <c:pt idx="27">
                  <c:v>1.4488546488791608E-2</c:v>
                </c:pt>
                <c:pt idx="28">
                  <c:v>9.4294245755793919E-3</c:v>
                </c:pt>
                <c:pt idx="29">
                  <c:v>5.9954822866968805E-3</c:v>
                </c:pt>
                <c:pt idx="30">
                  <c:v>3.7242739410159697E-3</c:v>
                </c:pt>
                <c:pt idx="31">
                  <c:v>2.260152134061862E-3</c:v>
                </c:pt>
                <c:pt idx="32">
                  <c:v>1.3400231116534327E-3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0.30635373578337999</c:v>
                </c:pt>
                <c:pt idx="1">
                  <c:v>0.30635373578337999</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1.4936462642166202</c:v>
                </c:pt>
                <c:pt idx="1">
                  <c:v>1.4936462642166202</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-1.2639867511391212</c:v>
                </c:pt>
                <c:pt idx="1">
                  <c:v>-1.2639867511391212</c:v>
                </c:pt>
              </c:numCache>
            </c:numRef>
          </c:xVal>
          <c:yVal>
            <c:numRef>
              <c:f>'Bioequivalence, Replicate'!$AE$16:$AE$17</c:f>
              <c:numCache>
                <c:formatCode>General</c:formatCode>
                <c:ptCount val="2"/>
                <c:pt idx="0">
                  <c:v>0</c:v>
                </c:pt>
                <c:pt idx="1">
                  <c:v>0.61372245947377413</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3.063986751139121</c:v>
                </c:pt>
                <c:pt idx="1">
                  <c:v>3.063986751139121</c:v>
                </c:pt>
              </c:numCache>
            </c:numRef>
          </c:xVal>
          <c:yVal>
            <c:numRef>
              <c:f>'Bioequivalence, Replicate'!$AE$19:$AE$20</c:f>
              <c:numCache>
                <c:formatCode>General</c:formatCode>
                <c:ptCount val="2"/>
                <c:pt idx="0">
                  <c:v>0</c:v>
                </c:pt>
                <c:pt idx="1">
                  <c:v>0.61372245947377413</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0.61372245947377413</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0.61372245947377413</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2127348472"/>
        <c:axId val="-2127345288"/>
      </c:scatterChart>
      <c:valAx>
        <c:axId val="-2127348472"/>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2127345288"/>
        <c:crosses val="autoZero"/>
        <c:crossBetween val="midCat"/>
        <c:majorUnit val="0.2"/>
        <c:minorUnit val="0.1"/>
      </c:valAx>
      <c:valAx>
        <c:axId val="-21273452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212734847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hyperlink" Target="https://bebac.at/" TargetMode="External"/><Relationship Id="rId2" Type="http://schemas.openxmlformats.org/officeDocument/2006/relationships/hyperlink" Target="https://github.com/dndubins/FARTSSIE"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 Id="rId9" Type="http://schemas.openxmlformats.org/officeDocument/2006/relationships/image" Target="../media/image36.png"/></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chart" Target="../charts/chart8.xml"/><Relationship Id="rId5" Type="http://schemas.openxmlformats.org/officeDocument/2006/relationships/image" Target="../media/image39.emf"/><Relationship Id="rId4" Type="http://schemas.openxmlformats.org/officeDocument/2006/relationships/image" Target="../media/image38.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3.emf"/><Relationship Id="rId3" Type="http://schemas.openxmlformats.org/officeDocument/2006/relationships/image" Target="../media/image32.emf"/><Relationship Id="rId7" Type="http://schemas.openxmlformats.org/officeDocument/2006/relationships/image" Target="../media/image42.emf"/><Relationship Id="rId2" Type="http://schemas.openxmlformats.org/officeDocument/2006/relationships/image" Target="../media/image29.emf"/><Relationship Id="rId1" Type="http://schemas.openxmlformats.org/officeDocument/2006/relationships/image" Target="../media/image37.emf"/><Relationship Id="rId6" Type="http://schemas.openxmlformats.org/officeDocument/2006/relationships/image" Target="../media/image41.emf"/><Relationship Id="rId5" Type="http://schemas.openxmlformats.org/officeDocument/2006/relationships/image" Target="../media/image40.emf"/><Relationship Id="rId4" Type="http://schemas.openxmlformats.org/officeDocument/2006/relationships/chart" Target="../charts/chart9.xml"/><Relationship Id="rId9" Type="http://schemas.openxmlformats.org/officeDocument/2006/relationships/image" Target="../media/image44.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3.emf"/><Relationship Id="rId13" Type="http://schemas.openxmlformats.org/officeDocument/2006/relationships/image" Target="../media/image58.emf"/><Relationship Id="rId3" Type="http://schemas.openxmlformats.org/officeDocument/2006/relationships/image" Target="../media/image48.emf"/><Relationship Id="rId7" Type="http://schemas.openxmlformats.org/officeDocument/2006/relationships/image" Target="../media/image52.emf"/><Relationship Id="rId12" Type="http://schemas.openxmlformats.org/officeDocument/2006/relationships/image" Target="../media/image57.emf"/><Relationship Id="rId2" Type="http://schemas.openxmlformats.org/officeDocument/2006/relationships/image" Target="../media/image47.emf"/><Relationship Id="rId1" Type="http://schemas.openxmlformats.org/officeDocument/2006/relationships/image" Target="../media/image46.emf"/><Relationship Id="rId6" Type="http://schemas.openxmlformats.org/officeDocument/2006/relationships/image" Target="../media/image51.emf"/><Relationship Id="rId11" Type="http://schemas.openxmlformats.org/officeDocument/2006/relationships/image" Target="../media/image56.emf"/><Relationship Id="rId5" Type="http://schemas.openxmlformats.org/officeDocument/2006/relationships/image" Target="../media/image50.emf"/><Relationship Id="rId10" Type="http://schemas.openxmlformats.org/officeDocument/2006/relationships/image" Target="../media/image55.emf"/><Relationship Id="rId4" Type="http://schemas.openxmlformats.org/officeDocument/2006/relationships/image" Target="../media/image49.emf"/><Relationship Id="rId9" Type="http://schemas.openxmlformats.org/officeDocument/2006/relationships/image" Target="../media/image54.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1.emf"/><Relationship Id="rId2" Type="http://schemas.openxmlformats.org/officeDocument/2006/relationships/image" Target="../media/image60.emf"/><Relationship Id="rId1" Type="http://schemas.openxmlformats.org/officeDocument/2006/relationships/image" Target="../media/image59.emf"/><Relationship Id="rId4" Type="http://schemas.openxmlformats.org/officeDocument/2006/relationships/image" Target="../media/image62.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4.emf"/><Relationship Id="rId1" Type="http://schemas.openxmlformats.org/officeDocument/2006/relationships/image" Target="../media/image63.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7.png"/><Relationship Id="rId2" Type="http://schemas.openxmlformats.org/officeDocument/2006/relationships/image" Target="../media/image66.png"/><Relationship Id="rId1" Type="http://schemas.openxmlformats.org/officeDocument/2006/relationships/image" Target="../media/image65.png"/><Relationship Id="rId5" Type="http://schemas.openxmlformats.org/officeDocument/2006/relationships/image" Target="../media/image69.emf"/><Relationship Id="rId4" Type="http://schemas.openxmlformats.org/officeDocument/2006/relationships/image" Target="../media/image68.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2.emf"/><Relationship Id="rId2" Type="http://schemas.openxmlformats.org/officeDocument/2006/relationships/image" Target="../media/image71.emf"/><Relationship Id="rId1" Type="http://schemas.openxmlformats.org/officeDocument/2006/relationships/image" Target="../media/image70.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5.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52015</xdr:rowOff>
    </xdr:from>
    <xdr:to>
      <xdr:col>1</xdr:col>
      <xdr:colOff>662940</xdr:colOff>
      <xdr:row>3</xdr:row>
      <xdr:rowOff>21535</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4435" y="212145"/>
          <a:ext cx="662940" cy="47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1</xdr:col>
      <xdr:colOff>16565</xdr:colOff>
      <xdr:row>6</xdr:row>
      <xdr:rowOff>91109</xdr:rowOff>
    </xdr:from>
    <xdr:to>
      <xdr:col>8</xdr:col>
      <xdr:colOff>364435</xdr:colOff>
      <xdr:row>16</xdr:row>
      <xdr:rowOff>82826</xdr:rowOff>
    </xdr:to>
    <xdr:sp macro="" textlink="">
      <xdr:nvSpPr>
        <xdr:cNvPr id="2" name="TextBox 1">
          <a:hlinkClick xmlns:r="http://schemas.openxmlformats.org/officeDocument/2006/relationships" r:id="rId2"/>
          <a:extLst>
            <a:ext uri="{FF2B5EF4-FFF2-40B4-BE49-F238E27FC236}">
              <a16:creationId xmlns:a16="http://schemas.microsoft.com/office/drawing/2014/main" id="{00000000-0008-0000-0000-000002000000}"/>
            </a:ext>
          </a:extLst>
        </xdr:cNvPr>
        <xdr:cNvSpPr txBox="1"/>
      </xdr:nvSpPr>
      <xdr:spPr>
        <a:xfrm>
          <a:off x="356152" y="1267239"/>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1" eaLnBrk="1" fontAlgn="auto" latinLnBrk="0" hangingPunct="1">
            <a:lnSpc>
              <a:spcPct val="100000"/>
            </a:lnSpc>
            <a:spcBef>
              <a:spcPts val="0"/>
            </a:spcBef>
            <a:spcAft>
              <a:spcPts val="0"/>
            </a:spcAft>
            <a:buClrTx/>
            <a:buSzTx/>
            <a:buFontTx/>
            <a:buNone/>
            <a:tabLst/>
            <a:defRPr/>
          </a:pPr>
          <a:r>
            <a:rPr lang="en-US" sz="800" b="1" i="0">
              <a:solidFill>
                <a:schemeClr val="dk1"/>
              </a:solidFill>
              <a:effectLst/>
              <a:latin typeface="Arial" panose="020B0604020202020204" pitchFamily="34" charset="0"/>
              <a:ea typeface="+mn-ea"/>
              <a:cs typeface="Arial" panose="020B0604020202020204" pitchFamily="34" charset="0"/>
            </a:rPr>
            <a:t>License:</a:t>
          </a:r>
          <a:r>
            <a:rPr lang="en-US" sz="800" b="0" i="0">
              <a:solidFill>
                <a:schemeClr val="dk1"/>
              </a:solidFill>
              <a:effectLst/>
              <a:latin typeface="Arial" panose="020B0604020202020204" pitchFamily="34" charset="0"/>
              <a:ea typeface="+mn-ea"/>
              <a:cs typeface="Arial" panose="020B0604020202020204" pitchFamily="34" charset="0"/>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baseline="0">
              <a:solidFill>
                <a:schemeClr val="dk1"/>
              </a:solidFill>
              <a:effectLst/>
              <a:latin typeface="Arial" panose="020B0604020202020204" pitchFamily="34" charset="0"/>
              <a:ea typeface="+mn-ea"/>
              <a:cs typeface="Arial" panose="020B0604020202020204" pitchFamily="34" charset="0"/>
            </a:rPr>
            <a:t> download from </a:t>
          </a:r>
          <a:r>
            <a:rPr lang="en-US" sz="800" b="0" i="0" u="sng" baseline="0">
              <a:solidFill>
                <a:srgbClr val="0070C0"/>
              </a:solidFill>
              <a:effectLst/>
              <a:latin typeface="Arial" panose="020B0604020202020204" pitchFamily="34" charset="0"/>
              <a:ea typeface="+mn-ea"/>
              <a:cs typeface="Arial" panose="020B0604020202020204" pitchFamily="34" charset="0"/>
            </a:rPr>
            <a:t>https://github.com/dndubins/FARTSSIE</a:t>
          </a:r>
          <a:r>
            <a:rPr lang="en-US" sz="800" b="0" i="0" baseline="0">
              <a:solidFill>
                <a:schemeClr val="dk1"/>
              </a:solidFill>
              <a:effectLst/>
              <a:latin typeface="Arial" panose="020B0604020202020204" pitchFamily="34" charset="0"/>
              <a:ea typeface="+mn-ea"/>
              <a:cs typeface="Arial" panose="020B0604020202020204" pitchFamily="34" charset="0"/>
            </a:rPr>
            <a:t>. </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twoCellAnchor>
    <xdr:from>
      <xdr:col>1</xdr:col>
      <xdr:colOff>16566</xdr:colOff>
      <xdr:row>16</xdr:row>
      <xdr:rowOff>132522</xdr:rowOff>
    </xdr:from>
    <xdr:to>
      <xdr:col>8</xdr:col>
      <xdr:colOff>364436</xdr:colOff>
      <xdr:row>26</xdr:row>
      <xdr:rowOff>124239</xdr:rowOff>
    </xdr:to>
    <xdr:sp macro="" textlink="">
      <xdr:nvSpPr>
        <xdr:cNvPr id="6" name="TextBox 5">
          <a:hlinkClick xmlns:r="http://schemas.openxmlformats.org/officeDocument/2006/relationships" r:id="rId3"/>
          <a:extLst>
            <a:ext uri="{FF2B5EF4-FFF2-40B4-BE49-F238E27FC236}">
              <a16:creationId xmlns:a16="http://schemas.microsoft.com/office/drawing/2014/main" id="{00000000-0008-0000-0000-000006000000}"/>
            </a:ext>
          </a:extLst>
        </xdr:cNvPr>
        <xdr:cNvSpPr txBox="1"/>
      </xdr:nvSpPr>
      <xdr:spPr>
        <a:xfrm>
          <a:off x="356153" y="2965174"/>
          <a:ext cx="4721087" cy="1648239"/>
        </a:xfrm>
        <a:prstGeom prst="rect">
          <a:avLst/>
        </a:prstGeom>
        <a:solidFill>
          <a:schemeClr val="bg1">
            <a:lumMod val="95000"/>
          </a:schemeClr>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1"/>
          <a:r>
            <a:rPr lang="en-US" sz="800" b="0" i="0">
              <a:solidFill>
                <a:schemeClr val="dk1"/>
              </a:solidFill>
              <a:effectLst/>
              <a:latin typeface="Arial" panose="020B0604020202020204" pitchFamily="34" charset="0"/>
              <a:ea typeface="+mn-ea"/>
              <a:cs typeface="Arial" panose="020B0604020202020204" pitchFamily="34" charset="0"/>
            </a:rPr>
            <a:t>I would like to very warmly thank the the following people for making this workbook possible:</a:t>
          </a:r>
        </a:p>
        <a:p>
          <a:pPr algn="l" rtl="1"/>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BEBAC Ing. Helmut Schütz</a:t>
          </a:r>
          <a:br>
            <a:rPr lang="en-US" sz="800" b="0" i="0">
              <a:solidFill>
                <a:schemeClr val="dk1"/>
              </a:solidFill>
              <a:effectLst/>
              <a:latin typeface="Arial" panose="020B0604020202020204" pitchFamily="34" charset="0"/>
              <a:ea typeface="+mn-ea"/>
              <a:cs typeface="Arial" panose="020B0604020202020204" pitchFamily="34" charset="0"/>
            </a:rPr>
          </a:br>
          <a:r>
            <a:rPr lang="en-US" sz="800" b="0" i="0">
              <a:solidFill>
                <a:schemeClr val="dk1"/>
              </a:solidFill>
              <a:effectLst/>
              <a:latin typeface="Arial" panose="020B0604020202020204" pitchFamily="34" charset="0"/>
              <a:ea typeface="+mn-ea"/>
              <a:cs typeface="Arial" panose="020B0604020202020204" pitchFamily="34" charset="0"/>
            </a:rPr>
            <a:t>Consultancy Services for Bioequivalence and Bioavailability Studies</a:t>
          </a:r>
          <a:endParaRPr lang="en-CA" sz="800">
            <a:effectLst/>
            <a:latin typeface="Arial" panose="020B0604020202020204" pitchFamily="34" charset="0"/>
            <a:cs typeface="Arial" panose="020B0604020202020204" pitchFamily="34" charset="0"/>
          </a:endParaRPr>
        </a:p>
        <a:p>
          <a:pPr algn="l" rtl="1"/>
          <a:endParaRPr lang="en-CA" sz="800">
            <a:solidFill>
              <a:schemeClr val="dk1"/>
            </a:solidFill>
            <a:effectLst/>
            <a:latin typeface="Arial" panose="020B0604020202020204" pitchFamily="34" charset="0"/>
            <a:ea typeface="+mn-ea"/>
            <a:cs typeface="Arial" panose="020B0604020202020204" pitchFamily="34" charset="0"/>
          </a:endParaRPr>
        </a:p>
        <a:p>
          <a:pPr algn="l" rtl="1"/>
          <a:r>
            <a:rPr lang="en-CA" sz="800" u="sng">
              <a:solidFill>
                <a:srgbClr val="0070C0"/>
              </a:solidFill>
              <a:effectLst/>
              <a:latin typeface="Arial" panose="020B0604020202020204" pitchFamily="34" charset="0"/>
              <a:ea typeface="+mn-ea"/>
              <a:cs typeface="Arial" panose="020B0604020202020204" pitchFamily="34" charset="0"/>
            </a:rPr>
            <a:t>BEBAC • Consultancy Services for Bioequivalence and Bioavailability Studies • Helmut Schütz</a:t>
          </a:r>
          <a:endParaRPr lang="en-CA" sz="800" u="sng">
            <a:solidFill>
              <a:srgbClr val="0070C0"/>
            </a:solidFill>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Russell V. Lenth, Professor</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Department of Statistics &amp; Actuarial Science </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The University of Iowa, Iowa City, IA 52242  USA</a:t>
          </a:r>
          <a:endParaRPr lang="en-CA" sz="800">
            <a:effectLst/>
            <a:latin typeface="Arial" panose="020B0604020202020204" pitchFamily="34" charset="0"/>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http://www.stat.uiowa.edu/~rlenth/</a:t>
          </a:r>
          <a:endParaRPr lang="en-CA" sz="800">
            <a:effectLst/>
            <a:latin typeface="Arial" panose="020B0604020202020204" pitchFamily="34" charset="0"/>
            <a:cs typeface="Arial" panose="020B0604020202020204" pitchFamily="34" charset="0"/>
          </a:endParaRPr>
        </a:p>
        <a:p>
          <a:pPr algn="l" rtl="1"/>
          <a:endParaRPr lang="en-US" sz="800" b="0" i="0">
            <a:solidFill>
              <a:schemeClr val="dk1"/>
            </a:solidFill>
            <a:effectLst/>
            <a:latin typeface="Arial" panose="020B0604020202020204" pitchFamily="34" charset="0"/>
            <a:ea typeface="+mn-ea"/>
            <a:cs typeface="Arial" panose="020B0604020202020204" pitchFamily="34" charset="0"/>
          </a:endParaRPr>
        </a:p>
        <a:p>
          <a:pPr algn="l" rtl="1"/>
          <a:r>
            <a:rPr lang="en-US" sz="800" b="0" i="0">
              <a:solidFill>
                <a:schemeClr val="dk1"/>
              </a:solidFill>
              <a:effectLst/>
              <a:latin typeface="Arial" panose="020B0604020202020204" pitchFamily="34" charset="0"/>
              <a:ea typeface="+mn-ea"/>
              <a:cs typeface="Arial" panose="020B0604020202020204" pitchFamily="34" charset="0"/>
            </a:rPr>
            <a:t>In fond memory of: Richard Moisan, Laszlo Endrenyi</a:t>
          </a:r>
          <a:endParaRPr lang="en-CA" sz="800">
            <a:effectLst/>
            <a:latin typeface="Arial" panose="020B0604020202020204" pitchFamily="34" charset="0"/>
            <a:cs typeface="Arial" panose="020B0604020202020204" pitchFamily="34" charset="0"/>
          </a:endParaRPr>
        </a:p>
        <a:p>
          <a:pPr algn="l"/>
          <a:endParaRPr lang="en-CA" sz="800">
            <a:latin typeface="Arial" panose="020B0604020202020204" pitchFamily="34" charset="0"/>
            <a:cs typeface="Arial" panose="020B060402020202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485775</xdr:colOff>
          <xdr:row>7</xdr:row>
          <xdr:rowOff>104775</xdr:rowOff>
        </xdr:from>
        <xdr:to>
          <xdr:col>13</xdr:col>
          <xdr:colOff>28575</xdr:colOff>
          <xdr:row>8</xdr:row>
          <xdr:rowOff>142875</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8</xdr:row>
          <xdr:rowOff>142875</xdr:rowOff>
        </xdr:from>
        <xdr:to>
          <xdr:col>13</xdr:col>
          <xdr:colOff>28575</xdr:colOff>
          <xdr:row>10</xdr:row>
          <xdr:rowOff>9525</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485775</xdr:colOff>
          <xdr:row>10</xdr:row>
          <xdr:rowOff>9525</xdr:rowOff>
        </xdr:from>
        <xdr:to>
          <xdr:col>13</xdr:col>
          <xdr:colOff>28575</xdr:colOff>
          <xdr:row>11</xdr:row>
          <xdr:rowOff>28575</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561975</xdr:colOff>
          <xdr:row>7</xdr:row>
          <xdr:rowOff>28575</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8</xdr:row>
          <xdr:rowOff>38100</xdr:rowOff>
        </xdr:from>
        <xdr:to>
          <xdr:col>12</xdr:col>
          <xdr:colOff>76200</xdr:colOff>
          <xdr:row>9</xdr:row>
          <xdr:rowOff>104775</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561975</xdr:colOff>
          <xdr:row>9</xdr:row>
          <xdr:rowOff>104775</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333375</xdr:colOff>
          <xdr:row>8</xdr:row>
          <xdr:rowOff>114300</xdr:rowOff>
        </xdr:from>
        <xdr:to>
          <xdr:col>12</xdr:col>
          <xdr:colOff>485775</xdr:colOff>
          <xdr:row>9</xdr:row>
          <xdr:rowOff>180975</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9</xdr:row>
          <xdr:rowOff>180975</xdr:rowOff>
        </xdr:from>
        <xdr:to>
          <xdr:col>12</xdr:col>
          <xdr:colOff>485775</xdr:colOff>
          <xdr:row>11</xdr:row>
          <xdr:rowOff>28575</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333375</xdr:colOff>
          <xdr:row>11</xdr:row>
          <xdr:rowOff>28575</xdr:rowOff>
        </xdr:from>
        <xdr:to>
          <xdr:col>12</xdr:col>
          <xdr:colOff>485775</xdr:colOff>
          <xdr:row>12</xdr:row>
          <xdr:rowOff>66675</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533400</xdr:colOff>
          <xdr:row>23</xdr:row>
          <xdr:rowOff>28575</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28575</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371475</xdr:colOff>
          <xdr:row>7</xdr:row>
          <xdr:rowOff>219075</xdr:rowOff>
        </xdr:from>
        <xdr:to>
          <xdr:col>11</xdr:col>
          <xdr:colOff>523875</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9</xdr:row>
          <xdr:rowOff>38100</xdr:rowOff>
        </xdr:from>
        <xdr:to>
          <xdr:col>11</xdr:col>
          <xdr:colOff>523875</xdr:colOff>
          <xdr:row>10</xdr:row>
          <xdr:rowOff>66675</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371475</xdr:colOff>
          <xdr:row>10</xdr:row>
          <xdr:rowOff>66675</xdr:rowOff>
        </xdr:from>
        <xdr:to>
          <xdr:col>11</xdr:col>
          <xdr:colOff>523875</xdr:colOff>
          <xdr:row>11</xdr:row>
          <xdr:rowOff>104775</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600075</xdr:colOff>
          <xdr:row>7</xdr:row>
          <xdr:rowOff>180975</xdr:rowOff>
        </xdr:from>
        <xdr:to>
          <xdr:col>13</xdr:col>
          <xdr:colOff>142875</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9</xdr:row>
          <xdr:rowOff>38100</xdr:rowOff>
        </xdr:from>
        <xdr:to>
          <xdr:col>13</xdr:col>
          <xdr:colOff>142875</xdr:colOff>
          <xdr:row>10</xdr:row>
          <xdr:rowOff>104775</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600075</xdr:colOff>
          <xdr:row>10</xdr:row>
          <xdr:rowOff>104775</xdr:rowOff>
        </xdr:from>
        <xdr:to>
          <xdr:col>13</xdr:col>
          <xdr:colOff>142875</xdr:colOff>
          <xdr:row>11</xdr:row>
          <xdr:rowOff>142875</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600075</xdr:colOff>
          <xdr:row>21</xdr:row>
          <xdr:rowOff>76200</xdr:rowOff>
        </xdr:from>
        <xdr:to>
          <xdr:col>4</xdr:col>
          <xdr:colOff>219075</xdr:colOff>
          <xdr:row>23</xdr:row>
          <xdr:rowOff>28575</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485775</xdr:colOff>
          <xdr:row>8</xdr:row>
          <xdr:rowOff>66675</xdr:rowOff>
        </xdr:from>
        <xdr:to>
          <xdr:col>12</xdr:col>
          <xdr:colOff>28575</xdr:colOff>
          <xdr:row>9</xdr:row>
          <xdr:rowOff>104775</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9</xdr:row>
          <xdr:rowOff>104775</xdr:rowOff>
        </xdr:from>
        <xdr:to>
          <xdr:col>12</xdr:col>
          <xdr:colOff>28575</xdr:colOff>
          <xdr:row>10</xdr:row>
          <xdr:rowOff>104775</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10</xdr:row>
          <xdr:rowOff>104775</xdr:rowOff>
        </xdr:from>
        <xdr:to>
          <xdr:col>12</xdr:col>
          <xdr:colOff>28575</xdr:colOff>
          <xdr:row>11</xdr:row>
          <xdr:rowOff>142875</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161925</xdr:colOff>
          <xdr:row>6</xdr:row>
          <xdr:rowOff>66675</xdr:rowOff>
        </xdr:from>
        <xdr:to>
          <xdr:col>12</xdr:col>
          <xdr:colOff>314325</xdr:colOff>
          <xdr:row>7</xdr:row>
          <xdr:rowOff>104775</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7</xdr:row>
          <xdr:rowOff>104775</xdr:rowOff>
        </xdr:from>
        <xdr:to>
          <xdr:col>12</xdr:col>
          <xdr:colOff>314325</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8</xdr:row>
          <xdr:rowOff>152400</xdr:rowOff>
        </xdr:from>
        <xdr:to>
          <xdr:col>12</xdr:col>
          <xdr:colOff>314325</xdr:colOff>
          <xdr:row>10</xdr:row>
          <xdr:rowOff>28575</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565784</xdr:colOff>
      <xdr:row>24</xdr:row>
      <xdr:rowOff>79375</xdr:rowOff>
    </xdr:from>
    <xdr:to>
      <xdr:col>9</xdr:col>
      <xdr:colOff>194309</xdr:colOff>
      <xdr:row>25</xdr:row>
      <xdr:rowOff>6984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6788784" y="4092575"/>
          <a:ext cx="327025" cy="80009"/>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txBody>
        <a:bodyPr/>
        <a:lstStyle/>
        <a:p>
          <a:endParaRPr/>
        </a:p>
      </xdr:txBody>
    </xdr:sp>
    <xdr:clientData/>
  </xdr:twoCellAnchor>
  <xdr:twoCellAnchor>
    <xdr:from>
      <xdr:col>5</xdr:col>
      <xdr:colOff>438150</xdr:colOff>
      <xdr:row>25</xdr:row>
      <xdr:rowOff>36197</xdr:rowOff>
    </xdr:from>
    <xdr:to>
      <xdr:col>11</xdr:col>
      <xdr:colOff>411488</xdr:colOff>
      <xdr:row>32</xdr:row>
      <xdr:rowOff>25400</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222750" y="4531997"/>
          <a:ext cx="3821438" cy="1106803"/>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total CV. If you're lucky, sometimes authors will publish the total CV directly. </a:t>
          </a:r>
        </a:p>
        <a:p>
          <a:pPr algn="l" rtl="1">
            <a:defRPr sz="1000"/>
          </a:pPr>
          <a:r>
            <a:rPr lang="en-US" sz="1000" b="0" i="0" strike="noStrike">
              <a:solidFill>
                <a:srgbClr val="000000"/>
              </a:solidFill>
              <a:latin typeface="Arial"/>
              <a:cs typeface="Arial"/>
            </a:rPr>
            <a:t>If</a:t>
          </a:r>
          <a:r>
            <a:rPr lang="en-US" sz="1000" b="0" i="0" strike="noStrike" baseline="0">
              <a:solidFill>
                <a:srgbClr val="000000"/>
              </a:solidFill>
              <a:latin typeface="Arial"/>
              <a:cs typeface="Arial"/>
            </a:rPr>
            <a:t> the InterCV and IntraCV are published or you have these resolved from a crossover or replicate, use the </a:t>
          </a:r>
          <a:r>
            <a:rPr lang="en-US" sz="1000" b="1" i="0" strike="noStrike" baseline="0">
              <a:solidFill>
                <a:srgbClr val="000000"/>
              </a:solidFill>
              <a:latin typeface="Arial"/>
              <a:cs typeface="Arial"/>
            </a:rPr>
            <a:t>calculator</a:t>
          </a:r>
          <a:r>
            <a:rPr lang="en-US" sz="1000" b="0" i="0" strike="noStrike" baseline="0">
              <a:solidFill>
                <a:srgbClr val="000000"/>
              </a:solidFill>
              <a:latin typeface="Arial"/>
              <a:cs typeface="Arial"/>
            </a:rPr>
            <a:t> at cell N17 to calculate the total CV.</a:t>
          </a:r>
          <a:endParaRPr lang="en-US" sz="1000" b="0" i="0" strike="noStrike">
            <a:solidFill>
              <a:srgbClr val="000000"/>
            </a:solidFill>
            <a:latin typeface="Arial"/>
            <a:cs typeface="Arial"/>
          </a:endParaRPr>
        </a:p>
      </xdr:txBody>
    </xdr:sp>
    <xdr:clientData/>
  </xdr:twoCellAnchor>
  <xdr:twoCellAnchor editAs="oneCell">
    <xdr:from>
      <xdr:col>12</xdr:col>
      <xdr:colOff>571500</xdr:colOff>
      <xdr:row>5</xdr:row>
      <xdr:rowOff>12700</xdr:rowOff>
    </xdr:from>
    <xdr:to>
      <xdr:col>16</xdr:col>
      <xdr:colOff>408132</xdr:colOff>
      <xdr:row>10</xdr:row>
      <xdr:rowOff>177800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t="1" b="41857"/>
        <a:stretch/>
      </xdr:blipFill>
      <xdr:spPr>
        <a:xfrm>
          <a:off x="8845550" y="1054100"/>
          <a:ext cx="2402032" cy="1035050"/>
        </a:xfrm>
        <a:prstGeom prst="rect">
          <a:avLst/>
        </a:prstGeom>
      </xdr:spPr>
    </xdr:pic>
    <xdr:clientData/>
  </xdr:twoCellAnchor>
  <xdr:twoCellAnchor>
    <xdr:from>
      <xdr:col>3</xdr:col>
      <xdr:colOff>603250</xdr:colOff>
      <xdr:row>50</xdr:row>
      <xdr:rowOff>0</xdr:rowOff>
    </xdr:from>
    <xdr:to>
      <xdr:col>6</xdr:col>
      <xdr:colOff>184150</xdr:colOff>
      <xdr:row>50</xdr:row>
      <xdr:rowOff>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05150" y="86042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152400</xdr:rowOff>
    </xdr:from>
    <xdr:to>
      <xdr:col>2</xdr:col>
      <xdr:colOff>495300</xdr:colOff>
      <xdr:row>52</xdr:row>
      <xdr:rowOff>152400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907415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6350</xdr:colOff>
      <xdr:row>20</xdr:row>
      <xdr:rowOff>69850</xdr:rowOff>
    </xdr:from>
    <xdr:to>
      <xdr:col>13</xdr:col>
      <xdr:colOff>558800</xdr:colOff>
      <xdr:row>29</xdr:row>
      <xdr:rowOff>44450</xdr:rowOff>
    </xdr:to>
    <xdr:sp macro="" textlink="">
      <xdr:nvSpPr>
        <xdr:cNvPr id="23" name="Line 25">
          <a:extLst>
            <a:ext uri="{FF2B5EF4-FFF2-40B4-BE49-F238E27FC236}">
              <a16:creationId xmlns:a16="http://schemas.microsoft.com/office/drawing/2014/main" id="{00000000-0008-0000-0700-000017000000}"/>
            </a:ext>
          </a:extLst>
        </xdr:cNvPr>
        <xdr:cNvSpPr>
          <a:spLocks noChangeShapeType="1"/>
        </xdr:cNvSpPr>
      </xdr:nvSpPr>
      <xdr:spPr bwMode="auto">
        <a:xfrm flipV="1">
          <a:off x="7639050" y="3733800"/>
          <a:ext cx="1835150" cy="1409700"/>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editAs="oneCell">
    <xdr:from>
      <xdr:col>13</xdr:col>
      <xdr:colOff>31750</xdr:colOff>
      <xdr:row>11</xdr:row>
      <xdr:rowOff>17083</xdr:rowOff>
    </xdr:from>
    <xdr:to>
      <xdr:col>14</xdr:col>
      <xdr:colOff>514350</xdr:colOff>
      <xdr:row>11</xdr:row>
      <xdr:rowOff>189086</xdr:rowOff>
    </xdr:to>
    <xdr:pic>
      <xdr:nvPicPr>
        <xdr:cNvPr id="4" name="Picture 3">
          <a:extLst>
            <a:ext uri="{FF2B5EF4-FFF2-40B4-BE49-F238E27FC236}">
              <a16:creationId xmlns:a16="http://schemas.microsoft.com/office/drawing/2014/main" id="{00000000-0008-0000-0700-000004000000}"/>
            </a:ext>
          </a:extLst>
        </xdr:cNvPr>
        <xdr:cNvPicPr>
          <a:picLocks noChangeAspect="1"/>
        </xdr:cNvPicPr>
      </xdr:nvPicPr>
      <xdr:blipFill>
        <a:blip xmlns:r="http://schemas.openxmlformats.org/officeDocument/2006/relationships" r:embed="rId8"/>
        <a:stretch>
          <a:fillRect/>
        </a:stretch>
      </xdr:blipFill>
      <xdr:spPr>
        <a:xfrm>
          <a:off x="8947150" y="2131633"/>
          <a:ext cx="1123950" cy="172003"/>
        </a:xfrm>
        <a:prstGeom prst="rect">
          <a:avLst/>
        </a:prstGeom>
      </xdr:spPr>
    </xdr:pic>
    <xdr:clientData/>
  </xdr:twoCellAnchor>
  <xdr:twoCellAnchor editAs="oneCell">
    <xdr:from>
      <xdr:col>12</xdr:col>
      <xdr:colOff>603251</xdr:colOff>
      <xdr:row>12</xdr:row>
      <xdr:rowOff>70690</xdr:rowOff>
    </xdr:from>
    <xdr:to>
      <xdr:col>15</xdr:col>
      <xdr:colOff>120651</xdr:colOff>
      <xdr:row>13</xdr:row>
      <xdr:rowOff>89179</xdr:rowOff>
    </xdr:to>
    <xdr:pic>
      <xdr:nvPicPr>
        <xdr:cNvPr id="8" name="Picture 7">
          <a:extLst>
            <a:ext uri="{FF2B5EF4-FFF2-40B4-BE49-F238E27FC236}">
              <a16:creationId xmlns:a16="http://schemas.microsoft.com/office/drawing/2014/main" id="{00000000-0008-0000-0700-000008000000}"/>
            </a:ext>
          </a:extLst>
        </xdr:cNvPr>
        <xdr:cNvPicPr>
          <a:picLocks noChangeAspect="1"/>
        </xdr:cNvPicPr>
      </xdr:nvPicPr>
      <xdr:blipFill>
        <a:blip xmlns:r="http://schemas.openxmlformats.org/officeDocument/2006/relationships" r:embed="rId9"/>
        <a:stretch>
          <a:fillRect/>
        </a:stretch>
      </xdr:blipFill>
      <xdr:spPr>
        <a:xfrm>
          <a:off x="8877301" y="2382090"/>
          <a:ext cx="1441450" cy="21533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352425</xdr:colOff>
          <xdr:row>6</xdr:row>
          <xdr:rowOff>66675</xdr:rowOff>
        </xdr:from>
        <xdr:to>
          <xdr:col>11</xdr:col>
          <xdr:colOff>504825</xdr:colOff>
          <xdr:row>7</xdr:row>
          <xdr:rowOff>104775</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7</xdr:row>
          <xdr:rowOff>104775</xdr:rowOff>
        </xdr:from>
        <xdr:to>
          <xdr:col>11</xdr:col>
          <xdr:colOff>504825</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352425</xdr:colOff>
          <xdr:row>8</xdr:row>
          <xdr:rowOff>152400</xdr:rowOff>
        </xdr:from>
        <xdr:to>
          <xdr:col>11</xdr:col>
          <xdr:colOff>504825</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xdr:from>
      <xdr:col>12</xdr:col>
      <xdr:colOff>38100</xdr:colOff>
      <xdr:row>6</xdr:row>
      <xdr:rowOff>0</xdr:rowOff>
    </xdr:from>
    <xdr:to>
      <xdr:col>19</xdr:col>
      <xdr:colOff>506831</xdr:colOff>
      <xdr:row>31</xdr:row>
      <xdr:rowOff>152400</xdr:rowOff>
    </xdr:to>
    <xdr:sp macro="" textlink="">
      <xdr:nvSpPr>
        <xdr:cNvPr id="17" name="TextBox 16">
          <a:extLst>
            <a:ext uri="{FF2B5EF4-FFF2-40B4-BE49-F238E27FC236}">
              <a16:creationId xmlns:a16="http://schemas.microsoft.com/office/drawing/2014/main" id="{00000000-0008-0000-0800-000011000000}"/>
            </a:ext>
          </a:extLst>
        </xdr:cNvPr>
        <xdr:cNvSpPr txBox="1"/>
      </xdr:nvSpPr>
      <xdr:spPr>
        <a:xfrm>
          <a:off x="7905750" y="1276350"/>
          <a:ext cx="4735931" cy="4276725"/>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defTabSz="914400" eaLnBrk="1" fontAlgn="auto" latinLnBrk="0" hangingPunct="1">
            <a:lnSpc>
              <a:spcPct val="100000"/>
            </a:lnSpc>
            <a:spcBef>
              <a:spcPts val="0"/>
            </a:spcBef>
            <a:spcAft>
              <a:spcPts val="0"/>
            </a:spcAft>
            <a:buClrTx/>
            <a:buSzTx/>
            <a:buFontTx/>
            <a:buNone/>
            <a:tabLst/>
            <a:defRPr/>
          </a:pPr>
          <a:r>
            <a:rPr lang="en-CA" sz="1000"/>
            <a:t>Note: </a:t>
          </a:r>
          <a:r>
            <a:rPr lang="en-CA" sz="1000" b="1"/>
            <a:t>For</a:t>
          </a:r>
          <a:r>
            <a:rPr lang="en-CA" sz="1000" b="1" baseline="0"/>
            <a:t> Average Bioequivalence Sample Size that should be equivalent to this routine, </a:t>
          </a:r>
          <a:r>
            <a:rPr lang="en-CA" sz="1000" baseline="0">
              <a:solidFill>
                <a:schemeClr val="dk1"/>
              </a:solidFill>
              <a:effectLst/>
              <a:latin typeface="+mn-lt"/>
              <a:ea typeface="+mn-ea"/>
              <a:cs typeface="+mn-cs"/>
            </a:rPr>
            <a:t>install the PowerTOST library in R-Project, and use the following commands: (e.g.)</a:t>
          </a:r>
          <a:endParaRPr lang="en-CA" sz="1000" baseline="0"/>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sampleN.TOST(</a:t>
          </a:r>
        </a:p>
        <a:p>
          <a:r>
            <a:rPr lang="en-CA" sz="1000" baseline="0">
              <a:solidFill>
                <a:srgbClr val="0070C0"/>
              </a:solidFill>
              <a:latin typeface="+mn-lt"/>
              <a:ea typeface="+mn-ea"/>
              <a:cs typeface="+mn-cs"/>
            </a:rPr>
            <a:t>  alpha = 0.05, </a:t>
          </a:r>
        </a:p>
        <a:p>
          <a:r>
            <a:rPr lang="en-CA" sz="1000" baseline="0">
              <a:solidFill>
                <a:srgbClr val="0070C0"/>
              </a:solidFill>
              <a:latin typeface="+mn-lt"/>
              <a:ea typeface="+mn-ea"/>
              <a:cs typeface="+mn-cs"/>
            </a:rPr>
            <a:t>  targetpower = 0.8, </a:t>
          </a:r>
        </a:p>
        <a:p>
          <a:r>
            <a:rPr lang="en-CA" sz="1000" baseline="0">
              <a:solidFill>
                <a:srgbClr val="0070C0"/>
              </a:solidFill>
              <a:latin typeface="+mn-lt"/>
              <a:ea typeface="+mn-ea"/>
              <a:cs typeface="+mn-cs"/>
            </a:rPr>
            <a:t>  logscale = TRUE,</a:t>
          </a:r>
        </a:p>
        <a:p>
          <a:r>
            <a:rPr lang="en-CA" sz="1000" baseline="0">
              <a:solidFill>
                <a:srgbClr val="0070C0"/>
              </a:solidFill>
              <a:latin typeface="+mn-lt"/>
              <a:ea typeface="+mn-ea"/>
              <a:cs typeface="+mn-cs"/>
            </a:rPr>
            <a:t>  theta0=0.95,  # Replace this desired T/R ratio of PK parameter, if available</a:t>
          </a:r>
        </a:p>
        <a:p>
          <a:r>
            <a:rPr lang="en-CA" sz="1000" baseline="0">
              <a:solidFill>
                <a:srgbClr val="0070C0"/>
              </a:solidFill>
              <a:latin typeface="+mn-lt"/>
              <a:ea typeface="+mn-ea"/>
              <a:cs typeface="+mn-cs"/>
            </a:rPr>
            <a:t>  theta1=0.8,</a:t>
          </a:r>
        </a:p>
        <a:p>
          <a:r>
            <a:rPr lang="en-CA" sz="1000" baseline="0">
              <a:solidFill>
                <a:srgbClr val="0070C0"/>
              </a:solidFill>
              <a:latin typeface="+mn-lt"/>
              <a:ea typeface="+mn-ea"/>
              <a:cs typeface="+mn-cs"/>
            </a:rPr>
            <a:t>  theta2=1.25,</a:t>
          </a:r>
        </a:p>
        <a:p>
          <a:r>
            <a:rPr lang="en-CA" sz="1000" baseline="0">
              <a:solidFill>
                <a:srgbClr val="0070C0"/>
              </a:solidFill>
              <a:latin typeface="+mn-lt"/>
              <a:ea typeface="+mn-ea"/>
              <a:cs typeface="+mn-cs"/>
            </a:rPr>
            <a:t>  CV=IntraCV,  # Replace IntraCV with the actual number (in decimal, not %)  </a:t>
          </a:r>
        </a:p>
        <a:p>
          <a:r>
            <a:rPr lang="en-CA" sz="1000" baseline="0">
              <a:solidFill>
                <a:srgbClr val="0070C0"/>
              </a:solidFill>
              <a:latin typeface="+mn-lt"/>
              <a:ea typeface="+mn-ea"/>
              <a:cs typeface="+mn-cs"/>
            </a:rPr>
            <a:t>  design = "2x2",</a:t>
          </a:r>
        </a:p>
        <a:p>
          <a:r>
            <a:rPr lang="en-CA" sz="1000" baseline="0">
              <a:solidFill>
                <a:srgbClr val="0070C0"/>
              </a:solidFill>
              <a:latin typeface="+mn-lt"/>
              <a:ea typeface="+mn-ea"/>
              <a:cs typeface="+mn-cs"/>
            </a:rPr>
            <a:t>  method = "exact",</a:t>
          </a:r>
        </a:p>
        <a:p>
          <a:r>
            <a:rPr lang="en-CA" sz="1000" baseline="0">
              <a:solidFill>
                <a:srgbClr val="0070C0"/>
              </a:solidFill>
              <a:latin typeface="+mn-lt"/>
              <a:ea typeface="+mn-ea"/>
              <a:cs typeface="+mn-cs"/>
            </a:rPr>
            <a:t>  robust = FALSE,</a:t>
          </a:r>
        </a:p>
        <a:p>
          <a:r>
            <a:rPr lang="en-CA" sz="1000" baseline="0">
              <a:solidFill>
                <a:srgbClr val="0070C0"/>
              </a:solidFill>
              <a:latin typeface="+mn-lt"/>
              <a:ea typeface="+mn-ea"/>
              <a:cs typeface="+mn-cs"/>
            </a:rPr>
            <a:t>  print = FALSE,</a:t>
          </a:r>
        </a:p>
        <a:p>
          <a:r>
            <a:rPr lang="en-CA" sz="1000" baseline="0">
              <a:solidFill>
                <a:srgbClr val="0070C0"/>
              </a:solidFill>
              <a:latin typeface="+mn-lt"/>
              <a:ea typeface="+mn-ea"/>
              <a:cs typeface="+mn-cs"/>
            </a:rPr>
            <a:t>  details = FALSE,</a:t>
          </a:r>
        </a:p>
        <a:p>
          <a:r>
            <a:rPr lang="en-CA" sz="1000" baseline="0">
              <a:solidFill>
                <a:srgbClr val="0070C0"/>
              </a:solidFill>
              <a:latin typeface="+mn-lt"/>
              <a:ea typeface="+mn-ea"/>
              <a:cs typeface="+mn-cs"/>
            </a:rPr>
            <a:t>  imax=100</a:t>
          </a:r>
        </a:p>
        <a:p>
          <a:r>
            <a:rPr lang="en-CA" sz="1000" baseline="0">
              <a:solidFill>
                <a:srgbClr val="0070C0"/>
              </a:solidFill>
              <a:latin typeface="+mn-lt"/>
              <a:ea typeface="+mn-ea"/>
              <a:cs typeface="+mn-cs"/>
            </a:rPr>
            <a:t>)</a:t>
          </a:r>
        </a:p>
        <a:p>
          <a:r>
            <a:rPr lang="en-CA" sz="1000" b="1" baseline="0">
              <a:solidFill>
                <a:schemeClr val="dk1"/>
              </a:solidFill>
              <a:effectLst/>
              <a:latin typeface="+mn-lt"/>
              <a:ea typeface="+mn-ea"/>
              <a:cs typeface="+mn-cs"/>
            </a:rPr>
            <a:t>For more information and updates consult:</a:t>
          </a:r>
          <a:endParaRPr lang="en-CA" sz="1000" b="1">
            <a:effectLst/>
          </a:endParaRPr>
        </a:p>
        <a:p>
          <a:r>
            <a:rPr lang="en-CA" sz="1000" b="0" i="0">
              <a:solidFill>
                <a:schemeClr val="dk1"/>
              </a:solidFill>
              <a:effectLst/>
              <a:latin typeface="+mn-lt"/>
              <a:ea typeface="+mn-ea"/>
              <a:cs typeface="+mn-cs"/>
            </a:rPr>
            <a:t>https://CRAN.R-project.org/package=PowerTOST</a:t>
          </a:r>
          <a:endParaRPr lang="en-CA" sz="1000">
            <a:effectLst/>
          </a:endParaRPr>
        </a:p>
        <a:p>
          <a:r>
            <a:rPr lang="en-CA" sz="1000">
              <a:solidFill>
                <a:schemeClr val="dk1"/>
              </a:solidFill>
              <a:effectLst/>
              <a:latin typeface="+mn-lt"/>
              <a:ea typeface="+mn-ea"/>
              <a:cs typeface="+mn-cs"/>
            </a:rPr>
            <a:t>for more details.</a:t>
          </a:r>
          <a:endParaRPr lang="en-CA" sz="1000">
            <a:effectLst/>
          </a:endParaRPr>
        </a:p>
        <a:p>
          <a:r>
            <a:rPr lang="en-CA" sz="10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000" baseline="0">
              <a:solidFill>
                <a:schemeClr val="dk1"/>
              </a:solidFill>
              <a:effectLst/>
              <a:latin typeface="+mn-lt"/>
              <a:ea typeface="+mn-ea"/>
              <a:cs typeface="+mn-cs"/>
            </a:rPr>
            <a:t>https://github.com/Detlew/PowerTOST</a:t>
          </a:r>
        </a:p>
        <a:p>
          <a:endParaRPr lang="en-CA" sz="1000">
            <a:effectLst/>
          </a:endParaRPr>
        </a:p>
        <a:p>
          <a:r>
            <a:rPr lang="en-CA" sz="1000">
              <a:solidFill>
                <a:schemeClr val="dk1"/>
              </a:solidFill>
              <a:effectLst/>
              <a:latin typeface="+mn-lt"/>
              <a:ea typeface="+mn-ea"/>
              <a:cs typeface="+mn-cs"/>
            </a:rPr>
            <a:t>With</a:t>
          </a:r>
          <a:r>
            <a:rPr lang="en-CA" sz="1000" baseline="0">
              <a:solidFill>
                <a:schemeClr val="dk1"/>
              </a:solidFill>
              <a:effectLst/>
              <a:latin typeface="+mn-lt"/>
              <a:ea typeface="+mn-ea"/>
              <a:cs typeface="+mn-cs"/>
            </a:rPr>
            <a:t> warm regards and thanks to Helmut Sch</a:t>
          </a:r>
          <a:r>
            <a:rPr lang="en-CA" sz="1000" b="0" i="0">
              <a:solidFill>
                <a:schemeClr val="dk1"/>
              </a:solidFill>
              <a:effectLst/>
              <a:latin typeface="+mn-lt"/>
              <a:ea typeface="+mn-ea"/>
              <a:cs typeface="+mn-cs"/>
            </a:rPr>
            <a:t>üt</a:t>
          </a:r>
          <a:r>
            <a:rPr lang="en-CA" sz="1000" baseline="0">
              <a:solidFill>
                <a:schemeClr val="dk1"/>
              </a:solidFill>
              <a:effectLst/>
              <a:latin typeface="+mn-lt"/>
              <a:ea typeface="+mn-ea"/>
              <a:cs typeface="+mn-cs"/>
            </a:rPr>
            <a:t>z!</a:t>
          </a:r>
          <a:endParaRPr lang="en-CA" sz="1000"/>
        </a:p>
      </xdr:txBody>
    </xdr:sp>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xmlns="">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104775</xdr:colOff>
          <xdr:row>23</xdr:row>
          <xdr:rowOff>0</xdr:rowOff>
        </xdr:from>
        <xdr:to>
          <xdr:col>2</xdr:col>
          <xdr:colOff>0</xdr:colOff>
          <xdr:row>24</xdr:row>
          <xdr:rowOff>85725</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485775</xdr:colOff>
          <xdr:row>23</xdr:row>
          <xdr:rowOff>0</xdr:rowOff>
        </xdr:from>
        <xdr:to>
          <xdr:col>5</xdr:col>
          <xdr:colOff>104775</xdr:colOff>
          <xdr:row>24</xdr:row>
          <xdr:rowOff>85725</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23</xdr:row>
          <xdr:rowOff>0</xdr:rowOff>
        </xdr:from>
        <xdr:to>
          <xdr:col>9</xdr:col>
          <xdr:colOff>104775</xdr:colOff>
          <xdr:row>24</xdr:row>
          <xdr:rowOff>85725</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66675</xdr:colOff>
          <xdr:row>23</xdr:row>
          <xdr:rowOff>0</xdr:rowOff>
        </xdr:from>
        <xdr:to>
          <xdr:col>3</xdr:col>
          <xdr:colOff>409575</xdr:colOff>
          <xdr:row>24</xdr:row>
          <xdr:rowOff>85725</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333375</xdr:colOff>
          <xdr:row>6</xdr:row>
          <xdr:rowOff>85725</xdr:rowOff>
        </xdr:from>
        <xdr:to>
          <xdr:col>11</xdr:col>
          <xdr:colOff>485775</xdr:colOff>
          <xdr:row>7</xdr:row>
          <xdr:rowOff>123825</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7</xdr:row>
          <xdr:rowOff>123825</xdr:rowOff>
        </xdr:from>
        <xdr:to>
          <xdr:col>11</xdr:col>
          <xdr:colOff>485775</xdr:colOff>
          <xdr:row>9</xdr:row>
          <xdr:rowOff>28575</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333375</xdr:colOff>
          <xdr:row>9</xdr:row>
          <xdr:rowOff>28575</xdr:rowOff>
        </xdr:from>
        <xdr:to>
          <xdr:col>11</xdr:col>
          <xdr:colOff>485775</xdr:colOff>
          <xdr:row>10</xdr:row>
          <xdr:rowOff>28575</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27432" tIns="18288" rIns="0" bIns="18288"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409575</xdr:colOff>
          <xdr:row>2</xdr:row>
          <xdr:rowOff>28575</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6</xdr:row>
      <xdr:rowOff>3176</xdr:rowOff>
    </xdr:from>
    <xdr:to>
      <xdr:col>19</xdr:col>
      <xdr:colOff>601580</xdr:colOff>
      <xdr:row>58</xdr:row>
      <xdr:rowOff>40105</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421938" y="1246439"/>
          <a:ext cx="4946484" cy="8626140"/>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 (in decimal, not %)</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(as a decimal)</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effectLst/>
              <a:latin typeface="+mn-lt"/>
              <a:ea typeface="+mn-ea"/>
              <a:cs typeface="+mn-cs"/>
            </a:rPr>
            <a:t>   theta0 = 0.90,         # Test/Reference Ratio</a:t>
          </a:r>
          <a:endParaRPr lang="en-CA" sz="1000" baseline="0">
            <a:solidFill>
              <a:srgbClr val="0070C0"/>
            </a:solidFill>
            <a:latin typeface="+mn-lt"/>
            <a:ea typeface="+mn-ea"/>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28575</xdr:colOff>
          <xdr:row>30</xdr:row>
          <xdr:rowOff>38100</xdr:rowOff>
        </xdr:from>
        <xdr:to>
          <xdr:col>5</xdr:col>
          <xdr:colOff>114300</xdr:colOff>
          <xdr:row>33</xdr:row>
          <xdr:rowOff>142875</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104775</xdr:colOff>
          <xdr:row>21</xdr:row>
          <xdr:rowOff>76200</xdr:rowOff>
        </xdr:from>
        <xdr:to>
          <xdr:col>2</xdr:col>
          <xdr:colOff>523875</xdr:colOff>
          <xdr:row>23</xdr:row>
          <xdr:rowOff>28575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xmlns="">
              <a:solidFill>
                <a:srgbClr val="FFFFFF"/>
              </a:solidFill>
            </a14:hiddenFill>
          </a:ext>
          <a:ext uri="{91240B29-F687-4f45-9708-019B960494DF}">
            <a14:hiddenLine xmlns:a14="http://schemas.microsoft.com/office/drawing/2010/main" xmlns=""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10" Type="http://schemas.openxmlformats.org/officeDocument/2006/relationships/drawing" Target="../drawings/drawing1.xml"/><Relationship Id="rId4" Type="http://schemas.openxmlformats.org/officeDocument/2006/relationships/hyperlink" Target="http://www.fda.gov/ohrms/dockets/ac/06/slides/2006-4241s2_3.ppt" TargetMode="External"/><Relationship Id="rId9" Type="http://schemas.openxmlformats.org/officeDocument/2006/relationships/hyperlink" Target="https://bebac.at/articles/Sample-Size-Estimation-for-Equivalence-Studies-in-a-Parallel-Design.htm" TargetMode="Externa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ctrlProp" Target="../ctrlProps/ctrlProp6.xml"/><Relationship Id="rId7" Type="http://schemas.openxmlformats.org/officeDocument/2006/relationships/ctrlProp" Target="../ctrlProps/ctrlProp10.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9.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4.xml.rels><?xml version="1.0" encoding="UTF-8" standalone="yes"?>
<Relationships xmlns="http://schemas.openxmlformats.org/package/2006/relationships"><Relationship Id="rId8" Type="http://schemas.openxmlformats.org/officeDocument/2006/relationships/comments" Target="../comments3.xml"/><Relationship Id="rId3" Type="http://schemas.openxmlformats.org/officeDocument/2006/relationships/ctrlProp" Target="../ctrlProps/ctrlProp11.xml"/><Relationship Id="rId7" Type="http://schemas.openxmlformats.org/officeDocument/2006/relationships/ctrlProp" Target="../ctrlProps/ctrlProp15.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4.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6.xml"/><Relationship Id="rId3" Type="http://schemas.openxmlformats.org/officeDocument/2006/relationships/ctrlProp" Target="../ctrlProps/ctrlProp31.xml"/><Relationship Id="rId7" Type="http://schemas.openxmlformats.org/officeDocument/2006/relationships/ctrlProp" Target="../ctrlProps/ctrlProp35.xml"/><Relationship Id="rId2" Type="http://schemas.openxmlformats.org/officeDocument/2006/relationships/vmlDrawing" Target="../drawings/vmlDrawing7.vml"/><Relationship Id="rId1" Type="http://schemas.openxmlformats.org/officeDocument/2006/relationships/drawing" Target="../drawings/drawing8.xml"/><Relationship Id="rId6" Type="http://schemas.openxmlformats.org/officeDocument/2006/relationships/ctrlProp" Target="../ctrlProps/ctrlProp34.xml"/><Relationship Id="rId5" Type="http://schemas.openxmlformats.org/officeDocument/2006/relationships/ctrlProp" Target="../ctrlProps/ctrlProp33.xml"/><Relationship Id="rId10" Type="http://schemas.openxmlformats.org/officeDocument/2006/relationships/comments" Target="../comments7.xml"/><Relationship Id="rId4" Type="http://schemas.openxmlformats.org/officeDocument/2006/relationships/ctrlProp" Target="../ctrlProps/ctrlProp32.xml"/><Relationship Id="rId9" Type="http://schemas.openxmlformats.org/officeDocument/2006/relationships/ctrlProp" Target="../ctrlProps/ctrlProp37.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50.xml"/><Relationship Id="rId3" Type="http://schemas.openxmlformats.org/officeDocument/2006/relationships/ctrlProp" Target="../ctrlProps/ctrlProp45.xml"/><Relationship Id="rId7" Type="http://schemas.openxmlformats.org/officeDocument/2006/relationships/ctrlProp" Target="../ctrlProps/ctrlProp49.xml"/><Relationship Id="rId2" Type="http://schemas.openxmlformats.org/officeDocument/2006/relationships/vmlDrawing" Target="../drawings/vmlDrawing9.vml"/><Relationship Id="rId1" Type="http://schemas.openxmlformats.org/officeDocument/2006/relationships/drawing" Target="../drawings/drawing10.xml"/><Relationship Id="rId6" Type="http://schemas.openxmlformats.org/officeDocument/2006/relationships/ctrlProp" Target="../ctrlProps/ctrlProp48.xml"/><Relationship Id="rId11" Type="http://schemas.openxmlformats.org/officeDocument/2006/relationships/comments" Target="../comments9.xml"/><Relationship Id="rId5" Type="http://schemas.openxmlformats.org/officeDocument/2006/relationships/ctrlProp" Target="../ctrlProps/ctrlProp47.xml"/><Relationship Id="rId10" Type="http://schemas.openxmlformats.org/officeDocument/2006/relationships/ctrlProp" Target="../ctrlProps/ctrlProp52.xml"/><Relationship Id="rId4" Type="http://schemas.openxmlformats.org/officeDocument/2006/relationships/ctrlProp" Target="../ctrlProps/ctrlProp46.xml"/><Relationship Id="rId9" Type="http://schemas.openxmlformats.org/officeDocument/2006/relationships/ctrlProp" Target="../ctrlProps/ctrlProp51.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5.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5"/>
  <sheetViews>
    <sheetView tabSelected="1" zoomScale="115" zoomScaleNormal="115" zoomScalePageLayoutView="115" workbookViewId="0">
      <selection activeCell="C9" sqref="C9"/>
    </sheetView>
  </sheetViews>
  <sheetFormatPr defaultColWidth="9.140625" defaultRowHeight="12.75"/>
  <cols>
    <col min="1" max="1" width="5.140625" style="65" customWidth="1"/>
    <col min="2" max="2" width="10.42578125" style="65" customWidth="1"/>
    <col min="3" max="16384" width="9.140625" style="65"/>
  </cols>
  <sheetData>
    <row r="2" spans="2:9" ht="20.25">
      <c r="C2" s="66" t="s">
        <v>242</v>
      </c>
      <c r="I2" s="67" t="s">
        <v>241</v>
      </c>
    </row>
    <row r="3" spans="2:9" ht="20.25">
      <c r="C3" s="66" t="s">
        <v>243</v>
      </c>
    </row>
    <row r="4" spans="2:9">
      <c r="B4" s="68" t="s">
        <v>80</v>
      </c>
    </row>
    <row r="6" spans="2:9">
      <c r="B6" s="69" t="s">
        <v>249</v>
      </c>
    </row>
    <row r="8" spans="2:9">
      <c r="B8" s="70"/>
    </row>
    <row r="9" spans="2:9">
      <c r="B9" s="71"/>
    </row>
    <row r="10" spans="2:9">
      <c r="B10" s="72"/>
    </row>
    <row r="11" spans="2:9">
      <c r="B11" s="72"/>
    </row>
    <row r="12" spans="2:9">
      <c r="B12" s="72"/>
    </row>
    <row r="28" spans="2:9">
      <c r="B28" s="73" t="s">
        <v>89</v>
      </c>
    </row>
    <row r="29" spans="2:9">
      <c r="B29" s="74" t="s">
        <v>196</v>
      </c>
    </row>
    <row r="30" spans="2:9" ht="22.5" customHeight="1">
      <c r="B30" s="77" t="s">
        <v>130</v>
      </c>
      <c r="C30" s="77"/>
      <c r="D30" s="77"/>
      <c r="E30" s="77"/>
      <c r="F30" s="77"/>
      <c r="G30" s="77"/>
      <c r="H30" s="77"/>
      <c r="I30" s="77"/>
    </row>
    <row r="31" spans="2:9">
      <c r="B31" s="75" t="s">
        <v>144</v>
      </c>
    </row>
    <row r="32" spans="2:9">
      <c r="B32" s="75" t="s">
        <v>147</v>
      </c>
    </row>
    <row r="33" spans="2:2">
      <c r="B33" s="75" t="s">
        <v>137</v>
      </c>
    </row>
    <row r="34" spans="2:2">
      <c r="B34" s="75" t="s">
        <v>136</v>
      </c>
    </row>
    <row r="35" spans="2:2">
      <c r="B35" s="75" t="s">
        <v>141</v>
      </c>
    </row>
    <row r="36" spans="2:2">
      <c r="B36" s="75" t="s">
        <v>178</v>
      </c>
    </row>
    <row r="37" spans="2:2">
      <c r="B37" s="75" t="s">
        <v>199</v>
      </c>
    </row>
    <row r="38" spans="2:2">
      <c r="B38" s="75" t="s">
        <v>244</v>
      </c>
    </row>
    <row r="40" spans="2:2">
      <c r="B40" s="74" t="s">
        <v>201</v>
      </c>
    </row>
    <row r="41" spans="2:2">
      <c r="B41" s="74" t="s">
        <v>202</v>
      </c>
    </row>
    <row r="42" spans="2:2">
      <c r="B42" s="74" t="s">
        <v>203</v>
      </c>
    </row>
    <row r="43" spans="2:2">
      <c r="B43" s="74" t="s">
        <v>131</v>
      </c>
    </row>
    <row r="44" spans="2:2">
      <c r="B44" s="74" t="s">
        <v>204</v>
      </c>
    </row>
    <row r="45" spans="2:2">
      <c r="B45" s="75" t="s">
        <v>195</v>
      </c>
    </row>
  </sheetData>
  <mergeCells count="1">
    <mergeCell ref="B30:I30"/>
  </mergeCells>
  <phoneticPr fontId="2" type="noConversion"/>
  <hyperlinks>
    <hyperlink ref="B45"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 ref="B38" r:id="rId9" location="fn9" xr:uid="{00000000-0004-0000-0000-000008000000}"/>
  </hyperlinks>
  <pageMargins left="0.75" right="0.75" top="1" bottom="1" header="0.5" footer="0.5"/>
  <pageSetup orientation="portrait" horizontalDpi="4294967293"/>
  <headerFooter alignWithMargins="0"/>
  <drawing r:id="rId10"/>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zoomScalePageLayoutView="96" workbookViewId="0">
      <selection activeCell="C2" sqref="C2"/>
    </sheetView>
  </sheetViews>
  <sheetFormatPr defaultColWidth="9.140625" defaultRowHeight="12.75"/>
  <cols>
    <col min="1" max="1" width="5.140625" style="1" customWidth="1"/>
    <col min="2" max="2" width="22.42578125" style="1" customWidth="1"/>
    <col min="3" max="20" width="9.140625" style="1"/>
    <col min="21" max="21" width="9.140625" style="51"/>
    <col min="22" max="23" width="12.28515625" style="51" bestFit="1" customWidth="1"/>
    <col min="24" max="32" width="9.140625" style="51"/>
    <col min="33" max="16384" width="9.140625" style="1"/>
  </cols>
  <sheetData>
    <row r="1" spans="2:31" ht="27" thickBot="1">
      <c r="B1" s="17" t="s">
        <v>68</v>
      </c>
      <c r="E1" s="9" t="s">
        <v>122</v>
      </c>
    </row>
    <row r="2" spans="2:31" ht="13.5" thickBot="1">
      <c r="B2" s="1" t="s">
        <v>1</v>
      </c>
      <c r="C2" s="2">
        <v>0.9</v>
      </c>
      <c r="D2" s="1" t="s">
        <v>21</v>
      </c>
    </row>
    <row r="3" spans="2:31" ht="16.5" thickBot="1">
      <c r="B3" s="1" t="s">
        <v>22</v>
      </c>
      <c r="C3" s="3">
        <v>1</v>
      </c>
      <c r="D3" s="1" t="s">
        <v>23</v>
      </c>
    </row>
    <row r="4" spans="2:31" ht="13.5" thickBot="1">
      <c r="B4" s="8" t="s">
        <v>59</v>
      </c>
      <c r="C4" s="18">
        <v>0.05</v>
      </c>
      <c r="D4" s="1" t="s">
        <v>67</v>
      </c>
    </row>
    <row r="5" spans="2:31" ht="13.5" thickBot="1">
      <c r="B5" s="8" t="s">
        <v>18</v>
      </c>
      <c r="C5" s="3">
        <v>40</v>
      </c>
      <c r="D5" s="1" t="s">
        <v>19</v>
      </c>
      <c r="U5" s="51" t="s">
        <v>56</v>
      </c>
    </row>
    <row r="6" spans="2:31" ht="16.5" thickBot="1">
      <c r="B6" s="1" t="s">
        <v>17</v>
      </c>
      <c r="C6" s="3">
        <v>8</v>
      </c>
      <c r="D6" s="1" t="s">
        <v>24</v>
      </c>
      <c r="U6" s="51">
        <v>2</v>
      </c>
    </row>
    <row r="7" spans="2:31" ht="13.5" thickBot="1">
      <c r="C7" s="4"/>
    </row>
    <row r="8" spans="2:31" ht="13.5" thickBot="1">
      <c r="B8" s="12" t="s">
        <v>118</v>
      </c>
      <c r="C8" s="11">
        <f>C6/C5</f>
        <v>0.2</v>
      </c>
    </row>
    <row r="10" spans="2:31">
      <c r="B10" s="8" t="s">
        <v>18</v>
      </c>
      <c r="C10" s="1">
        <f>C5</f>
        <v>40</v>
      </c>
      <c r="V10" s="51" t="s">
        <v>212</v>
      </c>
      <c r="W10" s="51" t="s">
        <v>210</v>
      </c>
      <c r="X10" s="51" t="s">
        <v>213</v>
      </c>
      <c r="Y10" s="51" t="s">
        <v>211</v>
      </c>
      <c r="AA10" s="51" t="s">
        <v>224</v>
      </c>
      <c r="AB10" s="51" t="s">
        <v>225</v>
      </c>
    </row>
    <row r="11" spans="2:31" ht="15.75">
      <c r="B11" s="1" t="s">
        <v>60</v>
      </c>
      <c r="C11" s="7">
        <v>3</v>
      </c>
      <c r="U11" s="51" t="s">
        <v>206</v>
      </c>
      <c r="V11" s="54">
        <f>4*C5</f>
        <v>160</v>
      </c>
      <c r="W11" s="51">
        <f>$C$5</f>
        <v>40</v>
      </c>
      <c r="X11" s="51">
        <f>W11/SQRT(C20)</f>
        <v>23.094010767585033</v>
      </c>
      <c r="Y11" s="51">
        <f>TINV($C$4*2,$C$20-1)*X11</f>
        <v>67.434178433881996</v>
      </c>
      <c r="AA11" s="51">
        <f>V12+4*W12</f>
        <v>328</v>
      </c>
      <c r="AB11" s="51">
        <f>AA11/33</f>
        <v>9.9393939393939394</v>
      </c>
    </row>
    <row r="12" spans="2:31" ht="15.75">
      <c r="B12" s="1" t="s">
        <v>61</v>
      </c>
      <c r="C12" s="1">
        <f>C11*(C3+1)-2</f>
        <v>4</v>
      </c>
      <c r="U12" s="51" t="s">
        <v>207</v>
      </c>
      <c r="V12" s="54">
        <f>V11+C6</f>
        <v>168</v>
      </c>
      <c r="W12" s="51">
        <f>$C$5</f>
        <v>40</v>
      </c>
      <c r="X12" s="51">
        <f>W12/SQRT(D20)</f>
        <v>23.094010767585033</v>
      </c>
      <c r="Y12" s="51">
        <f>TINV($C$4*2,$D$20-1)*X12</f>
        <v>67.434178433881996</v>
      </c>
    </row>
    <row r="13" spans="2:31" ht="15.75">
      <c r="B13" s="1" t="s">
        <v>62</v>
      </c>
      <c r="C13" s="1">
        <f>TINV(C4,C12)</f>
        <v>2.7764451051977934</v>
      </c>
      <c r="Y13" s="51" t="b">
        <v>1</v>
      </c>
      <c r="AC13" s="51" t="b">
        <v>0</v>
      </c>
    </row>
    <row r="14" spans="2:31">
      <c r="B14" s="1" t="s">
        <v>4</v>
      </c>
      <c r="C14" s="1">
        <f>SQRT((C3*C11*C6^2)/((C3+1)*C10^2))</f>
        <v>0.2449489742783178</v>
      </c>
      <c r="U14" s="51" t="s">
        <v>205</v>
      </c>
      <c r="V14" s="51" t="s">
        <v>208</v>
      </c>
      <c r="W14" s="51" t="s">
        <v>209</v>
      </c>
      <c r="Y14" s="54" t="s">
        <v>220</v>
      </c>
      <c r="AC14" s="54" t="s">
        <v>222</v>
      </c>
    </row>
    <row r="15" spans="2:31">
      <c r="U15" s="51">
        <v>0</v>
      </c>
      <c r="V15" s="51">
        <f>_xlfn.NORM.DIST($U15,$V$11,$C$5,FALSE)</f>
        <v>3.3457556441221339E-6</v>
      </c>
      <c r="W15" s="51">
        <f>_xlfn.NORM.DIST($U15,$V$12,$C$5,FALSE)</f>
        <v>1.4735766939134965E-6</v>
      </c>
      <c r="Y15" s="51" t="s">
        <v>217</v>
      </c>
      <c r="Z15" s="51" t="s">
        <v>214</v>
      </c>
      <c r="AA15" s="51" t="s">
        <v>215</v>
      </c>
      <c r="AC15" s="51" t="s">
        <v>217</v>
      </c>
      <c r="AD15" s="51" t="s">
        <v>214</v>
      </c>
      <c r="AE15" s="51" t="s">
        <v>215</v>
      </c>
    </row>
    <row r="16" spans="2:31">
      <c r="U16" s="51">
        <f>U15+$AB$11</f>
        <v>9.9393939393939394</v>
      </c>
      <c r="V16" s="51">
        <f t="shared" ref="V16:V47" si="0">_xlfn.NORM.DIST($U16,$V$11,$C$5,FALSE)</f>
        <v>8.7649394011783917E-6</v>
      </c>
      <c r="W16" s="51">
        <f t="shared" ref="W16:W47" si="1">_xlfn.NORM.DIST($U16,$V$12,$C$5,FALSE)</f>
        <v>4.0570518897450162E-6</v>
      </c>
      <c r="Y16" s="51" t="s">
        <v>216</v>
      </c>
      <c r="Z16" s="51">
        <f>$V$11-$W$11</f>
        <v>120</v>
      </c>
      <c r="AA16" s="51">
        <v>0</v>
      </c>
      <c r="AC16" s="51" t="s">
        <v>216</v>
      </c>
      <c r="AD16" s="51">
        <f>$V$11-$Y$11</f>
        <v>92.565821566118004</v>
      </c>
      <c r="AE16" s="51">
        <v>0</v>
      </c>
    </row>
    <row r="17" spans="2:31">
      <c r="B17" s="1" t="s">
        <v>6</v>
      </c>
      <c r="C17" s="1">
        <f>NCt(C13,C12,C14)</f>
        <v>0.96127583880847123</v>
      </c>
      <c r="U17" s="51">
        <f t="shared" ref="U17:U47" si="2">U16+$AB$11</f>
        <v>19.878787878787879</v>
      </c>
      <c r="V17" s="51">
        <f t="shared" si="0"/>
        <v>2.1586797882267536E-5</v>
      </c>
      <c r="W17" s="51">
        <f t="shared" si="1"/>
        <v>1.0501056362603924E-5</v>
      </c>
      <c r="Y17" s="51" t="s">
        <v>218</v>
      </c>
      <c r="Z17" s="51">
        <f>Z16</f>
        <v>120</v>
      </c>
      <c r="AA17" s="51">
        <f>IF(Y13,MAX($V$15:$V$47),0)</f>
        <v>9.9706267351264838E-3</v>
      </c>
      <c r="AC17" s="51" t="s">
        <v>218</v>
      </c>
      <c r="AD17" s="51">
        <f>AD16</f>
        <v>92.565821566118004</v>
      </c>
      <c r="AE17" s="51">
        <f>IF(AC13,MAX($V$15:$V$47),0)</f>
        <v>0</v>
      </c>
    </row>
    <row r="18" spans="2:31">
      <c r="B18" s="1" t="s">
        <v>58</v>
      </c>
      <c r="C18" s="1">
        <f>1-C17</f>
        <v>3.8724161191528772E-2</v>
      </c>
      <c r="E18" s="5"/>
      <c r="U18" s="51">
        <f t="shared" si="2"/>
        <v>29.81818181818182</v>
      </c>
      <c r="V18" s="51">
        <f t="shared" si="0"/>
        <v>4.9981828671086098E-5</v>
      </c>
      <c r="W18" s="51">
        <f t="shared" si="1"/>
        <v>2.5552890002204227E-5</v>
      </c>
      <c r="Y18" s="51" t="s">
        <v>219</v>
      </c>
      <c r="Z18" s="51" t="s">
        <v>214</v>
      </c>
      <c r="AA18" s="51" t="s">
        <v>215</v>
      </c>
      <c r="AC18" s="51" t="s">
        <v>219</v>
      </c>
      <c r="AD18" s="51" t="s">
        <v>214</v>
      </c>
      <c r="AE18" s="51" t="s">
        <v>215</v>
      </c>
    </row>
    <row r="19" spans="2:31" ht="14.25">
      <c r="C19" s="16" t="s">
        <v>63</v>
      </c>
      <c r="D19" s="16" t="s">
        <v>64</v>
      </c>
      <c r="E19" s="16" t="s">
        <v>66</v>
      </c>
      <c r="U19" s="51">
        <f t="shared" si="2"/>
        <v>39.757575757575758</v>
      </c>
      <c r="V19" s="51">
        <f t="shared" si="0"/>
        <v>1.0879793853904708E-4</v>
      </c>
      <c r="W19" s="51">
        <f t="shared" si="1"/>
        <v>5.8456346720510549E-5</v>
      </c>
      <c r="Y19" s="51" t="s">
        <v>216</v>
      </c>
      <c r="Z19" s="51">
        <f>$V$11+$W$11</f>
        <v>200</v>
      </c>
      <c r="AA19" s="51">
        <v>0</v>
      </c>
      <c r="AC19" s="51" t="s">
        <v>216</v>
      </c>
      <c r="AD19" s="51">
        <f>$V$11+$Y$11</f>
        <v>227.43417843388198</v>
      </c>
      <c r="AE19" s="51">
        <v>0</v>
      </c>
    </row>
    <row r="20" spans="2:31">
      <c r="B20" s="1" t="s">
        <v>11</v>
      </c>
      <c r="C20" s="1">
        <f>CEILING(C11,1)</f>
        <v>3</v>
      </c>
      <c r="D20" s="1">
        <f>C20*C3</f>
        <v>3</v>
      </c>
      <c r="E20" s="1">
        <f>C20+D20</f>
        <v>6</v>
      </c>
      <c r="U20" s="51">
        <f t="shared" si="2"/>
        <v>49.696969696969695</v>
      </c>
      <c r="V20" s="51">
        <f t="shared" si="0"/>
        <v>2.2264543783540088E-4</v>
      </c>
      <c r="W20" s="51">
        <f t="shared" si="1"/>
        <v>1.2572102811928031E-4</v>
      </c>
      <c r="Y20" s="51" t="s">
        <v>218</v>
      </c>
      <c r="Z20" s="51">
        <f>Z19</f>
        <v>200</v>
      </c>
      <c r="AA20" s="51">
        <f>AA17</f>
        <v>9.9706267351264838E-3</v>
      </c>
      <c r="AC20" s="51" t="s">
        <v>218</v>
      </c>
      <c r="AD20" s="51">
        <f>AD19</f>
        <v>227.43417843388198</v>
      </c>
      <c r="AE20" s="51">
        <f>AE17</f>
        <v>0</v>
      </c>
    </row>
    <row r="21" spans="2:31">
      <c r="U21" s="51">
        <f t="shared" si="2"/>
        <v>59.636363636363633</v>
      </c>
      <c r="V21" s="51">
        <f t="shared" si="0"/>
        <v>4.2834287111349645E-4</v>
      </c>
      <c r="W21" s="51">
        <f t="shared" si="1"/>
        <v>2.5419604341562314E-4</v>
      </c>
    </row>
    <row r="22" spans="2:31">
      <c r="U22" s="51">
        <f t="shared" si="2"/>
        <v>69.575757575757578</v>
      </c>
      <c r="V22" s="51">
        <f t="shared" si="0"/>
        <v>7.7473628189698312E-4</v>
      </c>
      <c r="W22" s="51">
        <f t="shared" si="1"/>
        <v>4.8318590587977155E-4</v>
      </c>
      <c r="Y22" s="54" t="s">
        <v>221</v>
      </c>
      <c r="AC22" s="54" t="s">
        <v>223</v>
      </c>
    </row>
    <row r="23" spans="2:31">
      <c r="U23" s="51">
        <f t="shared" si="2"/>
        <v>79.515151515151516</v>
      </c>
      <c r="V23" s="51">
        <f t="shared" si="0"/>
        <v>1.3173490285471054E-3</v>
      </c>
      <c r="W23" s="51">
        <f t="shared" si="1"/>
        <v>8.6346420391826431E-4</v>
      </c>
      <c r="Y23" s="51" t="s">
        <v>217</v>
      </c>
      <c r="Z23" s="51" t="s">
        <v>214</v>
      </c>
      <c r="AA23" s="51" t="s">
        <v>215</v>
      </c>
      <c r="AC23" s="51" t="s">
        <v>217</v>
      </c>
      <c r="AD23" s="51" t="s">
        <v>214</v>
      </c>
      <c r="AE23" s="51" t="s">
        <v>215</v>
      </c>
    </row>
    <row r="24" spans="2:31">
      <c r="U24" s="51">
        <f t="shared" si="2"/>
        <v>89.454545454545453</v>
      </c>
      <c r="V24" s="51">
        <f t="shared" si="0"/>
        <v>2.1058742047565713E-3</v>
      </c>
      <c r="W24" s="51">
        <f t="shared" si="1"/>
        <v>1.4506379241390895E-3</v>
      </c>
      <c r="Y24" s="51" t="s">
        <v>216</v>
      </c>
      <c r="Z24" s="51">
        <f>$V$12-$W$12</f>
        <v>128</v>
      </c>
      <c r="AA24" s="51">
        <v>0</v>
      </c>
      <c r="AC24" s="51" t="s">
        <v>216</v>
      </c>
      <c r="AD24" s="51">
        <f>$V$12-$Y$12</f>
        <v>100.565821566118</v>
      </c>
      <c r="AE24" s="51">
        <v>0</v>
      </c>
    </row>
    <row r="25" spans="2:31" ht="20.25" customHeight="1">
      <c r="B25" s="44" t="s">
        <v>229</v>
      </c>
      <c r="C25" s="1">
        <f>16*C5^2/C6^2</f>
        <v>400</v>
      </c>
      <c r="D25" s="44" t="s">
        <v>230</v>
      </c>
      <c r="U25" s="51">
        <f t="shared" si="2"/>
        <v>99.393939393939391</v>
      </c>
      <c r="V25" s="51">
        <f t="shared" si="0"/>
        <v>3.164817002251043E-3</v>
      </c>
      <c r="W25" s="51">
        <f t="shared" si="1"/>
        <v>2.2911753328812823E-3</v>
      </c>
      <c r="Y25" s="51" t="s">
        <v>218</v>
      </c>
      <c r="Z25" s="51">
        <f>Z24</f>
        <v>128</v>
      </c>
      <c r="AA25" s="51">
        <f>IF(Y13,MAX($W$15:$W$47),0)</f>
        <v>9.9706267351264838E-3</v>
      </c>
      <c r="AC25" s="51" t="s">
        <v>218</v>
      </c>
      <c r="AD25" s="51">
        <f>AD24</f>
        <v>100.565821566118</v>
      </c>
      <c r="AE25" s="51">
        <f>IF(AC13,MAX($W$15:$W$47),0)</f>
        <v>0</v>
      </c>
    </row>
    <row r="26" spans="2:31">
      <c r="U26" s="51">
        <f t="shared" si="2"/>
        <v>109.33333333333333</v>
      </c>
      <c r="V26" s="51">
        <f t="shared" si="0"/>
        <v>4.4714604123635123E-3</v>
      </c>
      <c r="W26" s="51">
        <f t="shared" si="1"/>
        <v>3.4020620603069508E-3</v>
      </c>
      <c r="Y26" s="51" t="s">
        <v>219</v>
      </c>
      <c r="Z26" s="51" t="s">
        <v>214</v>
      </c>
      <c r="AA26" s="51" t="s">
        <v>215</v>
      </c>
      <c r="AC26" s="51" t="s">
        <v>219</v>
      </c>
      <c r="AD26" s="51" t="s">
        <v>214</v>
      </c>
      <c r="AE26" s="51" t="s">
        <v>215</v>
      </c>
    </row>
    <row r="27" spans="2:31">
      <c r="U27" s="51">
        <f t="shared" si="2"/>
        <v>119.27272727272727</v>
      </c>
      <c r="V27" s="51">
        <f t="shared" si="0"/>
        <v>5.9392934840752573E-3</v>
      </c>
      <c r="W27" s="51">
        <f t="shared" si="1"/>
        <v>4.749093798530557E-3</v>
      </c>
      <c r="Y27" s="51" t="s">
        <v>216</v>
      </c>
      <c r="Z27" s="51">
        <f>$V$12+$W$12</f>
        <v>208</v>
      </c>
      <c r="AA27" s="51">
        <v>0</v>
      </c>
      <c r="AC27" s="51" t="s">
        <v>216</v>
      </c>
      <c r="AD27" s="51">
        <f>$V$12+$Y$12</f>
        <v>235.43417843388198</v>
      </c>
      <c r="AE27" s="51">
        <v>0</v>
      </c>
    </row>
    <row r="28" spans="2:31">
      <c r="U28" s="51">
        <f t="shared" si="2"/>
        <v>129.21212121212122</v>
      </c>
      <c r="V28" s="51">
        <f t="shared" si="0"/>
        <v>7.4165988722577278E-3</v>
      </c>
      <c r="W28" s="51">
        <f t="shared" si="1"/>
        <v>6.2325227407400525E-3</v>
      </c>
      <c r="Y28" s="51" t="s">
        <v>218</v>
      </c>
      <c r="Z28" s="51">
        <f>Z27</f>
        <v>208</v>
      </c>
      <c r="AA28" s="51">
        <f>AA25</f>
        <v>9.9706267351264838E-3</v>
      </c>
      <c r="AC28" s="51" t="s">
        <v>218</v>
      </c>
      <c r="AD28" s="51">
        <f>AD27</f>
        <v>235.43417843388198</v>
      </c>
      <c r="AE28" s="51">
        <f>AE25</f>
        <v>0</v>
      </c>
    </row>
    <row r="29" spans="2:31">
      <c r="U29" s="51">
        <f t="shared" si="2"/>
        <v>139.15151515151516</v>
      </c>
      <c r="V29" s="51">
        <f t="shared" si="0"/>
        <v>8.7068167558675656E-3</v>
      </c>
      <c r="W29" s="51">
        <f t="shared" si="1"/>
        <v>7.6895620381677134E-3</v>
      </c>
      <c r="Y29" s="51" t="b">
        <v>1</v>
      </c>
    </row>
    <row r="30" spans="2:31">
      <c r="U30" s="51">
        <f t="shared" si="2"/>
        <v>149.09090909090909</v>
      </c>
      <c r="V30" s="51">
        <f t="shared" si="0"/>
        <v>9.6094521114314744E-3</v>
      </c>
      <c r="W30" s="51">
        <f t="shared" si="1"/>
        <v>8.9191598458717939E-3</v>
      </c>
      <c r="Y30" s="54" t="s">
        <v>226</v>
      </c>
    </row>
    <row r="31" spans="2:31">
      <c r="U31" s="51">
        <f t="shared" si="2"/>
        <v>159.03030303030303</v>
      </c>
      <c r="V31" s="51">
        <f t="shared" si="0"/>
        <v>9.9706267351264838E-3</v>
      </c>
      <c r="W31" s="51">
        <f t="shared" si="1"/>
        <v>9.7259245972099086E-3</v>
      </c>
      <c r="Y31" s="51" t="s">
        <v>217</v>
      </c>
      <c r="Z31" s="51" t="s">
        <v>214</v>
      </c>
      <c r="AA31" s="51" t="s">
        <v>215</v>
      </c>
    </row>
    <row r="32" spans="2:31">
      <c r="U32" s="51">
        <f t="shared" si="2"/>
        <v>168.96969696969697</v>
      </c>
      <c r="V32" s="51">
        <f t="shared" si="0"/>
        <v>9.7259245972099086E-3</v>
      </c>
      <c r="W32" s="51">
        <f t="shared" si="1"/>
        <v>9.9706267351264838E-3</v>
      </c>
      <c r="Y32" s="51" t="s">
        <v>216</v>
      </c>
      <c r="Z32" s="51">
        <f>$V$12-$C$6</f>
        <v>160</v>
      </c>
      <c r="AA32" s="51">
        <v>0</v>
      </c>
    </row>
    <row r="33" spans="2:27">
      <c r="U33" s="51">
        <f t="shared" si="2"/>
        <v>178.90909090909091</v>
      </c>
      <c r="V33" s="51">
        <f t="shared" si="0"/>
        <v>8.9191598458717939E-3</v>
      </c>
      <c r="W33" s="51">
        <f t="shared" si="1"/>
        <v>9.6094521114314744E-3</v>
      </c>
      <c r="Y33" s="51" t="s">
        <v>218</v>
      </c>
      <c r="Z33" s="51">
        <f>Z32</f>
        <v>160</v>
      </c>
      <c r="AA33" s="51">
        <f>IF($Y$29,MAX($V$15:$W$47),0)</f>
        <v>9.9706267351264838E-3</v>
      </c>
    </row>
    <row r="34" spans="2:27">
      <c r="U34" s="51">
        <f t="shared" si="2"/>
        <v>188.84848484848484</v>
      </c>
      <c r="V34" s="51">
        <f t="shared" si="0"/>
        <v>7.6895620381677134E-3</v>
      </c>
      <c r="W34" s="51">
        <f t="shared" si="1"/>
        <v>8.7068167558675656E-3</v>
      </c>
      <c r="Y34" s="51" t="s">
        <v>219</v>
      </c>
      <c r="Z34" s="51" t="s">
        <v>214</v>
      </c>
      <c r="AA34" s="51" t="s">
        <v>215</v>
      </c>
    </row>
    <row r="35" spans="2:27">
      <c r="U35" s="51">
        <f t="shared" si="2"/>
        <v>198.78787878787878</v>
      </c>
      <c r="V35" s="51">
        <f t="shared" si="0"/>
        <v>6.2325227407400525E-3</v>
      </c>
      <c r="W35" s="51">
        <f t="shared" si="1"/>
        <v>7.4165988722577278E-3</v>
      </c>
      <c r="Y35" s="51" t="s">
        <v>216</v>
      </c>
      <c r="Z35" s="51">
        <f>$V$12</f>
        <v>168</v>
      </c>
      <c r="AA35" s="51">
        <v>0</v>
      </c>
    </row>
    <row r="36" spans="2:27">
      <c r="D36" s="9" t="s">
        <v>81</v>
      </c>
      <c r="U36" s="51">
        <f t="shared" si="2"/>
        <v>208.72727272727272</v>
      </c>
      <c r="V36" s="51">
        <f t="shared" si="0"/>
        <v>4.7490937985305588E-3</v>
      </c>
      <c r="W36" s="51">
        <f t="shared" si="1"/>
        <v>5.939293484075259E-3</v>
      </c>
      <c r="Y36" s="51" t="s">
        <v>218</v>
      </c>
      <c r="Z36" s="51">
        <f>Z35</f>
        <v>168</v>
      </c>
      <c r="AA36" s="51">
        <f>AA33</f>
        <v>9.9706267351264838E-3</v>
      </c>
    </row>
    <row r="37" spans="2:27" ht="18">
      <c r="B37" s="28" t="s">
        <v>123</v>
      </c>
      <c r="U37" s="51">
        <f t="shared" si="2"/>
        <v>218.66666666666666</v>
      </c>
      <c r="V37" s="51">
        <f t="shared" si="0"/>
        <v>3.402062060306953E-3</v>
      </c>
      <c r="W37" s="51">
        <f t="shared" si="1"/>
        <v>4.4714604123635149E-3</v>
      </c>
    </row>
    <row r="38" spans="2:27">
      <c r="U38" s="51">
        <f t="shared" si="2"/>
        <v>228.60606060606059</v>
      </c>
      <c r="V38" s="51">
        <f t="shared" si="0"/>
        <v>2.2911753328812845E-3</v>
      </c>
      <c r="W38" s="51">
        <f t="shared" si="1"/>
        <v>3.164817002251043E-3</v>
      </c>
    </row>
    <row r="39" spans="2:27">
      <c r="U39" s="51">
        <f t="shared" si="2"/>
        <v>238.54545454545453</v>
      </c>
      <c r="V39" s="51">
        <f t="shared" si="0"/>
        <v>1.4506379241390902E-3</v>
      </c>
      <c r="W39" s="51">
        <f t="shared" si="1"/>
        <v>2.105874204756573E-3</v>
      </c>
    </row>
    <row r="40" spans="2:27">
      <c r="U40" s="51">
        <f t="shared" si="2"/>
        <v>248.48484848484847</v>
      </c>
      <c r="V40" s="51">
        <f t="shared" si="0"/>
        <v>8.6346420391826431E-4</v>
      </c>
      <c r="W40" s="51">
        <f t="shared" si="1"/>
        <v>1.3173490285471065E-3</v>
      </c>
    </row>
    <row r="41" spans="2:27">
      <c r="U41" s="51">
        <f t="shared" si="2"/>
        <v>258.42424242424244</v>
      </c>
      <c r="V41" s="51">
        <f t="shared" si="0"/>
        <v>4.8318590587977084E-4</v>
      </c>
      <c r="W41" s="51">
        <f t="shared" si="1"/>
        <v>7.7473628189698312E-4</v>
      </c>
    </row>
    <row r="42" spans="2:27">
      <c r="U42" s="51">
        <f t="shared" si="2"/>
        <v>268.36363636363637</v>
      </c>
      <c r="V42" s="51">
        <f t="shared" si="0"/>
        <v>2.5419604341562314E-4</v>
      </c>
      <c r="W42" s="51">
        <f t="shared" si="1"/>
        <v>4.2834287111349645E-4</v>
      </c>
    </row>
    <row r="43" spans="2:27">
      <c r="U43" s="51">
        <f t="shared" si="2"/>
        <v>278.30303030303031</v>
      </c>
      <c r="V43" s="51">
        <f t="shared" si="0"/>
        <v>1.2572102811928031E-4</v>
      </c>
      <c r="W43" s="51">
        <f t="shared" si="1"/>
        <v>2.2264543783540088E-4</v>
      </c>
    </row>
    <row r="44" spans="2:27">
      <c r="U44" s="51">
        <f t="shared" si="2"/>
        <v>288.24242424242425</v>
      </c>
      <c r="V44" s="51">
        <f t="shared" si="0"/>
        <v>5.8456346720510549E-5</v>
      </c>
      <c r="W44" s="51">
        <f t="shared" si="1"/>
        <v>1.0879793853904708E-4</v>
      </c>
    </row>
    <row r="45" spans="2:27">
      <c r="U45" s="51">
        <f t="shared" si="2"/>
        <v>298.18181818181819</v>
      </c>
      <c r="V45" s="51">
        <f t="shared" si="0"/>
        <v>2.5552890002204227E-5</v>
      </c>
      <c r="W45" s="51">
        <f t="shared" si="1"/>
        <v>4.9981828671086098E-5</v>
      </c>
    </row>
    <row r="46" spans="2:27">
      <c r="U46" s="51">
        <f t="shared" si="2"/>
        <v>308.12121212121212</v>
      </c>
      <c r="V46" s="51">
        <f t="shared" si="0"/>
        <v>1.0501056362603924E-5</v>
      </c>
      <c r="W46" s="51">
        <f t="shared" si="1"/>
        <v>2.1586797882267536E-5</v>
      </c>
    </row>
    <row r="47" spans="2:27">
      <c r="U47" s="51">
        <f t="shared" si="2"/>
        <v>318.06060606060606</v>
      </c>
      <c r="V47" s="51">
        <f t="shared" si="0"/>
        <v>4.0570518897450162E-6</v>
      </c>
      <c r="W47" s="51">
        <f t="shared" si="1"/>
        <v>8.7649394011783917E-6</v>
      </c>
    </row>
    <row r="48" spans="2:27">
      <c r="G48" s="6"/>
    </row>
    <row r="49" spans="7:7">
      <c r="G49" s="6"/>
    </row>
    <row r="50" spans="7:7">
      <c r="G50" s="6"/>
    </row>
    <row r="51" spans="7:7">
      <c r="G51" s="6"/>
    </row>
    <row r="66" spans="2:2">
      <c r="B66" s="9" t="s">
        <v>125</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485775</xdr:colOff>
                    <xdr:row>7</xdr:row>
                    <xdr:rowOff>104775</xdr:rowOff>
                  </from>
                  <to>
                    <xdr:col>13</xdr:col>
                    <xdr:colOff>28575</xdr:colOff>
                    <xdr:row>8</xdr:row>
                    <xdr:rowOff>142875</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485775</xdr:colOff>
                    <xdr:row>8</xdr:row>
                    <xdr:rowOff>142875</xdr:rowOff>
                  </from>
                  <to>
                    <xdr:col>13</xdr:col>
                    <xdr:colOff>28575</xdr:colOff>
                    <xdr:row>10</xdr:row>
                    <xdr:rowOff>9525</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485775</xdr:colOff>
                    <xdr:row>10</xdr:row>
                    <xdr:rowOff>9525</xdr:rowOff>
                  </from>
                  <to>
                    <xdr:col>13</xdr:col>
                    <xdr:colOff>28575</xdr:colOff>
                    <xdr:row>11</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workbookViewId="0">
      <selection activeCell="C2" sqref="C2"/>
    </sheetView>
  </sheetViews>
  <sheetFormatPr defaultColWidth="9.140625" defaultRowHeight="12.75"/>
  <cols>
    <col min="1" max="1" width="5.140625" style="1" customWidth="1"/>
    <col min="2" max="2" width="21.42578125" style="1" customWidth="1"/>
    <col min="3" max="3" width="9.140625" style="1"/>
    <col min="4" max="4" width="9.28515625" style="1" customWidth="1"/>
    <col min="5" max="16384" width="9.140625" style="1"/>
  </cols>
  <sheetData>
    <row r="1" spans="2:31" ht="27" thickBot="1">
      <c r="B1" s="17" t="s">
        <v>69</v>
      </c>
      <c r="F1" s="9" t="s">
        <v>122</v>
      </c>
    </row>
    <row r="2" spans="2:31" ht="13.5" thickBot="1">
      <c r="B2" s="1" t="s">
        <v>1</v>
      </c>
      <c r="C2" s="2">
        <v>0.9</v>
      </c>
      <c r="D2" s="1" t="s">
        <v>21</v>
      </c>
    </row>
    <row r="3" spans="2:31" ht="13.5" thickBot="1">
      <c r="C3" s="10"/>
    </row>
    <row r="4" spans="2:31" ht="13.5" thickBot="1">
      <c r="B4" s="8" t="s">
        <v>59</v>
      </c>
      <c r="C4" s="2">
        <v>0.05</v>
      </c>
      <c r="D4" s="1" t="s">
        <v>20</v>
      </c>
    </row>
    <row r="5" spans="2:31" ht="16.5" thickBot="1">
      <c r="B5" s="8" t="s">
        <v>26</v>
      </c>
      <c r="C5" s="3">
        <v>20</v>
      </c>
      <c r="D5" s="1" t="s">
        <v>117</v>
      </c>
      <c r="U5" s="1" t="s">
        <v>56</v>
      </c>
    </row>
    <row r="6" spans="2:31" ht="16.5" thickBot="1">
      <c r="B6" s="1" t="s">
        <v>17</v>
      </c>
      <c r="C6" s="3">
        <v>10</v>
      </c>
      <c r="D6" s="1" t="s">
        <v>24</v>
      </c>
      <c r="U6" s="1">
        <v>1</v>
      </c>
    </row>
    <row r="7" spans="2:31" ht="13.5" thickBot="1">
      <c r="C7" s="4"/>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72.904922731880887</v>
      </c>
      <c r="AA11" s="1">
        <f>V12+4*W12</f>
        <v>170</v>
      </c>
      <c r="AB11" s="1">
        <f>AA11/33</f>
        <v>5.1515151515151514</v>
      </c>
    </row>
    <row r="12" spans="2:31" ht="13.5" thickBot="1">
      <c r="B12" s="1" t="s">
        <v>2</v>
      </c>
      <c r="C12" s="1">
        <f>C11*(C3+1)-2</f>
        <v>1</v>
      </c>
      <c r="U12" s="44" t="s">
        <v>207</v>
      </c>
      <c r="V12" s="30">
        <f>V11+C6</f>
        <v>90</v>
      </c>
      <c r="W12" s="1">
        <f>$C$5</f>
        <v>20</v>
      </c>
      <c r="X12" s="1">
        <f>W12/SQRT(C20)</f>
        <v>11.547005383792516</v>
      </c>
      <c r="Y12" s="1">
        <f>TINV($C$4*2,$C$20-2)*X12</f>
        <v>72.904922731880887</v>
      </c>
    </row>
    <row r="13" spans="2:31">
      <c r="B13" s="1" t="s">
        <v>13</v>
      </c>
      <c r="C13" s="1">
        <f>TINV(C4,C12)</f>
        <v>12.706204736174707</v>
      </c>
      <c r="Y13" s="1" t="b">
        <v>1</v>
      </c>
      <c r="AC13" s="1" t="b">
        <v>0</v>
      </c>
    </row>
    <row r="14" spans="2:31">
      <c r="B14" s="1" t="s">
        <v>4</v>
      </c>
      <c r="C14" s="1">
        <f>SQRT((C11*C6^2)/(2*C10^2))</f>
        <v>0.61237243569579447</v>
      </c>
      <c r="U14" s="44" t="s">
        <v>205</v>
      </c>
      <c r="V14" s="44" t="s">
        <v>208</v>
      </c>
      <c r="W14" s="44" t="s">
        <v>209</v>
      </c>
      <c r="Y14" s="9" t="s">
        <v>220</v>
      </c>
      <c r="AC14" s="9" t="s">
        <v>222</v>
      </c>
    </row>
    <row r="15" spans="2:31">
      <c r="U15" s="1">
        <v>0</v>
      </c>
      <c r="V15" s="1">
        <f>_xlfn.NORM.DIST($U15,$V$11,$C$5,FALSE)</f>
        <v>6.6915112882442679E-6</v>
      </c>
      <c r="W15" s="1">
        <f>_xlfn.NORM.DIST($U15,$V$12,$C$5,FALSE)</f>
        <v>7.9918705534527388E-7</v>
      </c>
      <c r="Y15" s="44" t="s">
        <v>217</v>
      </c>
      <c r="Z15" s="44" t="s">
        <v>214</v>
      </c>
      <c r="AA15" s="44" t="s">
        <v>215</v>
      </c>
      <c r="AC15" s="44" t="s">
        <v>217</v>
      </c>
      <c r="AD15" s="44" t="s">
        <v>214</v>
      </c>
      <c r="AE15" s="44" t="s">
        <v>215</v>
      </c>
    </row>
    <row r="16" spans="2:31">
      <c r="U16" s="1">
        <f>U15+$AB$11</f>
        <v>5.1515151515151514</v>
      </c>
      <c r="V16" s="1">
        <f t="shared" ref="V16:V47" si="0">_xlfn.NORM.DIST($U16,$V$11,$C$5,FALSE)</f>
        <v>1.8137291925126829E-5</v>
      </c>
      <c r="W16" s="1">
        <f t="shared" ref="W16:W47" si="1">_xlfn.NORM.DIST($U16,$V$12,$C$5,FALSE)</f>
        <v>2.4639309576665516E-6</v>
      </c>
      <c r="Y16" s="44" t="s">
        <v>216</v>
      </c>
      <c r="Z16" s="1">
        <f>$V$11-$W$11</f>
        <v>60</v>
      </c>
      <c r="AA16" s="1">
        <v>0</v>
      </c>
      <c r="AC16" s="44" t="s">
        <v>216</v>
      </c>
      <c r="AD16" s="1">
        <f>$V$11-$Y$11</f>
        <v>7.0950772681191125</v>
      </c>
      <c r="AE16" s="1">
        <v>0</v>
      </c>
    </row>
    <row r="17" spans="2:31">
      <c r="B17" s="1" t="s">
        <v>6</v>
      </c>
      <c r="C17" s="1">
        <f>NCt(C13,C12,C14)</f>
        <v>0.95131381058289732</v>
      </c>
      <c r="U17" s="1">
        <f t="shared" ref="U17:U47" si="2">U16+$AB$11</f>
        <v>10.303030303030303</v>
      </c>
      <c r="V17" s="1">
        <f t="shared" si="0"/>
        <v>4.6005238481148204E-5</v>
      </c>
      <c r="W17" s="1">
        <f t="shared" si="1"/>
        <v>7.1087827569616206E-6</v>
      </c>
      <c r="Y17" s="44" t="s">
        <v>218</v>
      </c>
      <c r="Z17" s="1">
        <f>Z16</f>
        <v>60</v>
      </c>
      <c r="AA17" s="1">
        <f>IF(Y13,MAX($V$15:$V$47),0)</f>
        <v>1.980111566953164E-2</v>
      </c>
      <c r="AC17" s="44" t="s">
        <v>218</v>
      </c>
      <c r="AD17" s="1">
        <f>AD16</f>
        <v>7.0950772681191125</v>
      </c>
      <c r="AE17" s="1">
        <f>IF(AC13,MAX($V$15:$V$47),0)</f>
        <v>0</v>
      </c>
    </row>
    <row r="18" spans="2:31">
      <c r="B18" s="1" t="s">
        <v>58</v>
      </c>
      <c r="C18" s="1">
        <f>1-C17</f>
        <v>4.8686189417102677E-2</v>
      </c>
      <c r="E18" s="5"/>
      <c r="U18" s="1">
        <f t="shared" si="2"/>
        <v>15.454545454545453</v>
      </c>
      <c r="V18" s="1">
        <f t="shared" si="0"/>
        <v>1.0920153534047619E-4</v>
      </c>
      <c r="W18" s="1">
        <f t="shared" si="1"/>
        <v>1.9193252010472316E-5</v>
      </c>
      <c r="Y18" s="44" t="s">
        <v>219</v>
      </c>
      <c r="Z18" s="44" t="s">
        <v>214</v>
      </c>
      <c r="AA18" s="44" t="s">
        <v>215</v>
      </c>
      <c r="AC18" s="44" t="s">
        <v>219</v>
      </c>
      <c r="AD18" s="44" t="s">
        <v>214</v>
      </c>
      <c r="AE18" s="44" t="s">
        <v>215</v>
      </c>
    </row>
    <row r="19" spans="2:31">
      <c r="C19" s="9"/>
      <c r="D19" s="9"/>
      <c r="U19" s="1">
        <f t="shared" si="2"/>
        <v>20.606060606060606</v>
      </c>
      <c r="V19" s="1">
        <f t="shared" si="0"/>
        <v>2.4256984882431001E-4</v>
      </c>
      <c r="W19" s="1">
        <f t="shared" si="1"/>
        <v>4.8494055355597541E-5</v>
      </c>
      <c r="Y19" s="44" t="s">
        <v>216</v>
      </c>
      <c r="Z19" s="1">
        <f>$V$11+$W$11</f>
        <v>100</v>
      </c>
      <c r="AA19" s="1">
        <v>0</v>
      </c>
      <c r="AC19" s="44" t="s">
        <v>216</v>
      </c>
      <c r="AD19" s="1">
        <f>$V$11+$Y$11</f>
        <v>152.9049227318809</v>
      </c>
      <c r="AE19" s="1">
        <v>0</v>
      </c>
    </row>
    <row r="20" spans="2:31">
      <c r="B20" s="1" t="s">
        <v>11</v>
      </c>
      <c r="C20" s="1">
        <f>CEILING(C11,1)</f>
        <v>3</v>
      </c>
      <c r="D20" s="1" t="s">
        <v>25</v>
      </c>
      <c r="U20" s="1">
        <f t="shared" si="2"/>
        <v>25.757575757575758</v>
      </c>
      <c r="V20" s="1">
        <f t="shared" si="0"/>
        <v>5.0423327922236841E-4</v>
      </c>
      <c r="W20" s="1">
        <f t="shared" si="1"/>
        <v>1.146608236109952E-4</v>
      </c>
      <c r="Y20" s="44" t="s">
        <v>218</v>
      </c>
      <c r="Z20" s="1">
        <f>Z19</f>
        <v>100</v>
      </c>
      <c r="AA20" s="1">
        <f>AA17</f>
        <v>1.980111566953164E-2</v>
      </c>
      <c r="AC20" s="44" t="s">
        <v>218</v>
      </c>
      <c r="AD20" s="1">
        <f>AD19</f>
        <v>152.9049227318809</v>
      </c>
      <c r="AE20" s="1">
        <f>AE17</f>
        <v>0</v>
      </c>
    </row>
    <row r="21" spans="2:31">
      <c r="U21" s="1">
        <f t="shared" si="2"/>
        <v>30.90909090909091</v>
      </c>
      <c r="V21" s="1">
        <f t="shared" si="0"/>
        <v>9.8087306428737029E-4</v>
      </c>
      <c r="W21" s="1">
        <f t="shared" si="1"/>
        <v>2.5370453191218693E-4</v>
      </c>
    </row>
    <row r="22" spans="2:31">
      <c r="U22" s="1">
        <f t="shared" si="2"/>
        <v>36.060606060606062</v>
      </c>
      <c r="V22" s="1">
        <f t="shared" si="0"/>
        <v>1.7855858122449049E-3</v>
      </c>
      <c r="W22" s="1">
        <f t="shared" si="1"/>
        <v>5.2532492610751064E-4</v>
      </c>
      <c r="Y22" s="9" t="s">
        <v>221</v>
      </c>
      <c r="AC22" s="9" t="s">
        <v>223</v>
      </c>
    </row>
    <row r="23" spans="2:31">
      <c r="U23" s="1">
        <f t="shared" si="2"/>
        <v>41.212121212121211</v>
      </c>
      <c r="V23" s="1">
        <f t="shared" si="0"/>
        <v>3.0418322453447957E-3</v>
      </c>
      <c r="W23" s="1">
        <f t="shared" si="1"/>
        <v>1.0179217781743333E-3</v>
      </c>
      <c r="Y23" s="44" t="s">
        <v>217</v>
      </c>
      <c r="Z23" s="44" t="s">
        <v>214</v>
      </c>
      <c r="AA23" s="44" t="s">
        <v>215</v>
      </c>
      <c r="AC23" s="44" t="s">
        <v>217</v>
      </c>
      <c r="AD23" s="44" t="s">
        <v>214</v>
      </c>
      <c r="AE23" s="44" t="s">
        <v>215</v>
      </c>
    </row>
    <row r="24" spans="2:31">
      <c r="U24" s="1">
        <f t="shared" si="2"/>
        <v>46.36363636363636</v>
      </c>
      <c r="V24" s="1">
        <f t="shared" si="0"/>
        <v>4.8492704641696274E-3</v>
      </c>
      <c r="W24" s="1">
        <f t="shared" si="1"/>
        <v>1.8458118041464293E-3</v>
      </c>
      <c r="Y24" s="44" t="s">
        <v>216</v>
      </c>
      <c r="Z24" s="1">
        <f>$V$12-$W$12</f>
        <v>70</v>
      </c>
      <c r="AA24" s="1">
        <v>0</v>
      </c>
      <c r="AC24" s="44" t="s">
        <v>216</v>
      </c>
      <c r="AD24" s="1">
        <f>$V$12-$Y$12</f>
        <v>17.095077268119113</v>
      </c>
      <c r="AE24" s="1">
        <v>0</v>
      </c>
    </row>
    <row r="25" spans="2:31">
      <c r="U25" s="1">
        <f t="shared" si="2"/>
        <v>51.515151515151508</v>
      </c>
      <c r="V25" s="1">
        <f t="shared" si="0"/>
        <v>7.2344275216876253E-3</v>
      </c>
      <c r="W25" s="1">
        <f t="shared" si="1"/>
        <v>3.1321824144568463E-3</v>
      </c>
      <c r="Y25" s="44" t="s">
        <v>218</v>
      </c>
      <c r="Z25" s="1">
        <f>Z24</f>
        <v>70</v>
      </c>
      <c r="AA25" s="1">
        <f>IF(Y13,MAX($W$15:$W$47),0)</f>
        <v>1.980111566953164E-2</v>
      </c>
      <c r="AC25" s="44" t="s">
        <v>218</v>
      </c>
      <c r="AD25" s="1">
        <f>AD24</f>
        <v>17.095077268119113</v>
      </c>
      <c r="AE25" s="1">
        <f>IF(AC13,MAX($W$15:$W$47),0)</f>
        <v>0</v>
      </c>
    </row>
    <row r="26" spans="2:31">
      <c r="U26" s="1">
        <f t="shared" si="2"/>
        <v>56.666666666666657</v>
      </c>
      <c r="V26" s="1">
        <f t="shared" si="0"/>
        <v>1.0099934277702938E-2</v>
      </c>
      <c r="W26" s="1">
        <f t="shared" si="1"/>
        <v>4.97385693963743E-3</v>
      </c>
      <c r="Y26" s="44" t="s">
        <v>219</v>
      </c>
      <c r="Z26" s="44" t="s">
        <v>214</v>
      </c>
      <c r="AA26" s="44" t="s">
        <v>215</v>
      </c>
      <c r="AC26" s="44" t="s">
        <v>219</v>
      </c>
      <c r="AD26" s="44" t="s">
        <v>214</v>
      </c>
      <c r="AE26" s="44" t="s">
        <v>215</v>
      </c>
    </row>
    <row r="27" spans="2:31" ht="20.25" customHeight="1">
      <c r="U27" s="1">
        <f t="shared" si="2"/>
        <v>61.818181818181806</v>
      </c>
      <c r="V27" s="1">
        <f t="shared" si="0"/>
        <v>1.3195308262186492E-2</v>
      </c>
      <c r="W27" s="1">
        <f t="shared" si="1"/>
        <v>7.391390501822824E-3</v>
      </c>
      <c r="Y27" s="44" t="s">
        <v>216</v>
      </c>
      <c r="Z27" s="1">
        <f>$V$12+$W$12</f>
        <v>110</v>
      </c>
      <c r="AA27" s="1">
        <v>0</v>
      </c>
      <c r="AC27" s="44" t="s">
        <v>216</v>
      </c>
      <c r="AD27" s="1">
        <f>$V$12+$Y$12</f>
        <v>162.9049227318809</v>
      </c>
      <c r="AE27" s="1">
        <v>0</v>
      </c>
    </row>
    <row r="28" spans="2:31">
      <c r="U28" s="1">
        <f t="shared" si="2"/>
        <v>66.969696969696955</v>
      </c>
      <c r="V28" s="1">
        <f t="shared" si="0"/>
        <v>1.6132703352552596E-2</v>
      </c>
      <c r="W28" s="1">
        <f t="shared" si="1"/>
        <v>1.0278875841821104E-2</v>
      </c>
      <c r="Y28" s="44" t="s">
        <v>218</v>
      </c>
      <c r="Z28" s="1">
        <f>Z27</f>
        <v>110</v>
      </c>
      <c r="AA28" s="1">
        <f>AA25</f>
        <v>1.980111566953164E-2</v>
      </c>
      <c r="AC28" s="44" t="s">
        <v>218</v>
      </c>
      <c r="AD28" s="1">
        <f>AD27</f>
        <v>162.9049227318809</v>
      </c>
      <c r="AE28" s="1">
        <f>AE25</f>
        <v>0</v>
      </c>
    </row>
    <row r="29" spans="2:31">
      <c r="U29" s="1">
        <f t="shared" si="2"/>
        <v>72.12121212121211</v>
      </c>
      <c r="V29" s="1">
        <f t="shared" si="0"/>
        <v>1.8457860980984869E-2</v>
      </c>
      <c r="W29" s="1">
        <f t="shared" si="1"/>
        <v>1.3376783801223832E-2</v>
      </c>
      <c r="Y29" s="1" t="b">
        <v>1</v>
      </c>
    </row>
    <row r="30" spans="2:31">
      <c r="U30" s="1">
        <f t="shared" si="2"/>
        <v>77.272727272727266</v>
      </c>
      <c r="V30" s="1">
        <f t="shared" si="0"/>
        <v>1.9762514802646215E-2</v>
      </c>
      <c r="W30" s="1">
        <f t="shared" si="1"/>
        <v>1.62908749718845E-2</v>
      </c>
      <c r="Y30" s="9" t="s">
        <v>226</v>
      </c>
    </row>
    <row r="31" spans="2:31">
      <c r="U31" s="1">
        <f t="shared" si="2"/>
        <v>82.424242424242422</v>
      </c>
      <c r="V31" s="1">
        <f t="shared" si="0"/>
        <v>1.980111566953164E-2</v>
      </c>
      <c r="W31" s="1">
        <f t="shared" si="1"/>
        <v>1.8566230084060359E-2</v>
      </c>
      <c r="Y31" s="44" t="s">
        <v>217</v>
      </c>
      <c r="Z31" s="44" t="s">
        <v>214</v>
      </c>
      <c r="AA31" s="44" t="s">
        <v>215</v>
      </c>
    </row>
    <row r="32" spans="2:31">
      <c r="U32" s="1">
        <f t="shared" si="2"/>
        <v>87.575757575757578</v>
      </c>
      <c r="V32" s="1">
        <f t="shared" si="0"/>
        <v>1.8566230084060359E-2</v>
      </c>
      <c r="W32" s="1">
        <f t="shared" si="1"/>
        <v>1.980111566953164E-2</v>
      </c>
      <c r="Y32" s="44" t="s">
        <v>216</v>
      </c>
      <c r="Z32" s="1">
        <f>V11</f>
        <v>80</v>
      </c>
      <c r="AA32" s="1">
        <v>0</v>
      </c>
    </row>
    <row r="33" spans="2:27">
      <c r="U33" s="1">
        <f t="shared" si="2"/>
        <v>92.727272727272734</v>
      </c>
      <c r="V33" s="1">
        <f t="shared" si="0"/>
        <v>1.62908749718845E-2</v>
      </c>
      <c r="W33" s="1">
        <f t="shared" si="1"/>
        <v>1.9762514802646215E-2</v>
      </c>
      <c r="Y33" s="44" t="s">
        <v>218</v>
      </c>
      <c r="Z33" s="1">
        <f>Z32</f>
        <v>80</v>
      </c>
      <c r="AA33" s="1">
        <f>IF($Y$29,MAX($V$15:$W$47),0)</f>
        <v>1.980111566953164E-2</v>
      </c>
    </row>
    <row r="34" spans="2:27" ht="18">
      <c r="B34" s="28" t="s">
        <v>123</v>
      </c>
      <c r="D34" s="9" t="s">
        <v>81</v>
      </c>
      <c r="U34" s="1">
        <f t="shared" si="2"/>
        <v>97.87878787878789</v>
      </c>
      <c r="V34" s="1">
        <f t="shared" si="0"/>
        <v>1.3376783801223832E-2</v>
      </c>
      <c r="W34" s="1">
        <f t="shared" si="1"/>
        <v>1.8457860980984869E-2</v>
      </c>
      <c r="Y34" s="44" t="s">
        <v>219</v>
      </c>
      <c r="Z34" s="44" t="s">
        <v>214</v>
      </c>
      <c r="AA34" s="44" t="s">
        <v>215</v>
      </c>
    </row>
    <row r="35" spans="2:27">
      <c r="U35" s="1">
        <f t="shared" si="2"/>
        <v>103.03030303030305</v>
      </c>
      <c r="V35" s="1">
        <f t="shared" si="0"/>
        <v>1.0278875841821104E-2</v>
      </c>
      <c r="W35" s="1">
        <f t="shared" si="1"/>
        <v>1.6132703352552596E-2</v>
      </c>
      <c r="Y35" s="44" t="s">
        <v>216</v>
      </c>
      <c r="Z35" s="1">
        <f>V12</f>
        <v>90</v>
      </c>
      <c r="AA35" s="1">
        <v>0</v>
      </c>
    </row>
    <row r="36" spans="2:27">
      <c r="U36" s="1">
        <f t="shared" si="2"/>
        <v>108.1818181818182</v>
      </c>
      <c r="V36" s="1">
        <f t="shared" si="0"/>
        <v>7.3913905018228197E-3</v>
      </c>
      <c r="W36" s="1">
        <f t="shared" si="1"/>
        <v>1.3195308262186491E-2</v>
      </c>
      <c r="Y36" s="44" t="s">
        <v>218</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c r="B45" s="9" t="s">
        <v>125</v>
      </c>
      <c r="U45" s="1">
        <f t="shared" si="2"/>
        <v>154.54545454545459</v>
      </c>
      <c r="V45" s="1">
        <f t="shared" si="0"/>
        <v>1.919325201047218E-5</v>
      </c>
      <c r="W45" s="1">
        <f t="shared" si="1"/>
        <v>1.092015353404756E-4</v>
      </c>
    </row>
    <row r="46" spans="2:27">
      <c r="B46" s="9" t="s">
        <v>124</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228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2300" r:id="rId4" name="Button 12">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2304" r:id="rId5" name="Check Box 16">
              <controlPr defaultSize="0" autoFill="0" autoLine="0" autoPict="0">
                <anchor moveWithCells="1">
                  <from>
                    <xdr:col>10</xdr:col>
                    <xdr:colOff>561975</xdr:colOff>
                    <xdr:row>7</xdr:row>
                    <xdr:rowOff>28575</xdr:rowOff>
                  </from>
                  <to>
                    <xdr:col>12</xdr:col>
                    <xdr:colOff>76200</xdr:colOff>
                    <xdr:row>8</xdr:row>
                    <xdr:rowOff>38100</xdr:rowOff>
                  </to>
                </anchor>
              </controlPr>
            </control>
          </mc:Choice>
        </mc:AlternateContent>
        <mc:AlternateContent xmlns:mc="http://schemas.openxmlformats.org/markup-compatibility/2006">
          <mc:Choice Requires="x14">
            <control shapeId="12305" r:id="rId6" name="Check Box 17">
              <controlPr defaultSize="0" autoFill="0" autoLine="0" autoPict="0">
                <anchor moveWithCells="1">
                  <from>
                    <xdr:col>10</xdr:col>
                    <xdr:colOff>561975</xdr:colOff>
                    <xdr:row>8</xdr:row>
                    <xdr:rowOff>38100</xdr:rowOff>
                  </from>
                  <to>
                    <xdr:col>12</xdr:col>
                    <xdr:colOff>76200</xdr:colOff>
                    <xdr:row>9</xdr:row>
                    <xdr:rowOff>104775</xdr:rowOff>
                  </to>
                </anchor>
              </controlPr>
            </control>
          </mc:Choice>
        </mc:AlternateContent>
        <mc:AlternateContent xmlns:mc="http://schemas.openxmlformats.org/markup-compatibility/2006">
          <mc:Choice Requires="x14">
            <control shapeId="12306" r:id="rId7" name="Check Box 18">
              <controlPr defaultSize="0" autoFill="0" autoLine="0" autoPict="0">
                <anchor moveWithCells="1">
                  <from>
                    <xdr:col>10</xdr:col>
                    <xdr:colOff>561975</xdr:colOff>
                    <xdr:row>9</xdr:row>
                    <xdr:rowOff>104775</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70</v>
      </c>
      <c r="E1" s="9" t="s">
        <v>122</v>
      </c>
    </row>
    <row r="2" spans="2:31" ht="13.5" thickBot="1">
      <c r="B2" s="1" t="s">
        <v>1</v>
      </c>
      <c r="C2" s="2">
        <v>0.9</v>
      </c>
      <c r="D2" s="1" t="s">
        <v>21</v>
      </c>
    </row>
    <row r="3" spans="2:31" ht="16.5"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5" thickBot="1">
      <c r="B6" s="1" t="s">
        <v>17</v>
      </c>
      <c r="C6" s="3">
        <v>10</v>
      </c>
      <c r="D6" s="1" t="s">
        <v>28</v>
      </c>
      <c r="U6" s="1">
        <v>2</v>
      </c>
    </row>
    <row r="7" spans="2:31" ht="16.5" thickBot="1">
      <c r="B7" s="12" t="s">
        <v>5</v>
      </c>
      <c r="C7" s="3">
        <v>0</v>
      </c>
      <c r="D7" s="1" t="s">
        <v>57</v>
      </c>
      <c r="AC7" s="48" t="s">
        <v>231</v>
      </c>
    </row>
    <row r="8" spans="2:31" ht="13.5" thickBot="1">
      <c r="B8" s="12" t="s">
        <v>118</v>
      </c>
      <c r="C8" s="11">
        <f>C6/C5</f>
        <v>0.2</v>
      </c>
    </row>
    <row r="10" spans="2:31" ht="13.5" thickBot="1">
      <c r="B10" s="8" t="s">
        <v>18</v>
      </c>
      <c r="C10" s="1">
        <f>C5</f>
        <v>50</v>
      </c>
      <c r="V10" s="44" t="s">
        <v>212</v>
      </c>
      <c r="W10" s="44" t="s">
        <v>210</v>
      </c>
      <c r="X10" s="44" t="s">
        <v>213</v>
      </c>
      <c r="Y10" s="44" t="s">
        <v>211</v>
      </c>
      <c r="AA10" s="44" t="s">
        <v>224</v>
      </c>
      <c r="AB10" s="44" t="s">
        <v>225</v>
      </c>
    </row>
    <row r="11" spans="2:31" ht="13.5" thickBot="1">
      <c r="B11" s="1" t="s">
        <v>16</v>
      </c>
      <c r="C11" s="7">
        <v>3</v>
      </c>
      <c r="U11" s="44" t="s">
        <v>206</v>
      </c>
      <c r="V11" s="30">
        <f>4*C5</f>
        <v>200</v>
      </c>
      <c r="W11" s="1">
        <f>$C$5</f>
        <v>50</v>
      </c>
      <c r="X11" s="1">
        <f>W11/SQRT(C20)</f>
        <v>28.867513459481291</v>
      </c>
      <c r="Y11" s="1">
        <f>TINV($C$4*2,$C$20-2)*X11</f>
        <v>366.79653624044829</v>
      </c>
      <c r="AA11" s="1">
        <f>V12+4*W12</f>
        <v>400</v>
      </c>
      <c r="AB11" s="1">
        <f>AA11/33</f>
        <v>12.121212121212121</v>
      </c>
    </row>
    <row r="12" spans="2:31" ht="13.5" thickBot="1">
      <c r="B12" s="1" t="s">
        <v>15</v>
      </c>
      <c r="C12" s="1">
        <f>C11*(C3+1)-2</f>
        <v>4</v>
      </c>
      <c r="U12" s="44" t="s">
        <v>207</v>
      </c>
      <c r="V12" s="30">
        <f>V11+C7</f>
        <v>200</v>
      </c>
      <c r="W12" s="1">
        <f>$C$5</f>
        <v>50</v>
      </c>
      <c r="X12" s="1">
        <f>W12/SQRT(C20)</f>
        <v>28.867513459481291</v>
      </c>
      <c r="Y12" s="1">
        <f>TINV($C$4*2,$C$20-2)*X12</f>
        <v>366.79653624044829</v>
      </c>
    </row>
    <row r="13" spans="2:31">
      <c r="B13" s="1" t="s">
        <v>27</v>
      </c>
      <c r="C13" s="1">
        <f>TINV(C4*2,C12)</f>
        <v>2.7764451051977934</v>
      </c>
      <c r="Y13" s="1" t="b">
        <v>1</v>
      </c>
      <c r="AC13" s="1" t="b">
        <v>0</v>
      </c>
    </row>
    <row r="14" spans="2:31">
      <c r="B14" s="1" t="s">
        <v>3</v>
      </c>
      <c r="C14" s="1">
        <f>(C7-C6)*SQRT(C3*C11)/SQRT((C3+1)*C10^2)</f>
        <v>-0.24494897427831777</v>
      </c>
      <c r="U14" s="44" t="s">
        <v>205</v>
      </c>
      <c r="V14" s="44" t="s">
        <v>208</v>
      </c>
      <c r="W14" s="44" t="s">
        <v>209</v>
      </c>
      <c r="Y14" s="9" t="s">
        <v>220</v>
      </c>
      <c r="AC14" s="9" t="s">
        <v>222</v>
      </c>
    </row>
    <row r="15" spans="2:31">
      <c r="B15" s="1" t="s">
        <v>4</v>
      </c>
      <c r="C15" s="1">
        <f>(C7+C6)*SQRT(C3*C11)/SQRT((C3+1)*C10^2)</f>
        <v>0.24494897427831777</v>
      </c>
      <c r="U15" s="1">
        <v>0</v>
      </c>
      <c r="V15" s="1">
        <f>_xlfn.NORM.DIST($U15,$V$11,$C$5,FALSE)</f>
        <v>2.6766045152977074E-6</v>
      </c>
      <c r="W15" s="1">
        <f>_xlfn.NORM.DIST($U15,$V$12,$C$5,FALSE)</f>
        <v>2.6766045152977074E-6</v>
      </c>
      <c r="Y15" s="44" t="s">
        <v>217</v>
      </c>
      <c r="Z15" s="44" t="s">
        <v>214</v>
      </c>
      <c r="AA15" s="44" t="s">
        <v>215</v>
      </c>
      <c r="AC15" s="44" t="s">
        <v>217</v>
      </c>
      <c r="AD15" s="44" t="s">
        <v>214</v>
      </c>
      <c r="AE15" s="44" t="s">
        <v>215</v>
      </c>
    </row>
    <row r="16" spans="2:31">
      <c r="B16" s="1" t="s">
        <v>7</v>
      </c>
      <c r="C16" s="1">
        <f>NCt(-C13,C12,C14)</f>
        <v>3.8724161191528772E-2</v>
      </c>
      <c r="U16" s="1">
        <f>U15+$AB$11</f>
        <v>12.121212121212121</v>
      </c>
      <c r="V16" s="1">
        <f t="shared" ref="V16:V47" si="0">_xlfn.NORM.DIST($U16,$V$11,$C$5,FALSE)</f>
        <v>6.8541974591718509E-6</v>
      </c>
      <c r="W16" s="1">
        <f t="shared" ref="W16:W47" si="1">_xlfn.NORM.DIST($U16,$V$12,$C$5,FALSE)</f>
        <v>6.8541974591718509E-6</v>
      </c>
      <c r="Y16" s="44" t="s">
        <v>216</v>
      </c>
      <c r="Z16" s="1">
        <f>$V$11-$W$11</f>
        <v>150</v>
      </c>
      <c r="AA16" s="1">
        <v>0</v>
      </c>
      <c r="AC16" s="44" t="s">
        <v>216</v>
      </c>
      <c r="AD16" s="1">
        <f>$V$11-$Y$11</f>
        <v>-166.79653624044829</v>
      </c>
      <c r="AE16" s="1">
        <v>0</v>
      </c>
    </row>
    <row r="17" spans="2:31">
      <c r="B17" s="1" t="s">
        <v>6</v>
      </c>
      <c r="C17" s="1">
        <f>NCt(C13,C12,C15)</f>
        <v>0.96127583880847123</v>
      </c>
      <c r="U17" s="1">
        <f t="shared" ref="U17:U47" si="2">U16+$AB$11</f>
        <v>24.242424242424242</v>
      </c>
      <c r="V17" s="1">
        <f t="shared" si="0"/>
        <v>1.6550295093638804E-5</v>
      </c>
      <c r="W17" s="1">
        <f t="shared" si="1"/>
        <v>1.6550295093638804E-5</v>
      </c>
      <c r="Y17" s="44" t="s">
        <v>218</v>
      </c>
      <c r="Z17" s="1">
        <f>Z16</f>
        <v>150</v>
      </c>
      <c r="AA17" s="1">
        <f>IF(Y13,MAX($V$15:$V$47),0)</f>
        <v>7.9204462678126551E-3</v>
      </c>
      <c r="AC17" s="44" t="s">
        <v>218</v>
      </c>
      <c r="AD17" s="1">
        <f>AD16</f>
        <v>-166.79653624044829</v>
      </c>
      <c r="AE17" s="1">
        <f>IF(AC13,MAX($V$15:$V$47),0)</f>
        <v>0</v>
      </c>
    </row>
    <row r="18" spans="2:31">
      <c r="B18" s="1" t="s">
        <v>58</v>
      </c>
      <c r="C18" s="1">
        <f>C16-C17</f>
        <v>-0.92255167761694246</v>
      </c>
      <c r="E18" s="5"/>
      <c r="U18" s="1">
        <f t="shared" si="2"/>
        <v>36.36363636363636</v>
      </c>
      <c r="V18" s="1">
        <f t="shared" si="0"/>
        <v>3.7681796203076303E-5</v>
      </c>
      <c r="W18" s="1">
        <f t="shared" si="1"/>
        <v>3.7681796203076303E-5</v>
      </c>
      <c r="Y18" s="44" t="s">
        <v>219</v>
      </c>
      <c r="Z18" s="44" t="s">
        <v>214</v>
      </c>
      <c r="AA18" s="44" t="s">
        <v>215</v>
      </c>
      <c r="AC18" s="44" t="s">
        <v>219</v>
      </c>
      <c r="AD18" s="44" t="s">
        <v>214</v>
      </c>
      <c r="AE18" s="44" t="s">
        <v>215</v>
      </c>
    </row>
    <row r="19" spans="2:31" ht="14.25">
      <c r="C19" s="16" t="s">
        <v>63</v>
      </c>
      <c r="D19" s="16" t="s">
        <v>64</v>
      </c>
      <c r="E19" s="16" t="s">
        <v>66</v>
      </c>
      <c r="U19" s="1">
        <f t="shared" si="2"/>
        <v>48.484848484848484</v>
      </c>
      <c r="V19" s="1">
        <f t="shared" si="0"/>
        <v>8.0897327717729644E-5</v>
      </c>
      <c r="W19" s="1">
        <f t="shared" si="1"/>
        <v>8.0897327717729644E-5</v>
      </c>
      <c r="Y19" s="44" t="s">
        <v>216</v>
      </c>
      <c r="Z19" s="1">
        <f>$V$11+$W$11</f>
        <v>250</v>
      </c>
      <c r="AA19" s="1">
        <v>0</v>
      </c>
      <c r="AC19" s="44" t="s">
        <v>216</v>
      </c>
      <c r="AD19" s="1">
        <f>$V$11+$Y$11</f>
        <v>566.79653624044829</v>
      </c>
      <c r="AE19" s="1">
        <v>0</v>
      </c>
    </row>
    <row r="20" spans="2:31">
      <c r="B20" s="1" t="s">
        <v>11</v>
      </c>
      <c r="C20" s="1">
        <f>CEILING(C11,1)</f>
        <v>3</v>
      </c>
      <c r="D20" s="1">
        <f>C20*C3</f>
        <v>3</v>
      </c>
      <c r="E20" s="1">
        <f>C20+D20</f>
        <v>6</v>
      </c>
      <c r="U20" s="1">
        <f t="shared" si="2"/>
        <v>60.606060606060609</v>
      </c>
      <c r="V20" s="1">
        <f t="shared" si="0"/>
        <v>1.6376213053574513E-4</v>
      </c>
      <c r="W20" s="1">
        <f t="shared" si="1"/>
        <v>1.6376213053574513E-4</v>
      </c>
      <c r="Y20" s="44" t="s">
        <v>218</v>
      </c>
      <c r="Z20" s="1">
        <f>Z19</f>
        <v>250</v>
      </c>
      <c r="AA20" s="1">
        <f>AA17</f>
        <v>7.9204462678126551E-3</v>
      </c>
      <c r="AC20" s="44" t="s">
        <v>218</v>
      </c>
      <c r="AD20" s="1">
        <f>AD19</f>
        <v>566.79653624044829</v>
      </c>
      <c r="AE20" s="1">
        <f>AE17</f>
        <v>0</v>
      </c>
    </row>
    <row r="21" spans="2:31">
      <c r="U21" s="1">
        <f t="shared" si="2"/>
        <v>72.727272727272734</v>
      </c>
      <c r="V21" s="1">
        <f t="shared" si="0"/>
        <v>3.1258598953711218E-4</v>
      </c>
      <c r="W21" s="1">
        <f t="shared" si="1"/>
        <v>3.1258598953711218E-4</v>
      </c>
    </row>
    <row r="22" spans="2:31">
      <c r="U22" s="1">
        <f t="shared" si="2"/>
        <v>84.848484848484858</v>
      </c>
      <c r="V22" s="1">
        <f t="shared" si="0"/>
        <v>5.6260328274556932E-4</v>
      </c>
      <c r="W22" s="1">
        <f t="shared" si="1"/>
        <v>5.6260328274556932E-4</v>
      </c>
      <c r="Y22" s="9" t="s">
        <v>221</v>
      </c>
      <c r="AC22" s="9" t="s">
        <v>223</v>
      </c>
    </row>
    <row r="23" spans="2:31">
      <c r="U23" s="1">
        <f t="shared" si="2"/>
        <v>96.969696969696983</v>
      </c>
      <c r="V23" s="1">
        <f t="shared" si="0"/>
        <v>9.5479852613707073E-4</v>
      </c>
      <c r="W23" s="1">
        <f t="shared" si="1"/>
        <v>9.5479852613707073E-4</v>
      </c>
      <c r="Y23" s="44" t="s">
        <v>217</v>
      </c>
      <c r="Z23" s="44" t="s">
        <v>214</v>
      </c>
      <c r="AA23" s="44" t="s">
        <v>215</v>
      </c>
      <c r="AC23" s="44" t="s">
        <v>217</v>
      </c>
      <c r="AD23" s="44" t="s">
        <v>214</v>
      </c>
      <c r="AE23" s="44" t="s">
        <v>215</v>
      </c>
    </row>
    <row r="24" spans="2:31">
      <c r="U24" s="1">
        <f t="shared" si="2"/>
        <v>109.09090909090911</v>
      </c>
      <c r="V24" s="1">
        <f t="shared" si="0"/>
        <v>1.5279105957013359E-3</v>
      </c>
      <c r="W24" s="1">
        <f t="shared" si="1"/>
        <v>1.5279105957013359E-3</v>
      </c>
      <c r="Y24" s="44" t="s">
        <v>216</v>
      </c>
      <c r="Z24" s="1">
        <f>$V$12-$W$12</f>
        <v>150</v>
      </c>
      <c r="AA24" s="1">
        <v>0</v>
      </c>
      <c r="AC24" s="44" t="s">
        <v>216</v>
      </c>
      <c r="AD24" s="1">
        <f>$V$12-$Y$12</f>
        <v>-166.79653624044829</v>
      </c>
      <c r="AE24" s="1">
        <v>0</v>
      </c>
    </row>
    <row r="25" spans="2:31">
      <c r="U25" s="1">
        <f t="shared" si="2"/>
        <v>121.21212121212123</v>
      </c>
      <c r="V25" s="1">
        <f t="shared" si="0"/>
        <v>2.3054774036885169E-3</v>
      </c>
      <c r="W25" s="1">
        <f t="shared" si="1"/>
        <v>2.3054774036885169E-3</v>
      </c>
      <c r="Y25" s="44" t="s">
        <v>218</v>
      </c>
      <c r="Z25" s="1">
        <f>Z24</f>
        <v>150</v>
      </c>
      <c r="AA25" s="1">
        <f>IF(Y13,MAX($W$15:$W$47),0)</f>
        <v>7.9204462678126551E-3</v>
      </c>
      <c r="AC25" s="44" t="s">
        <v>218</v>
      </c>
      <c r="AD25" s="1">
        <f>AD24</f>
        <v>-166.79653624044829</v>
      </c>
      <c r="AE25" s="1">
        <f>IF(AC13,MAX($W$15:$W$47),0)</f>
        <v>0</v>
      </c>
    </row>
    <row r="26" spans="2:31">
      <c r="U26" s="1">
        <f t="shared" si="2"/>
        <v>133.33333333333334</v>
      </c>
      <c r="V26" s="1">
        <f t="shared" si="0"/>
        <v>3.2802014935198738E-3</v>
      </c>
      <c r="W26" s="1">
        <f t="shared" si="1"/>
        <v>3.2802014935198738E-3</v>
      </c>
      <c r="Y26" s="44" t="s">
        <v>219</v>
      </c>
      <c r="Z26" s="44" t="s">
        <v>214</v>
      </c>
      <c r="AA26" s="44" t="s">
        <v>215</v>
      </c>
      <c r="AC26" s="44" t="s">
        <v>219</v>
      </c>
      <c r="AD26" s="44" t="s">
        <v>214</v>
      </c>
      <c r="AE26" s="44" t="s">
        <v>215</v>
      </c>
    </row>
    <row r="27" spans="2:31" ht="20.25" customHeight="1">
      <c r="U27" s="1">
        <f t="shared" si="2"/>
        <v>145.45454545454547</v>
      </c>
      <c r="V27" s="1">
        <f t="shared" si="0"/>
        <v>4.4006507073998157E-3</v>
      </c>
      <c r="W27" s="1">
        <f t="shared" si="1"/>
        <v>4.4006507073998157E-3</v>
      </c>
      <c r="Y27" s="44" t="s">
        <v>216</v>
      </c>
      <c r="Z27" s="1">
        <f>$V$12+$W$12</f>
        <v>250</v>
      </c>
      <c r="AA27" s="1">
        <v>0</v>
      </c>
      <c r="AC27" s="44" t="s">
        <v>216</v>
      </c>
      <c r="AD27" s="1">
        <f>$V$12+$Y$12</f>
        <v>566.79653624044829</v>
      </c>
      <c r="AE27" s="1">
        <v>0</v>
      </c>
    </row>
    <row r="28" spans="2:31" ht="20.25" customHeight="1">
      <c r="U28" s="1">
        <f t="shared" si="2"/>
        <v>157.57575757575759</v>
      </c>
      <c r="V28" s="1">
        <f t="shared" si="0"/>
        <v>5.5668561622342575E-3</v>
      </c>
      <c r="W28" s="1">
        <f t="shared" si="1"/>
        <v>5.5668561622342575E-3</v>
      </c>
      <c r="Y28" s="44" t="s">
        <v>218</v>
      </c>
      <c r="Z28" s="1">
        <f>Z27</f>
        <v>250</v>
      </c>
      <c r="AA28" s="1">
        <f>AA25</f>
        <v>7.9204462678126551E-3</v>
      </c>
      <c r="AC28" s="44" t="s">
        <v>218</v>
      </c>
      <c r="AD28" s="1">
        <f>AD27</f>
        <v>566.79653624044829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226</v>
      </c>
      <c r="AC30" s="47"/>
    </row>
    <row r="31" spans="2:31" ht="20.25" customHeight="1">
      <c r="U31" s="1">
        <f t="shared" si="2"/>
        <v>193.93939393939397</v>
      </c>
      <c r="V31" s="1">
        <f t="shared" si="0"/>
        <v>7.9204462678126551E-3</v>
      </c>
      <c r="W31" s="1">
        <f t="shared" si="1"/>
        <v>7.9204462678126551E-3</v>
      </c>
      <c r="Y31" s="44" t="s">
        <v>217</v>
      </c>
      <c r="Z31" s="44" t="s">
        <v>214</v>
      </c>
      <c r="AA31" s="44" t="s">
        <v>215</v>
      </c>
      <c r="AC31" s="44"/>
      <c r="AD31" s="44"/>
      <c r="AE31" s="44"/>
    </row>
    <row r="32" spans="2:31" ht="20.25" customHeight="1">
      <c r="U32" s="1">
        <f t="shared" si="2"/>
        <v>206.06060606060609</v>
      </c>
      <c r="V32" s="1">
        <f t="shared" si="0"/>
        <v>7.9204462678126551E-3</v>
      </c>
      <c r="W32" s="1">
        <f t="shared" si="1"/>
        <v>7.9204462678126551E-3</v>
      </c>
      <c r="Y32" s="44" t="s">
        <v>216</v>
      </c>
      <c r="Z32" s="1">
        <f>AVERAGE($V$11,$V$12)-($C$6/2)</f>
        <v>195</v>
      </c>
      <c r="AA32" s="1">
        <v>0</v>
      </c>
      <c r="AC32" s="44"/>
    </row>
    <row r="33" spans="2:31" ht="20.25" customHeight="1">
      <c r="U33" s="1">
        <f t="shared" si="2"/>
        <v>218.18181818181822</v>
      </c>
      <c r="V33" s="1">
        <f t="shared" si="0"/>
        <v>7.4683794750795745E-3</v>
      </c>
      <c r="W33" s="1">
        <f t="shared" si="1"/>
        <v>7.4683794750795745E-3</v>
      </c>
      <c r="Y33" s="44" t="s">
        <v>218</v>
      </c>
      <c r="Z33" s="1">
        <f>Z32</f>
        <v>195</v>
      </c>
      <c r="AA33" s="1">
        <f>IF($Y$29,MAX($V$15:$W$47),0)</f>
        <v>7.9204462678126551E-3</v>
      </c>
      <c r="AC33" s="44"/>
    </row>
    <row r="34" spans="2:31" ht="20.25" customHeight="1">
      <c r="U34" s="1">
        <f t="shared" si="2"/>
        <v>230.30303030303034</v>
      </c>
      <c r="V34" s="1">
        <f t="shared" si="0"/>
        <v>6.6401795995001634E-3</v>
      </c>
      <c r="W34" s="1">
        <f t="shared" si="1"/>
        <v>6.6401795995001634E-3</v>
      </c>
      <c r="Y34" s="44" t="s">
        <v>219</v>
      </c>
      <c r="Z34" s="44" t="s">
        <v>214</v>
      </c>
      <c r="AA34" s="44" t="s">
        <v>215</v>
      </c>
      <c r="AC34" s="44"/>
      <c r="AD34" s="44"/>
      <c r="AE34" s="44"/>
    </row>
    <row r="35" spans="2:31" ht="20.25" customHeight="1">
      <c r="U35" s="1">
        <f t="shared" si="2"/>
        <v>242.42424242424246</v>
      </c>
      <c r="V35" s="1">
        <f t="shared" si="0"/>
        <v>5.5668561622342523E-3</v>
      </c>
      <c r="W35" s="1">
        <f t="shared" si="1"/>
        <v>5.5668561622342523E-3</v>
      </c>
      <c r="Y35" s="44" t="s">
        <v>216</v>
      </c>
      <c r="Z35" s="1">
        <f>AVERAGE($V$11,$V$12)+($C$6/2)</f>
        <v>205</v>
      </c>
      <c r="AA35" s="1">
        <v>0</v>
      </c>
      <c r="AC35" s="44"/>
    </row>
    <row r="36" spans="2:31" ht="20.25" customHeight="1">
      <c r="U36" s="1">
        <f t="shared" si="2"/>
        <v>254.54545454545459</v>
      </c>
      <c r="V36" s="1">
        <f t="shared" si="0"/>
        <v>4.4006507073998096E-3</v>
      </c>
      <c r="W36" s="1">
        <f t="shared" si="1"/>
        <v>4.4006507073998096E-3</v>
      </c>
      <c r="Y36" s="44" t="s">
        <v>218</v>
      </c>
      <c r="Z36" s="1">
        <f>Z35</f>
        <v>205</v>
      </c>
      <c r="AA36" s="1">
        <f>AA33</f>
        <v>7.9204462678126551E-3</v>
      </c>
      <c r="AC36" s="4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123</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5370" r:id="rId4" name="Button 10">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5376" r:id="rId5" name="Check Box 16">
              <controlPr defaultSize="0" autoFill="0" autoLine="0" autoPict="0">
                <anchor moveWithCells="1">
                  <from>
                    <xdr:col>11</xdr:col>
                    <xdr:colOff>333375</xdr:colOff>
                    <xdr:row>8</xdr:row>
                    <xdr:rowOff>114300</xdr:rowOff>
                  </from>
                  <to>
                    <xdr:col>12</xdr:col>
                    <xdr:colOff>485775</xdr:colOff>
                    <xdr:row>9</xdr:row>
                    <xdr:rowOff>180975</xdr:rowOff>
                  </to>
                </anchor>
              </controlPr>
            </control>
          </mc:Choice>
        </mc:AlternateContent>
        <mc:AlternateContent xmlns:mc="http://schemas.openxmlformats.org/markup-compatibility/2006">
          <mc:Choice Requires="x14">
            <control shapeId="15377" r:id="rId6" name="Check Box 17">
              <controlPr defaultSize="0" autoFill="0" autoLine="0" autoPict="0">
                <anchor moveWithCells="1">
                  <from>
                    <xdr:col>11</xdr:col>
                    <xdr:colOff>333375</xdr:colOff>
                    <xdr:row>9</xdr:row>
                    <xdr:rowOff>180975</xdr:rowOff>
                  </from>
                  <to>
                    <xdr:col>12</xdr:col>
                    <xdr:colOff>485775</xdr:colOff>
                    <xdr:row>11</xdr:row>
                    <xdr:rowOff>28575</xdr:rowOff>
                  </to>
                </anchor>
              </controlPr>
            </control>
          </mc:Choice>
        </mc:AlternateContent>
        <mc:AlternateContent xmlns:mc="http://schemas.openxmlformats.org/markup-compatibility/2006">
          <mc:Choice Requires="x14">
            <control shapeId="15378" r:id="rId7" name="Check Box 18">
              <controlPr defaultSize="0" autoFill="0" autoLine="0" autoPict="0">
                <anchor moveWithCells="1">
                  <from>
                    <xdr:col>11</xdr:col>
                    <xdr:colOff>333375</xdr:colOff>
                    <xdr:row>11</xdr:row>
                    <xdr:rowOff>28575</xdr:rowOff>
                  </from>
                  <to>
                    <xdr:col>12</xdr:col>
                    <xdr:colOff>485775</xdr:colOff>
                    <xdr:row>12</xdr:row>
                    <xdr:rowOff>66675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40625" defaultRowHeight="12.75"/>
  <cols>
    <col min="1" max="1" width="5.140625" style="1" customWidth="1"/>
    <col min="2" max="2" width="21.42578125" style="1" customWidth="1"/>
    <col min="3" max="3" width="12.42578125" style="1" bestFit="1" customWidth="1"/>
    <col min="4" max="16384" width="9.140625" style="1"/>
  </cols>
  <sheetData>
    <row r="1" spans="2:31" ht="27" thickBot="1">
      <c r="B1" s="17" t="s">
        <v>71</v>
      </c>
      <c r="F1" s="9" t="s">
        <v>122</v>
      </c>
    </row>
    <row r="2" spans="2:31" ht="13.5" thickBot="1">
      <c r="B2" s="1" t="s">
        <v>1</v>
      </c>
      <c r="C2" s="2">
        <v>0.9</v>
      </c>
      <c r="D2" s="1" t="s">
        <v>21</v>
      </c>
    </row>
    <row r="3" spans="2:31" ht="13.5" thickBot="1">
      <c r="C3" s="10"/>
    </row>
    <row r="4" spans="2:31" ht="13.5" thickBot="1">
      <c r="B4" s="8" t="s">
        <v>59</v>
      </c>
      <c r="C4" s="13">
        <v>2.5000000000000001E-2</v>
      </c>
      <c r="D4" s="1" t="s">
        <v>65</v>
      </c>
    </row>
    <row r="5" spans="2:31" ht="16.5" thickBot="1">
      <c r="B5" s="8" t="s">
        <v>26</v>
      </c>
      <c r="C5" s="3">
        <v>20</v>
      </c>
      <c r="D5" s="1" t="s">
        <v>30</v>
      </c>
      <c r="U5" s="1" t="s">
        <v>56</v>
      </c>
    </row>
    <row r="6" spans="2:31" ht="16.5" thickBot="1">
      <c r="B6" s="1" t="s">
        <v>17</v>
      </c>
      <c r="C6" s="3">
        <v>10</v>
      </c>
      <c r="D6" s="1" t="s">
        <v>28</v>
      </c>
      <c r="U6" s="1">
        <v>1</v>
      </c>
    </row>
    <row r="7" spans="2:31" ht="16.5" thickBot="1">
      <c r="B7" s="12" t="s">
        <v>5</v>
      </c>
      <c r="C7" s="3">
        <v>2</v>
      </c>
      <c r="D7" s="1" t="s">
        <v>57</v>
      </c>
      <c r="I7" s="9" t="str">
        <f>IF(C7&gt;=C6,"WARNING: Expected mean difference higher than maximum allowable difference.","")</f>
        <v/>
      </c>
    </row>
    <row r="8" spans="2:31" ht="16.5" thickBot="1">
      <c r="B8" s="12" t="s">
        <v>119</v>
      </c>
      <c r="C8" s="11">
        <f>C6/C10</f>
        <v>0.5</v>
      </c>
    </row>
    <row r="10" spans="2:31" ht="16.5" thickBot="1">
      <c r="B10" s="8" t="s">
        <v>26</v>
      </c>
      <c r="C10" s="1">
        <f>C5</f>
        <v>20</v>
      </c>
      <c r="V10" s="44" t="s">
        <v>212</v>
      </c>
      <c r="W10" s="44" t="s">
        <v>210</v>
      </c>
      <c r="X10" s="44" t="s">
        <v>213</v>
      </c>
      <c r="Y10" s="44" t="s">
        <v>211</v>
      </c>
      <c r="AA10" s="44" t="s">
        <v>224</v>
      </c>
      <c r="AB10" s="44" t="s">
        <v>225</v>
      </c>
    </row>
    <row r="11" spans="2:31" ht="13.5" thickBot="1">
      <c r="B11" s="1" t="s">
        <v>0</v>
      </c>
      <c r="C11" s="7">
        <v>3</v>
      </c>
      <c r="U11" s="44" t="s">
        <v>206</v>
      </c>
      <c r="V11" s="30">
        <f>4*C5</f>
        <v>80</v>
      </c>
      <c r="W11" s="1">
        <f>$C$5</f>
        <v>20</v>
      </c>
      <c r="X11" s="1">
        <f>W11/SQRT(C20)</f>
        <v>11.547005383792516</v>
      </c>
      <c r="Y11" s="1">
        <f>TINV($C$4*2,$C$20-2)*X11</f>
        <v>146.7186144961793</v>
      </c>
      <c r="AA11" s="1">
        <f>V12+4*W12</f>
        <v>162</v>
      </c>
      <c r="AB11" s="1">
        <f>AA11/33</f>
        <v>4.9090909090909092</v>
      </c>
    </row>
    <row r="12" spans="2:31" ht="13.5" thickBot="1">
      <c r="B12" s="1" t="s">
        <v>2</v>
      </c>
      <c r="C12" s="1">
        <f>C11-2</f>
        <v>1</v>
      </c>
      <c r="U12" s="44" t="s">
        <v>207</v>
      </c>
      <c r="V12" s="30">
        <f>V11+C7</f>
        <v>82</v>
      </c>
      <c r="W12" s="1">
        <f>$C$5</f>
        <v>20</v>
      </c>
      <c r="X12" s="1">
        <f>W12/SQRT(C20)</f>
        <v>11.547005383792516</v>
      </c>
      <c r="Y12" s="1">
        <f>TINV($C$4*2,$C$20-2)*X12</f>
        <v>146.7186144961793</v>
      </c>
    </row>
    <row r="13" spans="2:31">
      <c r="B13" s="1" t="s">
        <v>8</v>
      </c>
      <c r="C13" s="1">
        <f>TINV(C4*2,C12)</f>
        <v>12.706204736174707</v>
      </c>
      <c r="Y13" s="1" t="b">
        <v>1</v>
      </c>
      <c r="AC13" s="1" t="b">
        <v>0</v>
      </c>
    </row>
    <row r="14" spans="2:31">
      <c r="B14" s="1" t="s">
        <v>3</v>
      </c>
      <c r="C14" s="1">
        <f>(C7-C6)*SQRT(C11)/SQRT(2*C10^2)</f>
        <v>-0.4898979485566356</v>
      </c>
      <c r="U14" s="44" t="s">
        <v>205</v>
      </c>
      <c r="V14" s="44" t="s">
        <v>208</v>
      </c>
      <c r="W14" s="44" t="s">
        <v>209</v>
      </c>
      <c r="Y14" s="9" t="s">
        <v>220</v>
      </c>
      <c r="AC14" s="9" t="s">
        <v>222</v>
      </c>
    </row>
    <row r="15" spans="2:31">
      <c r="B15" s="1" t="s">
        <v>4</v>
      </c>
      <c r="C15" s="1">
        <f>(C7+C6)*SQRT(C11)/SQRT(2*C10^2)</f>
        <v>0.73484692283495345</v>
      </c>
      <c r="U15" s="1">
        <v>0</v>
      </c>
      <c r="V15" s="1">
        <f>_xlfn.NORM.DIST($U15,$V$11,$C$5,FALSE)</f>
        <v>6.6915112882442679E-6</v>
      </c>
      <c r="W15" s="1">
        <f>_xlfn.NORM.DIST($U15,$V$12,$C$5,FALSE)</f>
        <v>4.4630828588566459E-6</v>
      </c>
      <c r="Y15" s="44" t="s">
        <v>217</v>
      </c>
      <c r="Z15" s="44" t="s">
        <v>214</v>
      </c>
      <c r="AA15" s="44" t="s">
        <v>215</v>
      </c>
      <c r="AC15" s="44" t="s">
        <v>217</v>
      </c>
      <c r="AD15" s="44" t="s">
        <v>214</v>
      </c>
      <c r="AE15" s="44" t="s">
        <v>215</v>
      </c>
    </row>
    <row r="16" spans="2:31">
      <c r="B16" s="1" t="s">
        <v>7</v>
      </c>
      <c r="C16" s="1">
        <f>NCt(-C13,C12,C14)</f>
        <v>4.3258955807578325E-2</v>
      </c>
      <c r="U16" s="1">
        <f>U15+$AB$11</f>
        <v>4.9090909090909092</v>
      </c>
      <c r="V16" s="1">
        <f t="shared" ref="V16:V47" si="0">_xlfn.NORM.DIST($U16,$V$11,$C$5,FALSE)</f>
        <v>1.7331644042574684E-5</v>
      </c>
      <c r="W16" s="1">
        <f t="shared" ref="W16:W47" si="1">_xlfn.NORM.DIST($U16,$V$12,$C$5,FALSE)</f>
        <v>1.1847056269290205E-5</v>
      </c>
      <c r="Y16" s="44" t="s">
        <v>216</v>
      </c>
      <c r="Z16" s="1">
        <f>$V$11-$W$11</f>
        <v>60</v>
      </c>
      <c r="AA16" s="1">
        <v>0</v>
      </c>
      <c r="AC16" s="44" t="s">
        <v>216</v>
      </c>
      <c r="AD16" s="1">
        <f>$V$11-$Y$11</f>
        <v>-66.718614496179299</v>
      </c>
      <c r="AE16" s="1">
        <v>0</v>
      </c>
    </row>
    <row r="17" spans="2:31">
      <c r="B17" s="1" t="s">
        <v>6</v>
      </c>
      <c r="C17" s="1">
        <f>NCt(C13,C12,C15)</f>
        <v>0.9455797911116457</v>
      </c>
      <c r="U17" s="1">
        <f t="shared" ref="U17:U47" si="2">U16+$AB$11</f>
        <v>9.8181818181818183</v>
      </c>
      <c r="V17" s="1">
        <f t="shared" si="0"/>
        <v>4.226588447591253E-5</v>
      </c>
      <c r="W17" s="1">
        <f t="shared" si="1"/>
        <v>2.9608786430913624E-5</v>
      </c>
      <c r="Y17" s="44" t="s">
        <v>218</v>
      </c>
      <c r="Z17" s="1">
        <f>Z16</f>
        <v>60</v>
      </c>
      <c r="AA17" s="1">
        <f>IF(Y13,MAX($V$15:$V$47),0)</f>
        <v>1.9894431016018829E-2</v>
      </c>
      <c r="AC17" s="44" t="s">
        <v>218</v>
      </c>
      <c r="AD17" s="1">
        <f>AD16</f>
        <v>-66.718614496179299</v>
      </c>
      <c r="AE17" s="1">
        <f>IF(AC13,MAX($V$15:$V$47),0)</f>
        <v>0</v>
      </c>
    </row>
    <row r="18" spans="2:31">
      <c r="B18" s="1" t="s">
        <v>58</v>
      </c>
      <c r="C18" s="1">
        <f>C16-C17</f>
        <v>-0.90232083530406737</v>
      </c>
      <c r="E18" s="5"/>
      <c r="U18" s="1">
        <f t="shared" si="2"/>
        <v>14.727272727272727</v>
      </c>
      <c r="V18" s="1">
        <f t="shared" si="0"/>
        <v>9.7045369327588643E-5</v>
      </c>
      <c r="W18" s="1">
        <f t="shared" si="1"/>
        <v>6.9673145586173971E-5</v>
      </c>
      <c r="Y18" s="44" t="s">
        <v>219</v>
      </c>
      <c r="Z18" s="44" t="s">
        <v>214</v>
      </c>
      <c r="AA18" s="44" t="s">
        <v>215</v>
      </c>
      <c r="AC18" s="44" t="s">
        <v>219</v>
      </c>
      <c r="AD18" s="44" t="s">
        <v>214</v>
      </c>
      <c r="AE18" s="44" t="s">
        <v>215</v>
      </c>
    </row>
    <row r="19" spans="2:31">
      <c r="C19" s="9"/>
      <c r="D19" s="9"/>
      <c r="U19" s="1">
        <f t="shared" si="2"/>
        <v>19.636363636363637</v>
      </c>
      <c r="V19" s="1">
        <f t="shared" si="0"/>
        <v>2.0979461060970466E-4</v>
      </c>
      <c r="W19" s="1">
        <f t="shared" si="1"/>
        <v>1.5436359491898969E-4</v>
      </c>
      <c r="Y19" s="44" t="s">
        <v>216</v>
      </c>
      <c r="Z19" s="1">
        <f>$V$11+$W$11</f>
        <v>100</v>
      </c>
      <c r="AA19" s="1">
        <v>0</v>
      </c>
      <c r="AC19" s="44" t="s">
        <v>216</v>
      </c>
      <c r="AD19" s="1">
        <f>$V$11+$Y$11</f>
        <v>226.7186144961793</v>
      </c>
      <c r="AE19" s="1">
        <v>0</v>
      </c>
    </row>
    <row r="20" spans="2:31">
      <c r="B20" s="1" t="s">
        <v>11</v>
      </c>
      <c r="C20" s="1">
        <f>CEILING(C11,1)</f>
        <v>3</v>
      </c>
      <c r="U20" s="1">
        <f t="shared" si="2"/>
        <v>24.545454545454547</v>
      </c>
      <c r="V20" s="1">
        <f t="shared" si="0"/>
        <v>4.2702027167173346E-4</v>
      </c>
      <c r="W20" s="1">
        <f t="shared" si="1"/>
        <v>3.2200232289244282E-4</v>
      </c>
      <c r="Y20" s="44" t="s">
        <v>218</v>
      </c>
      <c r="Z20" s="1">
        <f>Z19</f>
        <v>100</v>
      </c>
      <c r="AA20" s="1">
        <f>AA17</f>
        <v>1.9894431016018829E-2</v>
      </c>
      <c r="AC20" s="44" t="s">
        <v>218</v>
      </c>
      <c r="AD20" s="1">
        <f>AD19</f>
        <v>226.7186144961793</v>
      </c>
      <c r="AE20" s="1">
        <f>AE17</f>
        <v>0</v>
      </c>
    </row>
    <row r="21" spans="2:31">
      <c r="U21" s="1">
        <f t="shared" si="2"/>
        <v>29.454545454545457</v>
      </c>
      <c r="V21" s="1">
        <f t="shared" si="0"/>
        <v>8.1834665642959705E-4</v>
      </c>
      <c r="W21" s="1">
        <f t="shared" si="1"/>
        <v>6.3242318049964768E-4</v>
      </c>
    </row>
    <row r="22" spans="2:31">
      <c r="U22" s="1">
        <f t="shared" si="2"/>
        <v>34.363636363636367</v>
      </c>
      <c r="V22" s="1">
        <f t="shared" si="0"/>
        <v>1.4765929376495469E-3</v>
      </c>
      <c r="W22" s="1">
        <f t="shared" si="1"/>
        <v>1.1694757209192461E-3</v>
      </c>
      <c r="Y22" s="9" t="s">
        <v>221</v>
      </c>
      <c r="AC22" s="9" t="s">
        <v>223</v>
      </c>
    </row>
    <row r="23" spans="2:31">
      <c r="U23" s="1">
        <f t="shared" si="2"/>
        <v>39.272727272727273</v>
      </c>
      <c r="V23" s="1">
        <f t="shared" si="0"/>
        <v>2.5085277881360035E-3</v>
      </c>
      <c r="W23" s="1">
        <f t="shared" si="1"/>
        <v>2.0361477785416481E-3</v>
      </c>
      <c r="Y23" s="44" t="s">
        <v>217</v>
      </c>
      <c r="Z23" s="44" t="s">
        <v>214</v>
      </c>
      <c r="AA23" s="44" t="s">
        <v>215</v>
      </c>
      <c r="AC23" s="44" t="s">
        <v>217</v>
      </c>
      <c r="AD23" s="44" t="s">
        <v>214</v>
      </c>
      <c r="AE23" s="44" t="s">
        <v>215</v>
      </c>
    </row>
    <row r="24" spans="2:31">
      <c r="U24" s="1">
        <f t="shared" si="2"/>
        <v>44.18181818181818</v>
      </c>
      <c r="V24" s="1">
        <f t="shared" si="0"/>
        <v>4.0124690951094319E-3</v>
      </c>
      <c r="W24" s="1">
        <f t="shared" si="1"/>
        <v>3.3378132506082709E-3</v>
      </c>
      <c r="Y24" s="44" t="s">
        <v>216</v>
      </c>
      <c r="Z24" s="1">
        <f>$V$12-$W$12</f>
        <v>62</v>
      </c>
      <c r="AA24" s="1">
        <v>0</v>
      </c>
      <c r="AC24" s="44" t="s">
        <v>216</v>
      </c>
      <c r="AD24" s="1">
        <f>$V$12-$Y$12</f>
        <v>-64.718614496179299</v>
      </c>
      <c r="AE24" s="1">
        <v>0</v>
      </c>
    </row>
    <row r="25" spans="2:31">
      <c r="U25" s="1">
        <f t="shared" si="2"/>
        <v>49.090909090909086</v>
      </c>
      <c r="V25" s="1">
        <f t="shared" si="0"/>
        <v>6.0428127835749435E-3</v>
      </c>
      <c r="W25" s="1">
        <f t="shared" si="1"/>
        <v>5.1516865249837916E-3</v>
      </c>
      <c r="Y25" s="44" t="s">
        <v>218</v>
      </c>
      <c r="Z25" s="1">
        <f>Z24</f>
        <v>62</v>
      </c>
      <c r="AA25" s="1">
        <f>IF(Y13,MAX($W$15:$W$47),0)</f>
        <v>1.9894431016018833E-2</v>
      </c>
      <c r="AC25" s="44" t="s">
        <v>218</v>
      </c>
      <c r="AD25" s="1">
        <f>AD24</f>
        <v>-64.718614496179299</v>
      </c>
      <c r="AE25" s="1">
        <f>IF(AC13,MAX($W$15:$W$47),0)</f>
        <v>0</v>
      </c>
    </row>
    <row r="26" spans="2:31">
      <c r="U26" s="1">
        <f t="shared" si="2"/>
        <v>53.999999999999993</v>
      </c>
      <c r="V26" s="1">
        <f t="shared" si="0"/>
        <v>8.5684296023903657E-3</v>
      </c>
      <c r="W26" s="1">
        <f t="shared" si="1"/>
        <v>7.4863732817872387E-3</v>
      </c>
      <c r="Y26" s="44" t="s">
        <v>219</v>
      </c>
      <c r="Z26" s="44" t="s">
        <v>214</v>
      </c>
      <c r="AA26" s="44" t="s">
        <v>215</v>
      </c>
      <c r="AC26" s="44" t="s">
        <v>219</v>
      </c>
      <c r="AD26" s="44" t="s">
        <v>214</v>
      </c>
      <c r="AE26" s="44" t="s">
        <v>215</v>
      </c>
    </row>
    <row r="27" spans="2:31">
      <c r="U27" s="1">
        <f t="shared" si="2"/>
        <v>58.909090909090899</v>
      </c>
      <c r="V27" s="1">
        <f t="shared" si="0"/>
        <v>1.1439261324980412E-2</v>
      </c>
      <c r="W27" s="1">
        <f t="shared" si="1"/>
        <v>1.0243023799262131E-2</v>
      </c>
      <c r="Y27" s="44" t="s">
        <v>216</v>
      </c>
      <c r="Z27" s="1">
        <f>$V$12+$W$12</f>
        <v>102</v>
      </c>
      <c r="AA27" s="1">
        <v>0</v>
      </c>
      <c r="AC27" s="44" t="s">
        <v>216</v>
      </c>
      <c r="AD27" s="1">
        <f>$V$12+$Y$12</f>
        <v>228.7186144961793</v>
      </c>
      <c r="AE27" s="1">
        <v>0</v>
      </c>
    </row>
    <row r="28" spans="2:31">
      <c r="U28" s="1">
        <f t="shared" si="2"/>
        <v>63.818181818181806</v>
      </c>
      <c r="V28" s="1">
        <f t="shared" si="0"/>
        <v>1.4379023204720835E-2</v>
      </c>
      <c r="W28" s="1">
        <f t="shared" si="1"/>
        <v>1.3195308262186492E-2</v>
      </c>
      <c r="Y28" s="44" t="s">
        <v>218</v>
      </c>
      <c r="Z28" s="1">
        <f>Z27</f>
        <v>102</v>
      </c>
      <c r="AA28" s="1">
        <f>AA25</f>
        <v>1.9894431016018833E-2</v>
      </c>
      <c r="AC28" s="44" t="s">
        <v>218</v>
      </c>
      <c r="AD28" s="1">
        <f>AD27</f>
        <v>228.7186144961793</v>
      </c>
      <c r="AE28" s="1">
        <f>AE25</f>
        <v>0</v>
      </c>
    </row>
    <row r="29" spans="2:31">
      <c r="U29" s="1">
        <f t="shared" si="2"/>
        <v>68.72727272727272</v>
      </c>
      <c r="V29" s="1">
        <f t="shared" si="0"/>
        <v>1.7017487588748541E-2</v>
      </c>
      <c r="W29" s="1">
        <f t="shared" si="1"/>
        <v>1.6004626883487746E-2</v>
      </c>
      <c r="Y29" s="1" t="b">
        <v>1</v>
      </c>
    </row>
    <row r="30" spans="2:31">
      <c r="U30" s="1">
        <f t="shared" si="2"/>
        <v>73.636363636363626</v>
      </c>
      <c r="V30" s="1">
        <f t="shared" si="0"/>
        <v>1.8962524515457917E-2</v>
      </c>
      <c r="W30" s="1">
        <f t="shared" si="1"/>
        <v>1.8277055140371003E-2</v>
      </c>
      <c r="Y30" s="9" t="s">
        <v>226</v>
      </c>
    </row>
    <row r="31" spans="2:31">
      <c r="U31" s="1">
        <f t="shared" si="2"/>
        <v>78.545454545454533</v>
      </c>
      <c r="V31" s="1">
        <f t="shared" si="0"/>
        <v>1.9894431016018829E-2</v>
      </c>
      <c r="W31" s="1">
        <f t="shared" si="1"/>
        <v>1.9651764227432034E-2</v>
      </c>
      <c r="Y31" s="44" t="s">
        <v>217</v>
      </c>
      <c r="Z31" s="44" t="s">
        <v>214</v>
      </c>
      <c r="AA31" s="44" t="s">
        <v>215</v>
      </c>
    </row>
    <row r="32" spans="2:31">
      <c r="U32" s="1">
        <f t="shared" si="2"/>
        <v>83.454545454545439</v>
      </c>
      <c r="V32" s="1">
        <f t="shared" si="0"/>
        <v>1.9651764227432034E-2</v>
      </c>
      <c r="W32" s="1">
        <f t="shared" si="1"/>
        <v>1.9894431016018833E-2</v>
      </c>
      <c r="Y32" s="44" t="s">
        <v>216</v>
      </c>
      <c r="Z32" s="1">
        <f>AVERAGE($V$11,$V$12)-($C$6/2)</f>
        <v>76</v>
      </c>
      <c r="AA32" s="1">
        <v>0</v>
      </c>
    </row>
    <row r="33" spans="2:27">
      <c r="U33" s="1">
        <f t="shared" si="2"/>
        <v>88.363636363636346</v>
      </c>
      <c r="V33" s="1">
        <f t="shared" si="0"/>
        <v>1.8277055140371014E-2</v>
      </c>
      <c r="W33" s="1">
        <f t="shared" si="1"/>
        <v>1.8962524515457924E-2</v>
      </c>
      <c r="Y33" s="44" t="s">
        <v>218</v>
      </c>
      <c r="Z33" s="1">
        <f>Z32</f>
        <v>76</v>
      </c>
      <c r="AA33" s="1">
        <f>IF($Y$29,MAX($V$15:$W$47),0)</f>
        <v>1.9894431016018833E-2</v>
      </c>
    </row>
    <row r="34" spans="2:27">
      <c r="U34" s="1">
        <f t="shared" si="2"/>
        <v>93.272727272727252</v>
      </c>
      <c r="V34" s="1">
        <f t="shared" si="0"/>
        <v>1.6004626883487763E-2</v>
      </c>
      <c r="W34" s="1">
        <f t="shared" si="1"/>
        <v>1.7017487588748555E-2</v>
      </c>
      <c r="Y34" s="44" t="s">
        <v>219</v>
      </c>
      <c r="Z34" s="44" t="s">
        <v>214</v>
      </c>
      <c r="AA34" s="44" t="s">
        <v>215</v>
      </c>
    </row>
    <row r="35" spans="2:27">
      <c r="U35" s="1">
        <f t="shared" si="2"/>
        <v>98.181818181818159</v>
      </c>
      <c r="V35" s="1">
        <f t="shared" si="0"/>
        <v>1.3195308262186515E-2</v>
      </c>
      <c r="W35" s="1">
        <f t="shared" si="1"/>
        <v>1.4379023204720856E-2</v>
      </c>
      <c r="Y35" s="44" t="s">
        <v>216</v>
      </c>
      <c r="Z35" s="1">
        <f>AVERAGE($V$11,$V$12)+($C$6/2)</f>
        <v>86</v>
      </c>
      <c r="AA35" s="1">
        <v>0</v>
      </c>
    </row>
    <row r="36" spans="2:27">
      <c r="U36" s="1">
        <f t="shared" si="2"/>
        <v>103.09090909090907</v>
      </c>
      <c r="V36" s="1">
        <f t="shared" si="0"/>
        <v>1.024302379926215E-2</v>
      </c>
      <c r="W36" s="1">
        <f t="shared" si="1"/>
        <v>1.1439261324980434E-2</v>
      </c>
      <c r="Y36" s="44" t="s">
        <v>218</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123</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c r="B62" s="9" t="s">
        <v>125</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104775</xdr:colOff>
                    <xdr:row>21</xdr:row>
                    <xdr:rowOff>76200</xdr:rowOff>
                  </from>
                  <to>
                    <xdr:col>2</xdr:col>
                    <xdr:colOff>533400</xdr:colOff>
                    <xdr:row>23</xdr:row>
                    <xdr:rowOff>28575</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28575</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371475</xdr:colOff>
                    <xdr:row>7</xdr:row>
                    <xdr:rowOff>219075</xdr:rowOff>
                  </from>
                  <to>
                    <xdr:col>11</xdr:col>
                    <xdr:colOff>523875</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371475</xdr:colOff>
                    <xdr:row>9</xdr:row>
                    <xdr:rowOff>38100</xdr:rowOff>
                  </from>
                  <to>
                    <xdr:col>11</xdr:col>
                    <xdr:colOff>523875</xdr:colOff>
                    <xdr:row>10</xdr:row>
                    <xdr:rowOff>66675</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371475</xdr:colOff>
                    <xdr:row>10</xdr:row>
                    <xdr:rowOff>66675</xdr:rowOff>
                  </from>
                  <to>
                    <xdr:col>11</xdr:col>
                    <xdr:colOff>523875</xdr:colOff>
                    <xdr:row>11</xdr:row>
                    <xdr:rowOff>104775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72</v>
      </c>
      <c r="F1" s="9" t="s">
        <v>122</v>
      </c>
    </row>
    <row r="2" spans="2:31" ht="13.5" thickBot="1">
      <c r="B2" s="1" t="s">
        <v>1</v>
      </c>
      <c r="C2" s="2">
        <v>0.9</v>
      </c>
      <c r="D2" s="1" t="s">
        <v>21</v>
      </c>
      <c r="N2" s="44"/>
    </row>
    <row r="3" spans="2:31" ht="16.5"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3.5" thickBot="1">
      <c r="B8" s="12" t="s">
        <v>118</v>
      </c>
      <c r="C8" s="11">
        <f>C6/C5</f>
        <v>0.25</v>
      </c>
    </row>
    <row r="10" spans="2:31" ht="13.5" thickBot="1">
      <c r="B10" s="8" t="s">
        <v>18</v>
      </c>
      <c r="C10" s="1">
        <f>C5</f>
        <v>40</v>
      </c>
      <c r="V10" s="44" t="s">
        <v>212</v>
      </c>
      <c r="W10" s="44" t="s">
        <v>210</v>
      </c>
      <c r="X10" s="44" t="s">
        <v>213</v>
      </c>
      <c r="Y10" s="44" t="s">
        <v>211</v>
      </c>
      <c r="AA10" s="44" t="s">
        <v>224</v>
      </c>
      <c r="AB10" s="44" t="s">
        <v>225</v>
      </c>
    </row>
    <row r="11" spans="2:31" ht="13.5" thickBot="1">
      <c r="B11" s="1" t="s">
        <v>16</v>
      </c>
      <c r="C11" s="7">
        <v>3</v>
      </c>
      <c r="U11" s="44" t="s">
        <v>206</v>
      </c>
      <c r="V11" s="30">
        <f>4*C5</f>
        <v>160</v>
      </c>
      <c r="W11" s="1">
        <f>$C$5</f>
        <v>40</v>
      </c>
      <c r="X11" s="1">
        <f>W11/SQRT(C20)</f>
        <v>23.094010767585033</v>
      </c>
      <c r="Y11" s="1">
        <f>TINV($C$4*2,$C$20-2)*X11</f>
        <v>293.4372289923586</v>
      </c>
      <c r="AA11" s="1">
        <f>V12+4*W12</f>
        <v>318</v>
      </c>
      <c r="AB11" s="1">
        <f>AA11/33</f>
        <v>9.6363636363636367</v>
      </c>
    </row>
    <row r="12" spans="2:31" ht="13.5" thickBot="1">
      <c r="B12" s="1" t="s">
        <v>15</v>
      </c>
      <c r="C12" s="1">
        <f>C11*(C3+1)-2</f>
        <v>4</v>
      </c>
      <c r="U12" s="44" t="s">
        <v>207</v>
      </c>
      <c r="V12" s="30">
        <f>V11+C7</f>
        <v>158</v>
      </c>
      <c r="W12" s="1">
        <f>$C$5</f>
        <v>40</v>
      </c>
      <c r="X12" s="1">
        <f>W12/SQRT(C20)</f>
        <v>23.094010767585033</v>
      </c>
      <c r="Y12" s="1">
        <f>TINV($C$4*2,$C$20-2)*X12</f>
        <v>293.4372289923586</v>
      </c>
    </row>
    <row r="13" spans="2:31">
      <c r="B13" s="1" t="s">
        <v>27</v>
      </c>
      <c r="C13" s="1">
        <f>TINV(C4*2,C12)</f>
        <v>2.7764451051977934</v>
      </c>
      <c r="Y13" s="1" t="b">
        <v>1</v>
      </c>
      <c r="AC13" s="1" t="b">
        <v>0</v>
      </c>
    </row>
    <row r="14" spans="2:31">
      <c r="B14" s="1" t="s">
        <v>4</v>
      </c>
      <c r="C14" s="1">
        <f>ABS((C7-C6)*SQRT(C3*C11)/SQRT((C3+1)*C10^2))</f>
        <v>0.36742346141747673</v>
      </c>
      <c r="U14" s="44" t="s">
        <v>205</v>
      </c>
      <c r="V14" s="44" t="s">
        <v>208</v>
      </c>
      <c r="W14" s="44" t="s">
        <v>209</v>
      </c>
      <c r="Y14" s="9" t="s">
        <v>220</v>
      </c>
      <c r="AC14" s="9" t="s">
        <v>222</v>
      </c>
    </row>
    <row r="15" spans="2:31">
      <c r="U15" s="1">
        <v>0</v>
      </c>
      <c r="V15" s="1">
        <f>_xlfn.NORM.DIST($U15,$V$11,$C$5,FALSE)</f>
        <v>3.3457556441221339E-6</v>
      </c>
      <c r="W15" s="1">
        <f>_xlfn.NORM.DIST($U15,$V$12,$C$5,FALSE)</f>
        <v>4.0814102191560501E-6</v>
      </c>
      <c r="Y15" s="44" t="s">
        <v>217</v>
      </c>
      <c r="Z15" s="44" t="s">
        <v>214</v>
      </c>
      <c r="AA15" s="44" t="s">
        <v>215</v>
      </c>
      <c r="AC15" s="44" t="s">
        <v>217</v>
      </c>
      <c r="AD15" s="44" t="s">
        <v>214</v>
      </c>
      <c r="AE15" s="44" t="s">
        <v>215</v>
      </c>
    </row>
    <row r="16" spans="2:31">
      <c r="U16" s="1">
        <f>U15+$AB$11</f>
        <v>9.6363636363636367</v>
      </c>
      <c r="V16" s="1">
        <f t="shared" ref="V16:V47" si="0">_xlfn.NORM.DIST($U16,$V$11,$C$5,FALSE)</f>
        <v>8.5190969142286929E-6</v>
      </c>
      <c r="W16" s="1">
        <f t="shared" ref="W16:W47" si="1">_xlfn.NORM.DIST($U16,$V$12,$C$5,FALSE)</f>
        <v>1.0267821561026E-5</v>
      </c>
      <c r="Y16" s="44" t="s">
        <v>216</v>
      </c>
      <c r="Z16" s="1">
        <f>$V$11-$W$11</f>
        <v>120</v>
      </c>
      <c r="AA16" s="1">
        <v>0</v>
      </c>
      <c r="AC16" s="44" t="s">
        <v>216</v>
      </c>
      <c r="AD16" s="1">
        <f>$V$11-$Y$11</f>
        <v>-133.4372289923586</v>
      </c>
      <c r="AE16" s="1">
        <v>0</v>
      </c>
    </row>
    <row r="17" spans="2:31">
      <c r="B17" s="1" t="s">
        <v>6</v>
      </c>
      <c r="C17" s="1">
        <f>NCt(C13,C12,C14)</f>
        <v>0.95246089151523661</v>
      </c>
      <c r="U17" s="1">
        <f t="shared" ref="U17:U47" si="2">U16+$AB$11</f>
        <v>19.272727272727273</v>
      </c>
      <c r="V17" s="1">
        <f t="shared" si="0"/>
        <v>2.0468577754506402E-5</v>
      </c>
      <c r="W17" s="1">
        <f t="shared" si="1"/>
        <v>2.4374804800377278E-5</v>
      </c>
      <c r="Y17" s="44" t="s">
        <v>218</v>
      </c>
      <c r="Z17" s="1">
        <f>Z16</f>
        <v>120</v>
      </c>
      <c r="AA17" s="1">
        <f>IF(Y13,MAX($V$15:$V$47),0)</f>
        <v>9.928222971854481E-3</v>
      </c>
      <c r="AC17" s="44" t="s">
        <v>218</v>
      </c>
      <c r="AD17" s="1">
        <f>AD16</f>
        <v>-133.4372289923586</v>
      </c>
      <c r="AE17" s="1">
        <f>IF(AC13,MAX($V$15:$V$47),0)</f>
        <v>0</v>
      </c>
    </row>
    <row r="18" spans="2:31">
      <c r="B18" s="1" t="s">
        <v>58</v>
      </c>
      <c r="C18" s="1">
        <f>1-C17</f>
        <v>4.7539108484763393E-2</v>
      </c>
      <c r="E18" s="5"/>
      <c r="U18" s="1">
        <f t="shared" si="2"/>
        <v>28.90909090909091</v>
      </c>
      <c r="V18" s="1">
        <f t="shared" si="0"/>
        <v>4.6406257320390733E-5</v>
      </c>
      <c r="W18" s="1">
        <f t="shared" si="1"/>
        <v>5.4600767670238093E-5</v>
      </c>
      <c r="Y18" s="44" t="s">
        <v>219</v>
      </c>
      <c r="Z18" s="44" t="s">
        <v>214</v>
      </c>
      <c r="AA18" s="44" t="s">
        <v>215</v>
      </c>
      <c r="AC18" s="44" t="s">
        <v>219</v>
      </c>
      <c r="AD18" s="44" t="s">
        <v>214</v>
      </c>
      <c r="AE18" s="44" t="s">
        <v>215</v>
      </c>
    </row>
    <row r="19" spans="2:31" ht="14.25">
      <c r="C19" s="16" t="s">
        <v>63</v>
      </c>
      <c r="D19" s="16" t="s">
        <v>64</v>
      </c>
      <c r="E19" s="16" t="s">
        <v>66</v>
      </c>
      <c r="U19" s="1">
        <f t="shared" si="2"/>
        <v>38.545454545454547</v>
      </c>
      <c r="V19" s="1">
        <f t="shared" si="0"/>
        <v>9.9279638982201362E-5</v>
      </c>
      <c r="W19" s="1">
        <f t="shared" si="1"/>
        <v>1.1541204057253558E-4</v>
      </c>
      <c r="Y19" s="44" t="s">
        <v>216</v>
      </c>
      <c r="Z19" s="1">
        <f>$V$11+$W$11</f>
        <v>200</v>
      </c>
      <c r="AA19" s="1">
        <v>0</v>
      </c>
      <c r="AC19" s="44" t="s">
        <v>216</v>
      </c>
      <c r="AD19" s="1">
        <f>$V$11+$Y$11</f>
        <v>453.4372289923586</v>
      </c>
      <c r="AE19" s="1">
        <v>0</v>
      </c>
    </row>
    <row r="20" spans="2:31">
      <c r="B20" s="1" t="s">
        <v>11</v>
      </c>
      <c r="C20" s="1">
        <f>CEILING(C11,1)</f>
        <v>3</v>
      </c>
      <c r="D20" s="1">
        <f>C20*C3</f>
        <v>3</v>
      </c>
      <c r="E20" s="1">
        <f>C20+D20</f>
        <v>6</v>
      </c>
      <c r="U20" s="1">
        <f t="shared" si="2"/>
        <v>48.181818181818187</v>
      </c>
      <c r="V20" s="1">
        <f t="shared" si="0"/>
        <v>2.0041886726227857E-4</v>
      </c>
      <c r="W20" s="1">
        <f t="shared" si="1"/>
        <v>2.3019625784842797E-4</v>
      </c>
      <c r="Y20" s="44" t="s">
        <v>218</v>
      </c>
      <c r="Z20" s="1">
        <f>Z19</f>
        <v>200</v>
      </c>
      <c r="AA20" s="1">
        <f>AA17</f>
        <v>9.928222971854481E-3</v>
      </c>
      <c r="AC20" s="44" t="s">
        <v>218</v>
      </c>
      <c r="AD20" s="1">
        <f>AD19</f>
        <v>453.4372289923586</v>
      </c>
      <c r="AE20" s="1">
        <f>AE17</f>
        <v>0</v>
      </c>
    </row>
    <row r="21" spans="2:31">
      <c r="U21" s="1">
        <f t="shared" si="2"/>
        <v>57.818181818181827</v>
      </c>
      <c r="V21" s="1">
        <f t="shared" si="0"/>
        <v>3.8177878002529109E-4</v>
      </c>
      <c r="W21" s="1">
        <f t="shared" si="1"/>
        <v>4.3325159224338075E-4</v>
      </c>
    </row>
    <row r="22" spans="2:31">
      <c r="U22" s="1">
        <f t="shared" si="2"/>
        <v>67.454545454545467</v>
      </c>
      <c r="V22" s="1">
        <f t="shared" si="0"/>
        <v>6.8624585935270525E-4</v>
      </c>
      <c r="W22" s="1">
        <f t="shared" si="1"/>
        <v>7.6944369311148593E-4</v>
      </c>
      <c r="Y22" s="9" t="s">
        <v>221</v>
      </c>
      <c r="AC22" s="9" t="s">
        <v>223</v>
      </c>
    </row>
    <row r="23" spans="2:31">
      <c r="U23" s="1">
        <f t="shared" si="2"/>
        <v>77.090909090909108</v>
      </c>
      <c r="V23" s="1">
        <f t="shared" si="0"/>
        <v>1.1639717952255752E-3</v>
      </c>
      <c r="W23" s="1">
        <f t="shared" si="1"/>
        <v>1.2894612322899819E-3</v>
      </c>
      <c r="Y23" s="44" t="s">
        <v>217</v>
      </c>
      <c r="Z23" s="44" t="s">
        <v>214</v>
      </c>
      <c r="AA23" s="44" t="s">
        <v>215</v>
      </c>
      <c r="AC23" s="44" t="s">
        <v>217</v>
      </c>
      <c r="AD23" s="44" t="s">
        <v>214</v>
      </c>
      <c r="AE23" s="44" t="s">
        <v>215</v>
      </c>
    </row>
    <row r="24" spans="2:31">
      <c r="U24" s="1">
        <f t="shared" si="2"/>
        <v>86.727272727272748</v>
      </c>
      <c r="V24" s="1">
        <f t="shared" si="0"/>
        <v>1.8629446220754387E-3</v>
      </c>
      <c r="W24" s="1">
        <f t="shared" si="1"/>
        <v>2.0390811202563343E-3</v>
      </c>
      <c r="Y24" s="44" t="s">
        <v>216</v>
      </c>
      <c r="Z24" s="1">
        <f>$V$12-$W$12</f>
        <v>118</v>
      </c>
      <c r="AA24" s="1">
        <v>0</v>
      </c>
      <c r="AC24" s="44" t="s">
        <v>216</v>
      </c>
      <c r="AD24" s="1">
        <f>$V$12-$Y$12</f>
        <v>-135.4372289923586</v>
      </c>
      <c r="AE24" s="1">
        <v>0</v>
      </c>
    </row>
    <row r="25" spans="2:31">
      <c r="U25" s="1">
        <f t="shared" si="2"/>
        <v>96.363636363636388</v>
      </c>
      <c r="V25" s="1">
        <f t="shared" si="0"/>
        <v>2.8135342236326626E-3</v>
      </c>
      <c r="W25" s="1">
        <f t="shared" si="1"/>
        <v>3.0426744393168446E-3</v>
      </c>
      <c r="Y25" s="44" t="s">
        <v>218</v>
      </c>
      <c r="Z25" s="1">
        <f>Z24</f>
        <v>118</v>
      </c>
      <c r="AA25" s="1">
        <f>IF(Y13,MAX($W$15:$W$47),0)</f>
        <v>9.928222971854481E-3</v>
      </c>
      <c r="AC25" s="44" t="s">
        <v>218</v>
      </c>
      <c r="AD25" s="1">
        <f>AD24</f>
        <v>-135.4372289923586</v>
      </c>
      <c r="AE25" s="1">
        <f>IF(AC13,MAX($W$15:$W$47),0)</f>
        <v>0</v>
      </c>
    </row>
    <row r="26" spans="2:31">
      <c r="U26" s="1">
        <f t="shared" si="2"/>
        <v>106.00000000000003</v>
      </c>
      <c r="V26" s="1">
        <f t="shared" si="0"/>
        <v>4.0095831835479942E-3</v>
      </c>
      <c r="W26" s="1">
        <f t="shared" si="1"/>
        <v>4.2842148011951872E-3</v>
      </c>
      <c r="Y26" s="44" t="s">
        <v>219</v>
      </c>
      <c r="Z26" s="44" t="s">
        <v>214</v>
      </c>
      <c r="AA26" s="44" t="s">
        <v>215</v>
      </c>
      <c r="AC26" s="44" t="s">
        <v>219</v>
      </c>
      <c r="AD26" s="44" t="s">
        <v>214</v>
      </c>
      <c r="AE26" s="44" t="s">
        <v>215</v>
      </c>
    </row>
    <row r="27" spans="2:31">
      <c r="U27" s="1">
        <f t="shared" si="2"/>
        <v>115.63636363636367</v>
      </c>
      <c r="V27" s="1">
        <f t="shared" si="0"/>
        <v>5.3918899813496695E-3</v>
      </c>
      <c r="W27" s="1">
        <f t="shared" si="1"/>
        <v>5.6922210507011541E-3</v>
      </c>
      <c r="Y27" s="44" t="s">
        <v>216</v>
      </c>
      <c r="Z27" s="1">
        <f>$V$12+$W$12</f>
        <v>198</v>
      </c>
      <c r="AA27" s="1">
        <v>0</v>
      </c>
      <c r="AC27" s="44" t="s">
        <v>216</v>
      </c>
      <c r="AD27" s="1">
        <f>$V$12+$Y$12</f>
        <v>451.4372289923586</v>
      </c>
      <c r="AE27" s="1">
        <v>0</v>
      </c>
    </row>
    <row r="28" spans="2:31">
      <c r="U28" s="1">
        <f t="shared" si="2"/>
        <v>125.27272727272731</v>
      </c>
      <c r="V28" s="1">
        <f t="shared" si="0"/>
        <v>6.8419135888044902E-3</v>
      </c>
      <c r="W28" s="1">
        <f t="shared" si="1"/>
        <v>7.1365291724601312E-3</v>
      </c>
      <c r="Y28" s="44" t="s">
        <v>218</v>
      </c>
      <c r="Z28" s="1">
        <f>Z27</f>
        <v>198</v>
      </c>
      <c r="AA28" s="1">
        <f>AA25</f>
        <v>9.928222971854481E-3</v>
      </c>
      <c r="AC28" s="44" t="s">
        <v>218</v>
      </c>
      <c r="AD28" s="1">
        <f>AD27</f>
        <v>451.4372289923586</v>
      </c>
      <c r="AE28" s="1">
        <f>AE25</f>
        <v>0</v>
      </c>
    </row>
    <row r="29" spans="2:31">
      <c r="U29" s="1">
        <f t="shared" si="2"/>
        <v>134.90909090909093</v>
      </c>
      <c r="V29" s="1">
        <f t="shared" si="0"/>
        <v>8.1923578849734564E-3</v>
      </c>
      <c r="W29" s="1">
        <f t="shared" si="1"/>
        <v>8.442811682249288E-3</v>
      </c>
      <c r="Y29" s="1" t="b">
        <v>1</v>
      </c>
    </row>
    <row r="30" spans="2:31">
      <c r="U30" s="1">
        <f t="shared" si="2"/>
        <v>144.54545454545456</v>
      </c>
      <c r="V30" s="1">
        <f t="shared" si="0"/>
        <v>9.2562487307598553E-3</v>
      </c>
      <c r="W30" s="1">
        <f t="shared" si="1"/>
        <v>9.4250123504863344E-3</v>
      </c>
      <c r="Y30" s="9" t="s">
        <v>226</v>
      </c>
    </row>
    <row r="31" spans="2:31">
      <c r="U31" s="1">
        <f t="shared" si="2"/>
        <v>154.18181818181819</v>
      </c>
      <c r="V31" s="1">
        <f t="shared" si="0"/>
        <v>9.8686076960690251E-3</v>
      </c>
      <c r="W31" s="1">
        <f t="shared" si="1"/>
        <v>9.928222971854481E-3</v>
      </c>
      <c r="Y31" s="44" t="s">
        <v>217</v>
      </c>
      <c r="Z31" s="44" t="s">
        <v>214</v>
      </c>
      <c r="AA31" s="44" t="s">
        <v>215</v>
      </c>
    </row>
    <row r="32" spans="2:31">
      <c r="U32" s="1">
        <f t="shared" si="2"/>
        <v>163.81818181818181</v>
      </c>
      <c r="V32" s="1">
        <f t="shared" si="0"/>
        <v>9.928222971854481E-3</v>
      </c>
      <c r="W32" s="1">
        <f t="shared" si="1"/>
        <v>9.8686076960690251E-3</v>
      </c>
      <c r="Y32" s="44" t="s">
        <v>216</v>
      </c>
      <c r="Z32" s="1">
        <f>$V$12-$C$6</f>
        <v>148</v>
      </c>
      <c r="AA32" s="1">
        <v>0</v>
      </c>
    </row>
    <row r="33" spans="2:27">
      <c r="U33" s="1">
        <f t="shared" si="2"/>
        <v>173.45454545454544</v>
      </c>
      <c r="V33" s="1">
        <f t="shared" si="0"/>
        <v>9.4250123504863344E-3</v>
      </c>
      <c r="W33" s="1">
        <f t="shared" si="1"/>
        <v>9.2562487307598553E-3</v>
      </c>
      <c r="Y33" s="44" t="s">
        <v>218</v>
      </c>
      <c r="Z33" s="1">
        <f>Z32</f>
        <v>148</v>
      </c>
      <c r="AA33" s="1">
        <f>IF($Y$29,MAX($V$15:$W$47),0)</f>
        <v>9.928222971854481E-3</v>
      </c>
    </row>
    <row r="34" spans="2:27">
      <c r="U34" s="1">
        <f t="shared" si="2"/>
        <v>183.09090909090907</v>
      </c>
      <c r="V34" s="1">
        <f t="shared" si="0"/>
        <v>8.442811682249288E-3</v>
      </c>
      <c r="W34" s="1">
        <f t="shared" si="1"/>
        <v>8.1923578849734564E-3</v>
      </c>
      <c r="Y34" s="44" t="s">
        <v>219</v>
      </c>
      <c r="Z34" s="44" t="s">
        <v>214</v>
      </c>
      <c r="AA34" s="44" t="s">
        <v>215</v>
      </c>
    </row>
    <row r="35" spans="2:27">
      <c r="U35" s="1">
        <f t="shared" si="2"/>
        <v>192.72727272727269</v>
      </c>
      <c r="V35" s="1">
        <f t="shared" si="0"/>
        <v>7.1365291724601312E-3</v>
      </c>
      <c r="W35" s="1">
        <f t="shared" si="1"/>
        <v>6.8419135888044902E-3</v>
      </c>
      <c r="Y35" s="44" t="s">
        <v>216</v>
      </c>
      <c r="Z35" s="1">
        <f>$V$12+$C$6</f>
        <v>168</v>
      </c>
      <c r="AA35" s="1">
        <v>0</v>
      </c>
    </row>
    <row r="36" spans="2:27" ht="20.25" customHeight="1">
      <c r="U36" s="1">
        <f t="shared" si="2"/>
        <v>202.36363636363632</v>
      </c>
      <c r="V36" s="1">
        <f t="shared" si="0"/>
        <v>5.692221050701155E-3</v>
      </c>
      <c r="W36" s="1">
        <f t="shared" si="1"/>
        <v>5.3918899813496703E-3</v>
      </c>
      <c r="Y36" s="44" t="s">
        <v>218</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123</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c r="B64" s="9" t="s">
        <v>125</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600075</xdr:colOff>
                    <xdr:row>7</xdr:row>
                    <xdr:rowOff>180975</xdr:rowOff>
                  </from>
                  <to>
                    <xdr:col>13</xdr:col>
                    <xdr:colOff>142875</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600075</xdr:colOff>
                    <xdr:row>9</xdr:row>
                    <xdr:rowOff>38100</xdr:rowOff>
                  </from>
                  <to>
                    <xdr:col>13</xdr:col>
                    <xdr:colOff>142875</xdr:colOff>
                    <xdr:row>10</xdr:row>
                    <xdr:rowOff>104775</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600075</xdr:colOff>
                    <xdr:row>10</xdr:row>
                    <xdr:rowOff>104775</xdr:rowOff>
                  </from>
                  <to>
                    <xdr:col>13</xdr:col>
                    <xdr:colOff>142875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40625" defaultRowHeight="12.75"/>
  <cols>
    <col min="1" max="1" width="5.140625" style="1" customWidth="1"/>
    <col min="2" max="2" width="21.42578125" style="1" customWidth="1"/>
    <col min="3" max="16384" width="9.140625" style="1"/>
  </cols>
  <sheetData>
    <row r="1" spans="2:31" ht="27" thickBot="1">
      <c r="B1" s="17" t="s">
        <v>73</v>
      </c>
      <c r="G1" s="9" t="s">
        <v>122</v>
      </c>
    </row>
    <row r="2" spans="2:31" ht="13.5" thickBot="1">
      <c r="B2" s="1" t="s">
        <v>1</v>
      </c>
      <c r="C2" s="2">
        <v>0.9</v>
      </c>
      <c r="D2" s="1" t="s">
        <v>21</v>
      </c>
    </row>
    <row r="3" spans="2:31" ht="13.5" thickBot="1">
      <c r="C3" s="10"/>
    </row>
    <row r="4" spans="2:31" ht="13.5" thickBot="1">
      <c r="B4" s="8" t="s">
        <v>59</v>
      </c>
      <c r="C4" s="13">
        <v>2.5000000000000001E-2</v>
      </c>
      <c r="D4" s="1" t="s">
        <v>20</v>
      </c>
    </row>
    <row r="5" spans="2:31" ht="16.5" thickBot="1">
      <c r="B5" s="8" t="s">
        <v>26</v>
      </c>
      <c r="C5" s="3">
        <v>20</v>
      </c>
      <c r="D5" s="1" t="s">
        <v>30</v>
      </c>
      <c r="U5" s="1" t="s">
        <v>56</v>
      </c>
    </row>
    <row r="6" spans="2:31" ht="16.5" thickBot="1">
      <c r="B6" s="1" t="s">
        <v>17</v>
      </c>
      <c r="C6" s="3">
        <v>10</v>
      </c>
      <c r="D6" s="1" t="s">
        <v>29</v>
      </c>
      <c r="U6" s="1">
        <v>2</v>
      </c>
    </row>
    <row r="7" spans="2:31" ht="16.5" thickBot="1">
      <c r="B7" s="12" t="s">
        <v>5</v>
      </c>
      <c r="C7" s="3">
        <v>-2</v>
      </c>
      <c r="D7" s="44" t="s">
        <v>232</v>
      </c>
      <c r="K7" s="9" t="str">
        <f>IF(C7&gt;=C6,"WARNING: Expected mean difference higher than maximum allowable difference.","")</f>
        <v/>
      </c>
    </row>
    <row r="8" spans="2:31" ht="16.5" thickBot="1">
      <c r="B8" s="12" t="s">
        <v>119</v>
      </c>
      <c r="C8" s="11">
        <f>C6/C5</f>
        <v>0.5</v>
      </c>
    </row>
    <row r="10" spans="2:31" ht="16.5" thickBot="1">
      <c r="B10" s="8" t="s">
        <v>26</v>
      </c>
      <c r="C10" s="1">
        <f>C5</f>
        <v>20</v>
      </c>
      <c r="V10" s="44" t="s">
        <v>212</v>
      </c>
      <c r="W10" s="44" t="s">
        <v>210</v>
      </c>
      <c r="X10" s="44" t="s">
        <v>213</v>
      </c>
      <c r="Y10" s="44" t="s">
        <v>211</v>
      </c>
      <c r="AA10" s="44" t="s">
        <v>224</v>
      </c>
      <c r="AB10" s="44" t="s">
        <v>225</v>
      </c>
    </row>
    <row r="11" spans="2:31" ht="13.5" thickBot="1">
      <c r="B11" s="1" t="s">
        <v>16</v>
      </c>
      <c r="C11" s="7">
        <v>3</v>
      </c>
      <c r="U11" s="44" t="s">
        <v>206</v>
      </c>
      <c r="V11" s="30">
        <f>4*C5</f>
        <v>80</v>
      </c>
      <c r="W11" s="1">
        <f>$C$5</f>
        <v>20</v>
      </c>
      <c r="X11" s="1">
        <f>W11/SQRT(C20)</f>
        <v>11.547005383792516</v>
      </c>
      <c r="Y11" s="1">
        <f>TINV($C$4*2,$C$20-2)*X11</f>
        <v>146.7186144961793</v>
      </c>
      <c r="AA11" s="1">
        <f>V12+4*W12</f>
        <v>158</v>
      </c>
      <c r="AB11" s="1">
        <f>AA11/33</f>
        <v>4.7878787878787881</v>
      </c>
    </row>
    <row r="12" spans="2:31" ht="13.5" thickBot="1">
      <c r="B12" s="1" t="s">
        <v>15</v>
      </c>
      <c r="C12" s="1">
        <f>C11*(C3+1)-2</f>
        <v>1</v>
      </c>
      <c r="U12" s="44" t="s">
        <v>207</v>
      </c>
      <c r="V12" s="30">
        <f>V11+C7</f>
        <v>78</v>
      </c>
      <c r="W12" s="1">
        <f>$C$5</f>
        <v>20</v>
      </c>
      <c r="X12" s="1">
        <f>W12/SQRT(C20)</f>
        <v>11.547005383792516</v>
      </c>
      <c r="Y12" s="1">
        <f>TINV($C$4*2,$C$20-2)*X12</f>
        <v>146.7186144961793</v>
      </c>
    </row>
    <row r="13" spans="2:31">
      <c r="B13" s="1" t="s">
        <v>27</v>
      </c>
      <c r="C13" s="1">
        <f>TINV(C4*2,C12)</f>
        <v>12.706204736174707</v>
      </c>
      <c r="Y13" s="1" t="b">
        <v>1</v>
      </c>
      <c r="AC13" s="1" t="b">
        <v>0</v>
      </c>
    </row>
    <row r="14" spans="2:31">
      <c r="B14" s="1" t="s">
        <v>4</v>
      </c>
      <c r="C14" s="1">
        <f>ABS((C7-C6)*SQRT(C11)/SQRT(2*C10^2))</f>
        <v>0.73484692283495345</v>
      </c>
      <c r="U14" s="44" t="s">
        <v>205</v>
      </c>
      <c r="V14" s="44" t="s">
        <v>208</v>
      </c>
      <c r="W14" s="44" t="s">
        <v>209</v>
      </c>
      <c r="Y14" s="9" t="s">
        <v>220</v>
      </c>
      <c r="AC14" s="9" t="s">
        <v>222</v>
      </c>
    </row>
    <row r="15" spans="2:31">
      <c r="U15" s="1">
        <v>0</v>
      </c>
      <c r="V15" s="1">
        <f>_xlfn.NORM.DIST($U15,$V$11,$C$5,FALSE)</f>
        <v>6.6915112882442679E-6</v>
      </c>
      <c r="W15" s="1">
        <f>_xlfn.NORM.DIST($U15,$V$12,$C$5,FALSE)</f>
        <v>9.9327735696386359E-6</v>
      </c>
      <c r="Y15" s="44" t="s">
        <v>217</v>
      </c>
      <c r="Z15" s="44" t="s">
        <v>214</v>
      </c>
      <c r="AA15" s="44" t="s">
        <v>215</v>
      </c>
      <c r="AC15" s="44" t="s">
        <v>217</v>
      </c>
      <c r="AD15" s="44" t="s">
        <v>214</v>
      </c>
      <c r="AE15" s="44" t="s">
        <v>215</v>
      </c>
    </row>
    <row r="16" spans="2:31">
      <c r="U16" s="1">
        <f>U15+$AB$11</f>
        <v>4.7878787878787881</v>
      </c>
      <c r="V16" s="1">
        <f t="shared" ref="V16:V47" si="0">_xlfn.NORM.DIST($U16,$V$11,$C$5,FALSE)</f>
        <v>1.6941407610670937E-5</v>
      </c>
      <c r="W16" s="1">
        <f t="shared" ref="W16:W47" si="1">_xlfn.NORM.DIST($U16,$V$12,$C$5,FALSE)</f>
        <v>2.4552689145403102E-5</v>
      </c>
      <c r="Y16" s="44" t="s">
        <v>216</v>
      </c>
      <c r="Z16" s="1">
        <f>$V$11-$W$11</f>
        <v>60</v>
      </c>
      <c r="AA16" s="1">
        <v>0</v>
      </c>
      <c r="AC16" s="44" t="s">
        <v>216</v>
      </c>
      <c r="AD16" s="1">
        <f>$V$11-$Y$11</f>
        <v>-66.718614496179299</v>
      </c>
      <c r="AE16" s="1">
        <v>0</v>
      </c>
    </row>
    <row r="17" spans="2:31">
      <c r="B17" s="1" t="s">
        <v>6</v>
      </c>
      <c r="C17" s="1">
        <f>NCt(C13,C12,C14)</f>
        <v>0.9455797911116457</v>
      </c>
      <c r="U17" s="1">
        <f t="shared" ref="U17:U47" si="2">U16+$AB$11</f>
        <v>9.5757575757575761</v>
      </c>
      <c r="V17" s="1">
        <f t="shared" si="0"/>
        <v>4.0502850320500758E-5</v>
      </c>
      <c r="W17" s="1">
        <f t="shared" si="1"/>
        <v>5.7311056432337753E-5</v>
      </c>
      <c r="Y17" s="44" t="s">
        <v>218</v>
      </c>
      <c r="Z17" s="1">
        <f>Z16</f>
        <v>60</v>
      </c>
      <c r="AA17" s="1">
        <f>IF(Y13,MAX($V$15:$V$47),0)</f>
        <v>1.9898724584214315E-2</v>
      </c>
      <c r="AC17" s="44" t="s">
        <v>218</v>
      </c>
      <c r="AD17" s="1">
        <f>AD16</f>
        <v>-66.718614496179299</v>
      </c>
      <c r="AE17" s="1">
        <f>IF(AC13,MAX($V$15:$V$47),0)</f>
        <v>0</v>
      </c>
    </row>
    <row r="18" spans="2:31">
      <c r="B18" s="1" t="s">
        <v>58</v>
      </c>
      <c r="C18" s="1">
        <f>1-C17</f>
        <v>5.4420208888354304E-2</v>
      </c>
      <c r="E18" s="5"/>
      <c r="U18" s="1">
        <f t="shared" si="2"/>
        <v>14.363636363636363</v>
      </c>
      <c r="V18" s="1">
        <f t="shared" si="0"/>
        <v>9.1439217502151682E-5</v>
      </c>
      <c r="W18" s="1">
        <f t="shared" si="1"/>
        <v>1.2632478890519657E-4</v>
      </c>
      <c r="Y18" s="44" t="s">
        <v>219</v>
      </c>
      <c r="Z18" s="44" t="s">
        <v>214</v>
      </c>
      <c r="AA18" s="44" t="s">
        <v>215</v>
      </c>
      <c r="AC18" s="44" t="s">
        <v>219</v>
      </c>
      <c r="AD18" s="44" t="s">
        <v>214</v>
      </c>
      <c r="AE18" s="44" t="s">
        <v>215</v>
      </c>
    </row>
    <row r="19" spans="2:31">
      <c r="C19" s="9"/>
      <c r="D19" s="9"/>
      <c r="U19" s="1">
        <f t="shared" si="2"/>
        <v>19.151515151515152</v>
      </c>
      <c r="V19" s="1">
        <f t="shared" si="0"/>
        <v>1.9493518442765021E-4</v>
      </c>
      <c r="W19" s="1">
        <f t="shared" si="1"/>
        <v>2.6293570641790979E-4</v>
      </c>
      <c r="Y19" s="44" t="s">
        <v>216</v>
      </c>
      <c r="Z19" s="1">
        <f>$V$11+$W$11</f>
        <v>100</v>
      </c>
      <c r="AA19" s="1">
        <v>0</v>
      </c>
      <c r="AC19" s="44" t="s">
        <v>216</v>
      </c>
      <c r="AD19" s="1">
        <f>$V$11+$Y$11</f>
        <v>226.7186144961793</v>
      </c>
      <c r="AE19" s="1">
        <v>0</v>
      </c>
    </row>
    <row r="20" spans="2:31">
      <c r="B20" s="1" t="s">
        <v>11</v>
      </c>
      <c r="C20" s="1">
        <f>CEILING(C11,1)</f>
        <v>3</v>
      </c>
      <c r="U20" s="1">
        <f t="shared" si="2"/>
        <v>23.939393939393941</v>
      </c>
      <c r="V20" s="1">
        <f t="shared" si="0"/>
        <v>3.92426913151595E-4</v>
      </c>
      <c r="W20" s="1">
        <f t="shared" si="1"/>
        <v>5.1679865073369193E-4</v>
      </c>
      <c r="Y20" s="44" t="s">
        <v>218</v>
      </c>
      <c r="Z20" s="1">
        <f>Z19</f>
        <v>100</v>
      </c>
      <c r="AA20" s="1">
        <f>AA17</f>
        <v>1.9898724584214315E-2</v>
      </c>
      <c r="AC20" s="44" t="s">
        <v>218</v>
      </c>
      <c r="AD20" s="1">
        <f>AD19</f>
        <v>226.7186144961793</v>
      </c>
      <c r="AE20" s="1">
        <f>AE17</f>
        <v>0</v>
      </c>
    </row>
    <row r="21" spans="2:31">
      <c r="U21" s="1">
        <f t="shared" si="2"/>
        <v>28.72727272727273</v>
      </c>
      <c r="V21" s="1">
        <f t="shared" si="0"/>
        <v>7.4599884259869123E-4</v>
      </c>
      <c r="W21" s="1">
        <f t="shared" si="1"/>
        <v>9.5918856772456726E-4</v>
      </c>
    </row>
    <row r="22" spans="2:31">
      <c r="U22" s="1">
        <f t="shared" si="2"/>
        <v>33.515151515151516</v>
      </c>
      <c r="V22" s="1">
        <f t="shared" si="0"/>
        <v>1.3391472742514188E-3</v>
      </c>
      <c r="W22" s="1">
        <f t="shared" si="1"/>
        <v>1.6811150463606661E-3</v>
      </c>
      <c r="Y22" s="9" t="s">
        <v>221</v>
      </c>
      <c r="AC22" s="9" t="s">
        <v>223</v>
      </c>
    </row>
    <row r="23" spans="2:31">
      <c r="U23" s="1">
        <f t="shared" si="2"/>
        <v>38.303030303030305</v>
      </c>
      <c r="V23" s="1">
        <f t="shared" si="0"/>
        <v>2.2700182471111548E-3</v>
      </c>
      <c r="W23" s="1">
        <f t="shared" si="1"/>
        <v>2.7822855168983234E-3</v>
      </c>
      <c r="Y23" s="44" t="s">
        <v>217</v>
      </c>
      <c r="Z23" s="44" t="s">
        <v>214</v>
      </c>
      <c r="AA23" s="44" t="s">
        <v>215</v>
      </c>
      <c r="AC23" s="44" t="s">
        <v>217</v>
      </c>
      <c r="AD23" s="44" t="s">
        <v>214</v>
      </c>
      <c r="AE23" s="44" t="s">
        <v>215</v>
      </c>
    </row>
    <row r="24" spans="2:31">
      <c r="U24" s="1">
        <f t="shared" si="2"/>
        <v>43.090909090909093</v>
      </c>
      <c r="V24" s="1">
        <f t="shared" si="0"/>
        <v>3.6336339386543325E-3</v>
      </c>
      <c r="W24" s="1">
        <f t="shared" si="1"/>
        <v>4.3482727057223506E-3</v>
      </c>
      <c r="Y24" s="44" t="s">
        <v>216</v>
      </c>
      <c r="Z24" s="1">
        <f>$V$12-$W$12</f>
        <v>58</v>
      </c>
      <c r="AA24" s="1">
        <v>0</v>
      </c>
      <c r="AC24" s="44" t="s">
        <v>216</v>
      </c>
      <c r="AD24" s="1">
        <f>$V$12-$Y$12</f>
        <v>-68.718614496179299</v>
      </c>
      <c r="AE24" s="1">
        <v>0</v>
      </c>
    </row>
    <row r="25" spans="2:31">
      <c r="U25" s="1">
        <f t="shared" si="2"/>
        <v>47.878787878787882</v>
      </c>
      <c r="V25" s="1">
        <f t="shared" si="0"/>
        <v>5.4924209732535069E-3</v>
      </c>
      <c r="W25" s="1">
        <f t="shared" si="1"/>
        <v>6.4171570829679144E-3</v>
      </c>
      <c r="Y25" s="44" t="s">
        <v>218</v>
      </c>
      <c r="Z25" s="1">
        <f>Z24</f>
        <v>58</v>
      </c>
      <c r="AA25" s="1">
        <f>IF(Y13,MAX($W$15:$W$47),0)</f>
        <v>1.9898724584214312E-2</v>
      </c>
      <c r="AC25" s="44" t="s">
        <v>218</v>
      </c>
      <c r="AD25" s="1">
        <f>AD24</f>
        <v>-68.718614496179299</v>
      </c>
      <c r="AE25" s="1">
        <f>IF(AC13,MAX($W$15:$W$47),0)</f>
        <v>0</v>
      </c>
    </row>
    <row r="26" spans="2:31">
      <c r="U26" s="1">
        <f t="shared" si="2"/>
        <v>52.666666666666671</v>
      </c>
      <c r="V26" s="1">
        <f t="shared" si="0"/>
        <v>7.8396609192754318E-3</v>
      </c>
      <c r="W26" s="1">
        <f t="shared" si="1"/>
        <v>8.9429208247270298E-3</v>
      </c>
      <c r="Y26" s="44" t="s">
        <v>219</v>
      </c>
      <c r="Z26" s="44" t="s">
        <v>214</v>
      </c>
      <c r="AA26" s="44" t="s">
        <v>215</v>
      </c>
      <c r="AC26" s="44" t="s">
        <v>219</v>
      </c>
      <c r="AD26" s="44" t="s">
        <v>214</v>
      </c>
      <c r="AE26" s="44" t="s">
        <v>215</v>
      </c>
    </row>
    <row r="27" spans="2:31">
      <c r="U27" s="1">
        <f t="shared" si="2"/>
        <v>57.45454545454546</v>
      </c>
      <c r="V27" s="1">
        <f t="shared" si="0"/>
        <v>1.0566753093708884E-2</v>
      </c>
      <c r="W27" s="1">
        <f t="shared" si="1"/>
        <v>1.1768657388551491E-2</v>
      </c>
      <c r="Y27" s="44" t="s">
        <v>216</v>
      </c>
      <c r="Z27" s="1">
        <f>$V$12+$W$12</f>
        <v>98</v>
      </c>
      <c r="AA27" s="1">
        <v>0</v>
      </c>
      <c r="AC27" s="44" t="s">
        <v>216</v>
      </c>
      <c r="AD27" s="1">
        <f>$V$12+$Y$12</f>
        <v>224.7186144961793</v>
      </c>
      <c r="AE27" s="1">
        <v>0</v>
      </c>
    </row>
    <row r="28" spans="2:31">
      <c r="U28" s="1">
        <f t="shared" si="2"/>
        <v>62.242424242424249</v>
      </c>
      <c r="V28" s="1">
        <f t="shared" si="0"/>
        <v>1.344920640875991E-2</v>
      </c>
      <c r="W28" s="1">
        <f t="shared" si="1"/>
        <v>1.4624642962929819E-2</v>
      </c>
      <c r="Y28" s="44" t="s">
        <v>218</v>
      </c>
      <c r="Z28" s="1">
        <f>Z27</f>
        <v>98</v>
      </c>
      <c r="AA28" s="1">
        <f>AA25</f>
        <v>1.9898724584214312E-2</v>
      </c>
      <c r="AC28" s="44" t="s">
        <v>218</v>
      </c>
      <c r="AD28" s="1">
        <f>AD27</f>
        <v>224.7186144961793</v>
      </c>
      <c r="AE28" s="1">
        <f>AE25</f>
        <v>0</v>
      </c>
    </row>
    <row r="29" spans="2:31">
      <c r="U29" s="1">
        <f t="shared" si="2"/>
        <v>67.030303030303031</v>
      </c>
      <c r="V29" s="1">
        <f t="shared" si="0"/>
        <v>1.6164511205090763E-2</v>
      </c>
      <c r="W29" s="1">
        <f t="shared" si="1"/>
        <v>1.7161468335135825E-2</v>
      </c>
      <c r="Y29" s="1" t="b">
        <v>1</v>
      </c>
    </row>
    <row r="30" spans="2:31">
      <c r="U30" s="1">
        <f t="shared" si="2"/>
        <v>71.818181818181813</v>
      </c>
      <c r="V30" s="1">
        <f t="shared" si="0"/>
        <v>1.834591229138861E-2</v>
      </c>
      <c r="W30" s="1">
        <f t="shared" si="1"/>
        <v>1.9016668369460459E-2</v>
      </c>
      <c r="Y30" s="9" t="s">
        <v>226</v>
      </c>
    </row>
    <row r="31" spans="2:31">
      <c r="U31" s="1">
        <f t="shared" si="2"/>
        <v>76.606060606060595</v>
      </c>
      <c r="V31" s="1">
        <f t="shared" si="0"/>
        <v>1.9661962691716266E-2</v>
      </c>
      <c r="W31" s="1">
        <f t="shared" si="1"/>
        <v>1.9898724584214312E-2</v>
      </c>
      <c r="Y31" s="44" t="s">
        <v>217</v>
      </c>
      <c r="Z31" s="44" t="s">
        <v>214</v>
      </c>
      <c r="AA31" s="44" t="s">
        <v>215</v>
      </c>
    </row>
    <row r="32" spans="2:31">
      <c r="U32" s="1">
        <f t="shared" si="2"/>
        <v>81.393939393939377</v>
      </c>
      <c r="V32" s="1">
        <f t="shared" si="0"/>
        <v>1.9898724584214315E-2</v>
      </c>
      <c r="W32" s="1">
        <f t="shared" si="1"/>
        <v>1.9661962691716269E-2</v>
      </c>
      <c r="Y32" s="44" t="s">
        <v>216</v>
      </c>
      <c r="Z32" s="1">
        <f>$V$12-$C$6</f>
        <v>68</v>
      </c>
      <c r="AA32" s="1">
        <v>0</v>
      </c>
    </row>
    <row r="33" spans="2:27">
      <c r="U33" s="1">
        <f t="shared" si="2"/>
        <v>86.181818181818159</v>
      </c>
      <c r="V33" s="1">
        <f t="shared" si="0"/>
        <v>1.9016668369460466E-2</v>
      </c>
      <c r="W33" s="1">
        <f t="shared" si="1"/>
        <v>1.8345912291388617E-2</v>
      </c>
      <c r="Y33" s="44" t="s">
        <v>218</v>
      </c>
      <c r="Z33" s="1">
        <f>Z32</f>
        <v>68</v>
      </c>
      <c r="AA33" s="1">
        <f>IF($Y$29,MAX($V$15:$W$47),0)</f>
        <v>1.9898724584214315E-2</v>
      </c>
    </row>
    <row r="34" spans="2:27">
      <c r="U34" s="1">
        <f t="shared" si="2"/>
        <v>90.96969696969694</v>
      </c>
      <c r="V34" s="1">
        <f t="shared" si="0"/>
        <v>1.7161468335135838E-2</v>
      </c>
      <c r="W34" s="1">
        <f t="shared" si="1"/>
        <v>1.6164511205090777E-2</v>
      </c>
      <c r="Y34" s="44" t="s">
        <v>219</v>
      </c>
      <c r="Z34" s="44" t="s">
        <v>214</v>
      </c>
      <c r="AA34" s="44" t="s">
        <v>215</v>
      </c>
    </row>
    <row r="35" spans="2:27">
      <c r="U35" s="1">
        <f t="shared" si="2"/>
        <v>95.757575757575722</v>
      </c>
      <c r="V35" s="1">
        <f t="shared" si="0"/>
        <v>1.4624642962929837E-2</v>
      </c>
      <c r="W35" s="1">
        <f t="shared" si="1"/>
        <v>1.3449206408759923E-2</v>
      </c>
      <c r="Y35" s="44" t="s">
        <v>216</v>
      </c>
      <c r="Z35" s="1">
        <f>$V$12+$C$6</f>
        <v>88</v>
      </c>
      <c r="AA35" s="1">
        <v>0</v>
      </c>
    </row>
    <row r="36" spans="2:27">
      <c r="U36" s="1">
        <f t="shared" si="2"/>
        <v>100.5454545454545</v>
      </c>
      <c r="V36" s="1">
        <f t="shared" si="0"/>
        <v>1.176865738855151E-2</v>
      </c>
      <c r="W36" s="1">
        <f t="shared" si="1"/>
        <v>1.0566753093708905E-2</v>
      </c>
      <c r="Y36" s="44" t="s">
        <v>218</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123</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c r="B58" s="9" t="s">
        <v>125</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104775</xdr:colOff>
                    <xdr:row>21</xdr:row>
                    <xdr:rowOff>76200</xdr:rowOff>
                  </from>
                  <to>
                    <xdr:col>2</xdr:col>
                    <xdr:colOff>523875</xdr:colOff>
                    <xdr:row>23</xdr:row>
                    <xdr:rowOff>28575</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600075</xdr:colOff>
                    <xdr:row>21</xdr:row>
                    <xdr:rowOff>76200</xdr:rowOff>
                  </from>
                  <to>
                    <xdr:col>4</xdr:col>
                    <xdr:colOff>219075</xdr:colOff>
                    <xdr:row>23</xdr:row>
                    <xdr:rowOff>28575</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485775</xdr:colOff>
                    <xdr:row>8</xdr:row>
                    <xdr:rowOff>66675</xdr:rowOff>
                  </from>
                  <to>
                    <xdr:col>12</xdr:col>
                    <xdr:colOff>28575</xdr:colOff>
                    <xdr:row>9</xdr:row>
                    <xdr:rowOff>104775</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485775</xdr:colOff>
                    <xdr:row>9</xdr:row>
                    <xdr:rowOff>104775</xdr:rowOff>
                  </from>
                  <to>
                    <xdr:col>12</xdr:col>
                    <xdr:colOff>28575</xdr:colOff>
                    <xdr:row>10</xdr:row>
                    <xdr:rowOff>104775</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485775</xdr:colOff>
                    <xdr:row>10</xdr:row>
                    <xdr:rowOff>104775</xdr:rowOff>
                  </from>
                  <to>
                    <xdr:col>12</xdr:col>
                    <xdr:colOff>28575</xdr:colOff>
                    <xdr:row>11</xdr:row>
                    <xdr:rowOff>142875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75</v>
      </c>
      <c r="G1" s="9" t="s">
        <v>122</v>
      </c>
    </row>
    <row r="2" spans="2:31" ht="13.5" thickBot="1">
      <c r="B2" s="1" t="s">
        <v>1</v>
      </c>
      <c r="C2" s="2">
        <v>0.8</v>
      </c>
    </row>
    <row r="3" spans="2:31" ht="13.5" thickBot="1">
      <c r="B3" s="1" t="s">
        <v>233</v>
      </c>
      <c r="C3" s="49">
        <v>1</v>
      </c>
      <c r="D3" s="1" t="s">
        <v>234</v>
      </c>
    </row>
    <row r="4" spans="2:31" ht="13.5" thickBot="1">
      <c r="B4" s="8" t="s">
        <v>59</v>
      </c>
      <c r="C4" s="2">
        <v>0.05</v>
      </c>
    </row>
    <row r="5" spans="2:31" ht="13.5" thickBot="1">
      <c r="B5" s="44" t="s">
        <v>237</v>
      </c>
      <c r="C5" s="43">
        <v>0.8</v>
      </c>
      <c r="D5" s="76" t="s">
        <v>248</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5" thickBot="1">
      <c r="B10" s="12" t="s">
        <v>18</v>
      </c>
      <c r="C10" s="1">
        <f>SQRT(LN((C5)^2+1))</f>
        <v>0.70334645931866824</v>
      </c>
      <c r="V10" s="44" t="s">
        <v>212</v>
      </c>
      <c r="W10" s="44" t="s">
        <v>210</v>
      </c>
      <c r="X10" s="44" t="s">
        <v>213</v>
      </c>
      <c r="Y10" s="44" t="s">
        <v>211</v>
      </c>
      <c r="AA10" s="44" t="s">
        <v>224</v>
      </c>
      <c r="AB10" s="44" t="s">
        <v>225</v>
      </c>
    </row>
    <row r="11" spans="2:31" ht="16.5" thickBot="1">
      <c r="B11" s="1" t="s">
        <v>35</v>
      </c>
      <c r="C11" s="7">
        <v>3</v>
      </c>
      <c r="U11" s="44" t="s">
        <v>206</v>
      </c>
      <c r="V11" s="45">
        <f>C6</f>
        <v>0.95</v>
      </c>
      <c r="W11" s="1">
        <f>$C$10</f>
        <v>0.70334645931866824</v>
      </c>
      <c r="X11" s="1">
        <f>W11/SQRT(C20)</f>
        <v>0.40607726762120328</v>
      </c>
      <c r="Y11" s="1">
        <f>TINV($C$4*2,$C$20-2)*X11</f>
        <v>2.5638709635184753</v>
      </c>
      <c r="AA11" s="46">
        <f>V11+4*W11</f>
        <v>3.7633858372746731</v>
      </c>
      <c r="AB11" s="1">
        <f>AA11/33</f>
        <v>0.11404199506892949</v>
      </c>
    </row>
    <row r="12" spans="2:31" ht="15.75">
      <c r="B12" s="1" t="s">
        <v>36</v>
      </c>
      <c r="C12" s="1">
        <f>C11*(C3+1)-2</f>
        <v>4</v>
      </c>
      <c r="U12" s="44"/>
    </row>
    <row r="13" spans="2:31" ht="15.75">
      <c r="B13" s="1" t="s">
        <v>37</v>
      </c>
      <c r="C13" s="1">
        <f>TINV(C4*2,C12)</f>
        <v>2.1318467863266499</v>
      </c>
      <c r="Y13" s="1" t="b">
        <v>0</v>
      </c>
      <c r="AC13" s="1" t="b">
        <v>1</v>
      </c>
    </row>
    <row r="14" spans="2:31">
      <c r="B14" s="1" t="s">
        <v>3</v>
      </c>
      <c r="C14" s="1">
        <f>SQRT(C3*C11)*(LN(C6)-LN(C8))/SQRT((C3+1)*C10^2)</f>
        <v>-0.47787987675335786</v>
      </c>
      <c r="U14" s="44" t="s">
        <v>205</v>
      </c>
      <c r="V14" s="44" t="s">
        <v>227</v>
      </c>
      <c r="W14" s="44"/>
      <c r="Y14" s="9" t="s">
        <v>220</v>
      </c>
      <c r="AC14" s="9" t="s">
        <v>222</v>
      </c>
    </row>
    <row r="15" spans="2:31">
      <c r="B15" s="1" t="s">
        <v>4</v>
      </c>
      <c r="C15" s="1">
        <f>SQRT(C3*C11)*(LN(C6)-LN(C7))/SQRT((C3+1)*C10^2)</f>
        <v>0.29924472929335222</v>
      </c>
      <c r="N15" s="44" t="s">
        <v>245</v>
      </c>
      <c r="U15" s="1">
        <v>0</v>
      </c>
      <c r="V15" s="1">
        <f>_xlfn.NORM.DIST($U15,$V$11,$C$5,FALSE)</f>
        <v>0.24638175239823415</v>
      </c>
      <c r="Y15" s="44" t="s">
        <v>217</v>
      </c>
      <c r="Z15" s="44" t="s">
        <v>214</v>
      </c>
      <c r="AA15" s="44" t="s">
        <v>215</v>
      </c>
      <c r="AC15" s="44" t="s">
        <v>217</v>
      </c>
      <c r="AD15" s="44" t="s">
        <v>214</v>
      </c>
      <c r="AE15" s="44" t="s">
        <v>215</v>
      </c>
    </row>
    <row r="16" spans="2:31">
      <c r="B16" s="1" t="s">
        <v>7</v>
      </c>
      <c r="C16" s="1">
        <f>NCt(-C13,C12,C14)</f>
        <v>0.10711223508099388</v>
      </c>
      <c r="N16" s="44" t="s">
        <v>246</v>
      </c>
      <c r="U16" s="1">
        <f>U15+$AB$11</f>
        <v>0.11404199506892949</v>
      </c>
      <c r="V16" s="1">
        <f t="shared" ref="V16:V47" si="0">_xlfn.NORM.DIST($U16,$V$11,$C$5,FALSE)</f>
        <v>0.2888774794762195</v>
      </c>
      <c r="Y16" s="44" t="s">
        <v>216</v>
      </c>
      <c r="Z16" s="1">
        <f>$V$11-$W$11</f>
        <v>0.24665354068133172</v>
      </c>
      <c r="AA16" s="1">
        <v>0</v>
      </c>
      <c r="AC16" s="44" t="s">
        <v>216</v>
      </c>
      <c r="AD16" s="1">
        <f>$V$11-$Y$11</f>
        <v>-1.6138709635184754</v>
      </c>
      <c r="AE16" s="1">
        <v>0</v>
      </c>
    </row>
    <row r="17" spans="2:31" ht="13.5" thickBot="1">
      <c r="B17" s="1" t="s">
        <v>6</v>
      </c>
      <c r="C17" s="1">
        <f>NCt(C13,C12,C15)</f>
        <v>0.91805097802087354</v>
      </c>
      <c r="N17" s="56" t="s">
        <v>247</v>
      </c>
      <c r="O17" s="57"/>
      <c r="P17" s="58"/>
      <c r="U17" s="1">
        <f t="shared" ref="U17:U47" si="1">U16+$AB$11</f>
        <v>0.22808399013785899</v>
      </c>
      <c r="V17" s="1">
        <f t="shared" si="0"/>
        <v>0.33188944549186422</v>
      </c>
      <c r="Y17" s="44" t="s">
        <v>218</v>
      </c>
      <c r="Z17" s="1">
        <f>Z16</f>
        <v>0.24665354068133172</v>
      </c>
      <c r="AA17" s="1">
        <f>IF(Y13,MAX($V$15:$V$47),0)</f>
        <v>0</v>
      </c>
      <c r="AC17" s="44" t="s">
        <v>218</v>
      </c>
      <c r="AD17" s="1">
        <f>AD16</f>
        <v>-1.6138709635184754</v>
      </c>
      <c r="AE17" s="1">
        <f>IF(AC13,MAX($V$15:$V$47),0)</f>
        <v>0.49812548917176475</v>
      </c>
    </row>
    <row r="18" spans="2:31" ht="13.5" thickBot="1">
      <c r="B18" s="1" t="s">
        <v>58</v>
      </c>
      <c r="C18" s="1">
        <f>C16-C17</f>
        <v>-0.81093874293987966</v>
      </c>
      <c r="E18" s="5"/>
      <c r="N18" s="59" t="s">
        <v>238</v>
      </c>
      <c r="O18" s="64">
        <v>0.3</v>
      </c>
      <c r="P18" s="60"/>
      <c r="U18" s="1">
        <f t="shared" si="1"/>
        <v>0.3421259852067885</v>
      </c>
      <c r="V18" s="1">
        <f t="shared" si="0"/>
        <v>0.37363521879612333</v>
      </c>
      <c r="Y18" s="44" t="s">
        <v>219</v>
      </c>
      <c r="Z18" s="44" t="s">
        <v>214</v>
      </c>
      <c r="AA18" s="44" t="s">
        <v>215</v>
      </c>
      <c r="AC18" s="44" t="s">
        <v>219</v>
      </c>
      <c r="AD18" s="44" t="s">
        <v>214</v>
      </c>
      <c r="AE18" s="44" t="s">
        <v>215</v>
      </c>
    </row>
    <row r="19" spans="2:31" ht="15" thickBot="1">
      <c r="C19" s="16" t="s">
        <v>63</v>
      </c>
      <c r="D19" s="16" t="s">
        <v>64</v>
      </c>
      <c r="E19" s="16" t="s">
        <v>66</v>
      </c>
      <c r="N19" s="59" t="s">
        <v>239</v>
      </c>
      <c r="O19" s="64">
        <v>0.2</v>
      </c>
      <c r="P19" s="60"/>
      <c r="U19" s="1">
        <f t="shared" si="1"/>
        <v>0.45616798027571798</v>
      </c>
      <c r="V19" s="1">
        <f t="shared" si="0"/>
        <v>0.41217038093519348</v>
      </c>
      <c r="Y19" s="44" t="s">
        <v>216</v>
      </c>
      <c r="Z19" s="1">
        <f>$V$11+$W$11</f>
        <v>1.6533464593186682</v>
      </c>
      <c r="AA19" s="1">
        <v>0</v>
      </c>
      <c r="AC19" s="44" t="s">
        <v>216</v>
      </c>
      <c r="AD19" s="1">
        <f>$V$11+$Y$11</f>
        <v>3.5138709635184755</v>
      </c>
      <c r="AE19" s="1">
        <v>0</v>
      </c>
    </row>
    <row r="20" spans="2:31">
      <c r="B20" s="1" t="s">
        <v>11</v>
      </c>
      <c r="C20" s="1">
        <f>CEILING(C11,1)</f>
        <v>3</v>
      </c>
      <c r="D20" s="1">
        <f>C20*C3</f>
        <v>3</v>
      </c>
      <c r="E20" s="1">
        <f>C20+D20</f>
        <v>6</v>
      </c>
      <c r="N20" s="61" t="s">
        <v>240</v>
      </c>
      <c r="O20" s="62">
        <f>SQRT(EXP(AVERAGE(LN(O18^2+1),LN(O19^2+1)))-1)</f>
        <v>0.25437478714780926</v>
      </c>
      <c r="P20" s="63"/>
      <c r="U20" s="1">
        <f t="shared" si="1"/>
        <v>0.57020997534464746</v>
      </c>
      <c r="V20" s="1">
        <f t="shared" si="0"/>
        <v>0.44553349777912132</v>
      </c>
      <c r="Y20" s="44" t="s">
        <v>218</v>
      </c>
      <c r="Z20" s="1">
        <f>Z19</f>
        <v>1.6533464593186682</v>
      </c>
      <c r="AA20" s="1">
        <f>AA17</f>
        <v>0</v>
      </c>
      <c r="AC20" s="44" t="s">
        <v>218</v>
      </c>
      <c r="AD20" s="1">
        <f>AD19</f>
        <v>3.5138709635184755</v>
      </c>
      <c r="AE20" s="1">
        <f>AE17</f>
        <v>0.49812548917176475</v>
      </c>
    </row>
    <row r="21" spans="2:31">
      <c r="U21" s="1">
        <f t="shared" si="1"/>
        <v>0.68425197041357699</v>
      </c>
      <c r="V21" s="1">
        <f t="shared" si="0"/>
        <v>0.4719093196270166</v>
      </c>
    </row>
    <row r="22" spans="2:31">
      <c r="U22" s="1">
        <f t="shared" si="1"/>
        <v>0.79829396548250653</v>
      </c>
      <c r="V22" s="1">
        <f t="shared" si="0"/>
        <v>0.48979162540430449</v>
      </c>
      <c r="Y22" s="9"/>
      <c r="AC22" s="9"/>
    </row>
    <row r="23" spans="2:31">
      <c r="U23" s="1">
        <f t="shared" si="1"/>
        <v>0.91233596055143606</v>
      </c>
      <c r="V23" s="1">
        <f t="shared" si="0"/>
        <v>0.49812548917176475</v>
      </c>
      <c r="Y23" s="44"/>
      <c r="Z23" s="44"/>
      <c r="AA23" s="44"/>
      <c r="AC23" s="44"/>
      <c r="AD23" s="44"/>
      <c r="AE23" s="44"/>
    </row>
    <row r="24" spans="2:31">
      <c r="U24" s="1">
        <f t="shared" si="1"/>
        <v>1.0263779556203656</v>
      </c>
      <c r="V24" s="1">
        <f t="shared" si="0"/>
        <v>0.49641030037181422</v>
      </c>
      <c r="Y24" s="44"/>
      <c r="AC24" s="44"/>
    </row>
    <row r="25" spans="2:31">
      <c r="U25" s="1">
        <f t="shared" si="1"/>
        <v>1.1404199506892951</v>
      </c>
      <c r="V25" s="1">
        <f t="shared" si="0"/>
        <v>0.48474954788740393</v>
      </c>
      <c r="Y25" s="44"/>
      <c r="AC25" s="44"/>
    </row>
    <row r="26" spans="2:31">
      <c r="U26" s="1">
        <f t="shared" si="1"/>
        <v>1.2544619457582247</v>
      </c>
      <c r="V26" s="1">
        <f t="shared" si="0"/>
        <v>0.46384048284340523</v>
      </c>
      <c r="Y26" s="44"/>
      <c r="Z26" s="44"/>
      <c r="AA26" s="44"/>
      <c r="AC26" s="44"/>
      <c r="AD26" s="44"/>
      <c r="AE26" s="44"/>
    </row>
    <row r="27" spans="2:31">
      <c r="U27" s="1">
        <f t="shared" si="1"/>
        <v>1.3685039408271542</v>
      </c>
      <c r="V27" s="1">
        <f t="shared" si="0"/>
        <v>0.4349050960714787</v>
      </c>
      <c r="Y27" s="44"/>
      <c r="AC27" s="44"/>
    </row>
    <row r="28" spans="2:31">
      <c r="U28" s="1">
        <f t="shared" si="1"/>
        <v>1.4825459358960837</v>
      </c>
      <c r="V28" s="1">
        <f t="shared" si="0"/>
        <v>0.39957191240595913</v>
      </c>
      <c r="Y28" s="44"/>
      <c r="AC28" s="44"/>
    </row>
    <row r="29" spans="2:31">
      <c r="U29" s="1">
        <f t="shared" si="1"/>
        <v>1.5965879309650133</v>
      </c>
      <c r="V29" s="1">
        <f t="shared" si="0"/>
        <v>0.35972449947009971</v>
      </c>
      <c r="Y29" s="1" t="b">
        <v>1</v>
      </c>
    </row>
    <row r="30" spans="2:31">
      <c r="U30" s="1">
        <f t="shared" si="1"/>
        <v>1.7106299260339428</v>
      </c>
      <c r="V30" s="1">
        <f t="shared" si="0"/>
        <v>0.31733625401860682</v>
      </c>
      <c r="Y30" s="9" t="s">
        <v>228</v>
      </c>
    </row>
    <row r="31" spans="2:31">
      <c r="U31" s="1">
        <f t="shared" si="1"/>
        <v>1.8246719211028724</v>
      </c>
      <c r="V31" s="1">
        <f t="shared" si="0"/>
        <v>0.27431147398263156</v>
      </c>
      <c r="Y31" s="44" t="s">
        <v>217</v>
      </c>
      <c r="Z31" s="44" t="s">
        <v>214</v>
      </c>
      <c r="AA31" s="44" t="s">
        <v>215</v>
      </c>
    </row>
    <row r="32" spans="2:31">
      <c r="U32" s="1">
        <f t="shared" si="1"/>
        <v>1.9387139161718019</v>
      </c>
      <c r="V32" s="1">
        <f t="shared" si="0"/>
        <v>0.23235010113869112</v>
      </c>
      <c r="Y32" s="44" t="s">
        <v>216</v>
      </c>
      <c r="Z32" s="32">
        <f>C7</f>
        <v>0.8</v>
      </c>
      <c r="AA32" s="1">
        <v>0</v>
      </c>
    </row>
    <row r="33" spans="2:27">
      <c r="U33" s="1">
        <f t="shared" si="1"/>
        <v>2.0527559112407312</v>
      </c>
      <c r="V33" s="1">
        <f t="shared" si="0"/>
        <v>0.19284854521492664</v>
      </c>
      <c r="Y33" s="44" t="s">
        <v>218</v>
      </c>
      <c r="Z33" s="32">
        <f>Z32</f>
        <v>0.8</v>
      </c>
      <c r="AA33" s="1">
        <f>IF($Y$29,MAX($V$15:$W$47),0)</f>
        <v>0.49812548917176475</v>
      </c>
    </row>
    <row r="34" spans="2:27">
      <c r="U34" s="1">
        <f t="shared" si="1"/>
        <v>2.1667979063096605</v>
      </c>
      <c r="V34" s="1">
        <f t="shared" si="0"/>
        <v>0.15684276045422713</v>
      </c>
      <c r="Y34" s="44" t="s">
        <v>219</v>
      </c>
      <c r="Z34" s="44" t="s">
        <v>214</v>
      </c>
      <c r="AA34" s="44" t="s">
        <v>215</v>
      </c>
    </row>
    <row r="35" spans="2:27">
      <c r="U35" s="1">
        <f t="shared" si="1"/>
        <v>2.2808399013785898</v>
      </c>
      <c r="V35" s="1">
        <f t="shared" si="0"/>
        <v>0.12499343312455446</v>
      </c>
      <c r="Y35" s="44" t="s">
        <v>216</v>
      </c>
      <c r="Z35" s="32">
        <f>C8</f>
        <v>1.25</v>
      </c>
      <c r="AA35" s="1">
        <v>0</v>
      </c>
    </row>
    <row r="36" spans="2:27">
      <c r="U36" s="1">
        <f t="shared" si="1"/>
        <v>2.3948818964475191</v>
      </c>
      <c r="V36" s="1">
        <f t="shared" si="0"/>
        <v>9.7607800230644914E-2</v>
      </c>
      <c r="Y36" s="44" t="s">
        <v>218</v>
      </c>
      <c r="Z36" s="32">
        <f>Z35</f>
        <v>1.25</v>
      </c>
      <c r="AA36" s="1">
        <f>AA33</f>
        <v>0.49812548917176475</v>
      </c>
    </row>
    <row r="37" spans="2:27">
      <c r="U37" s="1">
        <f t="shared" si="1"/>
        <v>2.5089238915164485</v>
      </c>
      <c r="V37" s="1">
        <f t="shared" si="0"/>
        <v>7.4688968721692603E-2</v>
      </c>
    </row>
    <row r="38" spans="2:27">
      <c r="U38" s="1">
        <f t="shared" si="1"/>
        <v>2.6229658865853778</v>
      </c>
      <c r="V38" s="1">
        <f t="shared" si="0"/>
        <v>5.600193196586048E-2</v>
      </c>
    </row>
    <row r="39" spans="2:27">
      <c r="U39" s="1">
        <f t="shared" si="1"/>
        <v>2.7370078816543071</v>
      </c>
      <c r="V39" s="1">
        <f t="shared" si="0"/>
        <v>4.1145672548452104E-2</v>
      </c>
    </row>
    <row r="40" spans="2:27">
      <c r="U40" s="1">
        <f t="shared" si="1"/>
        <v>2.8510498767232364</v>
      </c>
      <c r="V40" s="1">
        <f t="shared" si="0"/>
        <v>2.9622378747503401E-2</v>
      </c>
    </row>
    <row r="41" spans="2:27">
      <c r="U41" s="1">
        <f t="shared" si="1"/>
        <v>2.9650918717921657</v>
      </c>
      <c r="V41" s="1">
        <f t="shared" si="0"/>
        <v>2.0897306115164386E-2</v>
      </c>
    </row>
    <row r="42" spans="2:27">
      <c r="U42" s="1">
        <f t="shared" si="1"/>
        <v>3.079133866861095</v>
      </c>
      <c r="V42" s="1">
        <f t="shared" si="0"/>
        <v>1.4445590111148958E-2</v>
      </c>
    </row>
    <row r="43" spans="2:27">
      <c r="U43" s="1">
        <f t="shared" si="1"/>
        <v>3.1931758619300243</v>
      </c>
      <c r="V43" s="1">
        <f t="shared" si="0"/>
        <v>9.7848659437147888E-3</v>
      </c>
    </row>
    <row r="44" spans="2:27" ht="20.25" customHeight="1">
      <c r="U44" s="1">
        <f t="shared" si="1"/>
        <v>3.3072178569989537</v>
      </c>
      <c r="V44" s="1">
        <f t="shared" si="0"/>
        <v>6.4945502508561327E-3</v>
      </c>
    </row>
    <row r="45" spans="2:27" ht="18">
      <c r="B45" s="28" t="s">
        <v>123</v>
      </c>
      <c r="U45" s="1">
        <f t="shared" si="1"/>
        <v>3.421259852067883</v>
      </c>
      <c r="V45" s="1">
        <f t="shared" si="0"/>
        <v>4.2239414730498807E-3</v>
      </c>
    </row>
    <row r="46" spans="2:27">
      <c r="U46" s="1">
        <f t="shared" si="1"/>
        <v>3.5353018471368123</v>
      </c>
      <c r="V46" s="1">
        <f t="shared" si="0"/>
        <v>2.6919148087739021E-3</v>
      </c>
    </row>
    <row r="47" spans="2:27">
      <c r="U47" s="1">
        <f t="shared" si="1"/>
        <v>3.6493438422057416</v>
      </c>
      <c r="V47" s="1">
        <f t="shared" si="0"/>
        <v>1.6810450043310068E-3</v>
      </c>
    </row>
    <row r="59" spans="2:2">
      <c r="B59" s="9" t="s">
        <v>125</v>
      </c>
    </row>
    <row r="61" spans="2:2">
      <c r="B61" s="9" t="s">
        <v>236</v>
      </c>
    </row>
    <row r="67" spans="2:7">
      <c r="B67" s="9"/>
      <c r="G67" s="6"/>
    </row>
    <row r="68" spans="2:7">
      <c r="G68" s="6"/>
    </row>
    <row r="69" spans="2:7">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45057"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45058"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45059"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45060" r:id="rId6" name="Button 4">
              <controlPr defaultSize="0" print="0" autoFill="0" autoPict="0" macro="[0]!Power_Calculator_parallel">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45061" r:id="rId7" name="Check Box 5">
              <controlPr defaultSize="0" autoFill="0" autoLine="0" autoPict="0">
                <anchor moveWithCells="1">
                  <from>
                    <xdr:col>11</xdr:col>
                    <xdr:colOff>161925</xdr:colOff>
                    <xdr:row>6</xdr:row>
                    <xdr:rowOff>66675</xdr:rowOff>
                  </from>
                  <to>
                    <xdr:col>12</xdr:col>
                    <xdr:colOff>314325</xdr:colOff>
                    <xdr:row>7</xdr:row>
                    <xdr:rowOff>104775</xdr:rowOff>
                  </to>
                </anchor>
              </controlPr>
            </control>
          </mc:Choice>
        </mc:AlternateContent>
        <mc:AlternateContent xmlns:mc="http://schemas.openxmlformats.org/markup-compatibility/2006">
          <mc:Choice Requires="x14">
            <control shapeId="45062" r:id="rId8" name="Check Box 6">
              <controlPr defaultSize="0" autoFill="0" autoLine="0" autoPict="0">
                <anchor moveWithCells="1">
                  <from>
                    <xdr:col>11</xdr:col>
                    <xdr:colOff>161925</xdr:colOff>
                    <xdr:row>7</xdr:row>
                    <xdr:rowOff>104775</xdr:rowOff>
                  </from>
                  <to>
                    <xdr:col>12</xdr:col>
                    <xdr:colOff>314325</xdr:colOff>
                    <xdr:row>8</xdr:row>
                    <xdr:rowOff>152400</xdr:rowOff>
                  </to>
                </anchor>
              </controlPr>
            </control>
          </mc:Choice>
        </mc:AlternateContent>
        <mc:AlternateContent xmlns:mc="http://schemas.openxmlformats.org/markup-compatibility/2006">
          <mc:Choice Requires="x14">
            <control shapeId="45063" r:id="rId9" name="Check Box 7">
              <controlPr defaultSize="0" autoFill="0" autoLine="0" autoPict="0">
                <anchor moveWithCells="1">
                  <from>
                    <xdr:col>11</xdr:col>
                    <xdr:colOff>161925</xdr:colOff>
                    <xdr:row>8</xdr:row>
                    <xdr:rowOff>152400</xdr:rowOff>
                  </from>
                  <to>
                    <xdr:col>12</xdr:col>
                    <xdr:colOff>314325</xdr:colOff>
                    <xdr:row>10</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
  <dimension ref="B1:AE70"/>
  <sheetViews>
    <sheetView workbookViewId="0">
      <selection activeCell="C2" sqref="C2"/>
    </sheetView>
  </sheetViews>
  <sheetFormatPr defaultColWidth="9.140625" defaultRowHeight="12.75"/>
  <cols>
    <col min="1" max="1" width="5.140625" style="1" customWidth="1"/>
    <col min="2" max="2" width="21.42578125" style="1" customWidth="1"/>
    <col min="3" max="26" width="9.140625" style="1"/>
    <col min="27" max="27" width="20.42578125" style="1" bestFit="1" customWidth="1"/>
    <col min="28" max="16384" width="9.140625" style="1"/>
  </cols>
  <sheetData>
    <row r="1" spans="2:31" ht="27" thickBot="1">
      <c r="B1" s="17" t="s">
        <v>74</v>
      </c>
      <c r="G1" s="9" t="s">
        <v>122</v>
      </c>
      <c r="J1" s="44"/>
      <c r="K1" s="44"/>
      <c r="L1" s="44"/>
      <c r="M1" s="44"/>
      <c r="N1" s="44"/>
      <c r="O1" s="44"/>
    </row>
    <row r="2" spans="2:31" ht="13.5" thickBot="1">
      <c r="B2" s="1" t="s">
        <v>1</v>
      </c>
      <c r="C2" s="2">
        <v>0.8</v>
      </c>
      <c r="H2" s="50"/>
      <c r="I2" s="44"/>
      <c r="J2" s="44"/>
      <c r="K2" s="44"/>
      <c r="L2" s="44"/>
      <c r="M2" s="44"/>
      <c r="N2" s="44"/>
      <c r="O2" s="44"/>
    </row>
    <row r="3" spans="2:31" ht="13.5" thickBot="1">
      <c r="C3" s="14"/>
      <c r="J3" s="44"/>
      <c r="K3" s="44"/>
      <c r="L3" s="44"/>
      <c r="M3" s="44"/>
      <c r="N3" s="44"/>
      <c r="O3" s="44"/>
    </row>
    <row r="4" spans="2:31" ht="13.5" thickBot="1">
      <c r="B4" s="8" t="s">
        <v>59</v>
      </c>
      <c r="C4" s="2">
        <v>0.05</v>
      </c>
      <c r="J4" s="44"/>
      <c r="K4" s="44"/>
      <c r="L4" s="44"/>
      <c r="M4" s="44"/>
      <c r="N4" s="44"/>
      <c r="O4" s="44"/>
    </row>
    <row r="5" spans="2:31" ht="16.5" thickBot="1">
      <c r="B5" s="1" t="s">
        <v>120</v>
      </c>
      <c r="C5" s="43">
        <v>0.25</v>
      </c>
      <c r="D5" s="1" t="s">
        <v>127</v>
      </c>
      <c r="U5" s="1" t="s">
        <v>56</v>
      </c>
    </row>
    <row r="6" spans="2:31" ht="16.5"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5" thickBot="1">
      <c r="B10" s="8" t="s">
        <v>26</v>
      </c>
      <c r="C10" s="1">
        <f>SQRT(LN((C5)^2+1))</f>
        <v>0.24622067706923975</v>
      </c>
      <c r="V10" s="44" t="s">
        <v>212</v>
      </c>
      <c r="W10" s="44" t="s">
        <v>210</v>
      </c>
      <c r="X10" s="44" t="s">
        <v>213</v>
      </c>
      <c r="Y10" s="44" t="s">
        <v>211</v>
      </c>
      <c r="AA10" s="44" t="s">
        <v>224</v>
      </c>
      <c r="AB10" s="44" t="s">
        <v>225</v>
      </c>
    </row>
    <row r="11" spans="2:31" ht="13.5" thickBot="1">
      <c r="B11" s="1" t="s">
        <v>0</v>
      </c>
      <c r="C11" s="7">
        <v>28</v>
      </c>
      <c r="U11" s="44" t="s">
        <v>206</v>
      </c>
      <c r="V11" s="45">
        <f>C6</f>
        <v>0.95</v>
      </c>
      <c r="W11" s="1">
        <f>$C$10</f>
        <v>0.24622067706923975</v>
      </c>
      <c r="X11" s="1">
        <f>W11/SQRT(C20)</f>
        <v>0.14215557418597749</v>
      </c>
      <c r="Y11" s="1">
        <f>TINV($C$4*2,$C$20-2)*X11</f>
        <v>0.89753497183621589</v>
      </c>
      <c r="AA11" s="46">
        <f>V11+4*W11</f>
        <v>1.9348827082769589</v>
      </c>
      <c r="AB11" s="1">
        <f>AA11/33</f>
        <v>5.8632809341726023E-2</v>
      </c>
    </row>
    <row r="12" spans="2:31">
      <c r="B12" s="1" t="s">
        <v>2</v>
      </c>
      <c r="C12" s="1">
        <f>C11-2</f>
        <v>26</v>
      </c>
      <c r="U12" s="44"/>
    </row>
    <row r="13" spans="2:31">
      <c r="B13" s="1" t="s">
        <v>8</v>
      </c>
      <c r="C13" s="1">
        <f>TINV(C4*2,C12)</f>
        <v>1.7056179197592738</v>
      </c>
      <c r="Y13" s="1" t="b">
        <v>0</v>
      </c>
      <c r="AC13" s="1" t="b">
        <v>1</v>
      </c>
    </row>
    <row r="14" spans="2:31">
      <c r="B14" s="1" t="s">
        <v>3</v>
      </c>
      <c r="C14" s="1">
        <f>(SQRT(C11)*(LN(C6)-LN(C8)))/(SQRT(2*C10^2))</f>
        <v>-4.1704403673383288</v>
      </c>
      <c r="U14" s="44" t="s">
        <v>205</v>
      </c>
      <c r="V14" s="44" t="s">
        <v>227</v>
      </c>
      <c r="W14" s="44"/>
      <c r="Y14" s="9" t="s">
        <v>220</v>
      </c>
      <c r="AC14" s="9" t="s">
        <v>222</v>
      </c>
    </row>
    <row r="15" spans="2:31">
      <c r="B15" s="1" t="s">
        <v>4</v>
      </c>
      <c r="C15" s="1">
        <f>(SQRT(C11)*(LN(C6)-LN(C7)))/(SQRT(2*C10^2))</f>
        <v>2.6114979087146866</v>
      </c>
      <c r="U15" s="1">
        <v>0</v>
      </c>
      <c r="V15" s="1">
        <f>_xlfn.NORM.DIST($U15,$V$11,$C$5,FALSE)</f>
        <v>1.1677877031658411E-3</v>
      </c>
      <c r="Y15" s="44" t="s">
        <v>217</v>
      </c>
      <c r="Z15" s="44" t="s">
        <v>214</v>
      </c>
      <c r="AA15" s="44" t="s">
        <v>215</v>
      </c>
      <c r="AC15" s="44" t="s">
        <v>217</v>
      </c>
      <c r="AD15" s="44" t="s">
        <v>214</v>
      </c>
      <c r="AE15" s="44" t="s">
        <v>215</v>
      </c>
    </row>
    <row r="16" spans="2:31">
      <c r="B16" s="1" t="s">
        <v>7</v>
      </c>
      <c r="C16" s="1">
        <f>NCt(-C13,C12,C14)</f>
        <v>0.9921058506008289</v>
      </c>
      <c r="U16" s="1">
        <f>U15+$AB$11</f>
        <v>5.8632809341726023E-2</v>
      </c>
      <c r="V16" s="1">
        <f t="shared" ref="V16:V47" si="0">_xlfn.NORM.DIST($U16,$V$11,$C$5,FALSE)</f>
        <v>2.7699447059280034E-3</v>
      </c>
      <c r="Y16" s="44" t="s">
        <v>216</v>
      </c>
      <c r="Z16" s="1">
        <f>$V$11-$W$11</f>
        <v>0.70377932293076018</v>
      </c>
      <c r="AA16" s="1">
        <v>0</v>
      </c>
      <c r="AC16" s="44" t="s">
        <v>216</v>
      </c>
      <c r="AD16" s="1">
        <f>$V$11-$Y$11</f>
        <v>5.2465028163784067E-2</v>
      </c>
      <c r="AE16" s="1">
        <v>0</v>
      </c>
    </row>
    <row r="17" spans="2:31">
      <c r="B17" s="1" t="s">
        <v>6</v>
      </c>
      <c r="C17" s="1">
        <f>NCt(C13,C12,C15)</f>
        <v>0.18466638314524716</v>
      </c>
      <c r="U17" s="1">
        <f t="shared" ref="U17:U47" si="1">U16+$AB$11</f>
        <v>0.11726561868345205</v>
      </c>
      <c r="V17" s="1">
        <f t="shared" si="0"/>
        <v>6.2185621117606723E-3</v>
      </c>
      <c r="Y17" s="44" t="s">
        <v>218</v>
      </c>
      <c r="Z17" s="1">
        <f>Z16</f>
        <v>0.70377932293076018</v>
      </c>
      <c r="AA17" s="1">
        <f>IF(Y13,MAX($V$15:$V$47),0)</f>
        <v>0</v>
      </c>
      <c r="AC17" s="44" t="s">
        <v>218</v>
      </c>
      <c r="AD17" s="1">
        <f>AD16</f>
        <v>5.2465028163784067E-2</v>
      </c>
      <c r="AE17" s="1">
        <f>IF(AC13,MAX($V$15:$V$47),0)</f>
        <v>1.5939698943202625</v>
      </c>
    </row>
    <row r="18" spans="2:31">
      <c r="B18" s="1" t="s">
        <v>58</v>
      </c>
      <c r="C18" s="1">
        <f>C16-C17</f>
        <v>0.80743946745558171</v>
      </c>
      <c r="E18" s="5"/>
      <c r="U18" s="1">
        <f t="shared" si="1"/>
        <v>0.17589842802517808</v>
      </c>
      <c r="V18" s="1">
        <f t="shared" si="0"/>
        <v>1.3213580903738755E-2</v>
      </c>
      <c r="Y18" s="44" t="s">
        <v>219</v>
      </c>
      <c r="Z18" s="44" t="s">
        <v>214</v>
      </c>
      <c r="AA18" s="44" t="s">
        <v>215</v>
      </c>
      <c r="AC18" s="44" t="s">
        <v>219</v>
      </c>
      <c r="AD18" s="44" t="s">
        <v>214</v>
      </c>
      <c r="AE18" s="44" t="s">
        <v>215</v>
      </c>
    </row>
    <row r="19" spans="2:31">
      <c r="U19" s="1">
        <f t="shared" si="1"/>
        <v>0.23453123736690409</v>
      </c>
      <c r="V19" s="1">
        <f t="shared" si="0"/>
        <v>2.6574356367658435E-2</v>
      </c>
      <c r="Y19" s="44" t="s">
        <v>216</v>
      </c>
      <c r="Z19" s="1">
        <f>$V$11+$W$11</f>
        <v>1.1962206770692396</v>
      </c>
      <c r="AA19" s="1">
        <v>0</v>
      </c>
      <c r="AC19" s="44" t="s">
        <v>216</v>
      </c>
      <c r="AD19" s="1">
        <f>$V$11+$Y$11</f>
        <v>1.847534971836216</v>
      </c>
      <c r="AE19" s="1">
        <v>0</v>
      </c>
    </row>
    <row r="20" spans="2:31">
      <c r="B20" s="1" t="s">
        <v>11</v>
      </c>
      <c r="C20" s="1">
        <v>3</v>
      </c>
      <c r="U20" s="1">
        <f t="shared" si="1"/>
        <v>0.29316404670863011</v>
      </c>
      <c r="V20" s="1">
        <f t="shared" si="0"/>
        <v>5.0584406183643189E-2</v>
      </c>
      <c r="Y20" s="44" t="s">
        <v>218</v>
      </c>
      <c r="Z20" s="1">
        <f>Z19</f>
        <v>1.1962206770692396</v>
      </c>
      <c r="AA20" s="1">
        <f>AA17</f>
        <v>0</v>
      </c>
      <c r="AC20" s="44" t="s">
        <v>218</v>
      </c>
      <c r="AD20" s="1">
        <f>AD19</f>
        <v>1.847534971836216</v>
      </c>
      <c r="AE20" s="1">
        <f>AE17</f>
        <v>1.5939698943202625</v>
      </c>
    </row>
    <row r="21" spans="2:31">
      <c r="U21" s="1">
        <f t="shared" si="1"/>
        <v>0.35179685605035615</v>
      </c>
      <c r="V21" s="1">
        <f t="shared" si="0"/>
        <v>9.1134377711433831E-2</v>
      </c>
    </row>
    <row r="22" spans="2:31">
      <c r="U22" s="1">
        <f t="shared" si="1"/>
        <v>0.4104296653920822</v>
      </c>
      <c r="V22" s="1">
        <f t="shared" si="0"/>
        <v>0.15540303049312376</v>
      </c>
      <c r="Y22" s="9"/>
      <c r="AC22" s="9"/>
    </row>
    <row r="23" spans="2:31">
      <c r="U23" s="1">
        <f t="shared" si="1"/>
        <v>0.46906247473380824</v>
      </c>
      <c r="V23" s="1">
        <f t="shared" si="0"/>
        <v>0.2508120568640812</v>
      </c>
      <c r="Y23" s="44"/>
      <c r="Z23" s="44"/>
      <c r="AA23" s="44"/>
      <c r="AC23" s="44"/>
      <c r="AD23" s="44"/>
      <c r="AE23" s="44"/>
    </row>
    <row r="24" spans="2:31">
      <c r="U24" s="1">
        <f t="shared" si="1"/>
        <v>0.52769528407553423</v>
      </c>
      <c r="V24" s="1">
        <f t="shared" si="0"/>
        <v>0.38313251525085396</v>
      </c>
      <c r="Y24" s="44"/>
      <c r="AC24" s="44"/>
    </row>
    <row r="25" spans="2:31">
      <c r="U25" s="1">
        <f t="shared" si="1"/>
        <v>0.58632809341726022</v>
      </c>
      <c r="V25" s="1">
        <f t="shared" si="0"/>
        <v>0.55393816322895617</v>
      </c>
      <c r="Y25" s="44"/>
      <c r="AC25" s="44"/>
    </row>
    <row r="26" spans="2:31">
      <c r="U26" s="1">
        <f t="shared" si="1"/>
        <v>0.64496090275898621</v>
      </c>
      <c r="V26" s="1">
        <f t="shared" si="0"/>
        <v>0.75802798169994423</v>
      </c>
      <c r="Y26" s="44"/>
      <c r="Z26" s="44"/>
      <c r="AA26" s="44"/>
      <c r="AC26" s="44"/>
      <c r="AD26" s="44"/>
      <c r="AE26" s="44"/>
    </row>
    <row r="27" spans="2:31">
      <c r="U27" s="1">
        <f t="shared" si="1"/>
        <v>0.7035937121007122</v>
      </c>
      <c r="V27" s="1">
        <f t="shared" si="0"/>
        <v>0.98179510627226407</v>
      </c>
      <c r="Y27" s="44"/>
      <c r="AC27" s="44"/>
    </row>
    <row r="28" spans="2:31">
      <c r="U28" s="1">
        <f t="shared" si="1"/>
        <v>0.76222652144243819</v>
      </c>
      <c r="V28" s="1">
        <f t="shared" si="0"/>
        <v>1.2035611582216017</v>
      </c>
      <c r="Y28" s="44"/>
      <c r="AC28" s="44"/>
    </row>
    <row r="29" spans="2:31">
      <c r="U29" s="1">
        <f t="shared" si="1"/>
        <v>0.82085933078416418</v>
      </c>
      <c r="V29" s="1">
        <f t="shared" si="0"/>
        <v>1.3964556226555156</v>
      </c>
      <c r="Y29" s="1" t="b">
        <v>1</v>
      </c>
    </row>
    <row r="30" spans="2:31">
      <c r="U30" s="1">
        <f t="shared" si="1"/>
        <v>0.87949214012589016</v>
      </c>
      <c r="V30" s="1">
        <f t="shared" si="0"/>
        <v>1.5335494667705791</v>
      </c>
      <c r="Y30" s="9" t="s">
        <v>228</v>
      </c>
    </row>
    <row r="31" spans="2:31">
      <c r="U31" s="1">
        <f t="shared" si="1"/>
        <v>0.93812494946761615</v>
      </c>
      <c r="V31" s="1">
        <f t="shared" si="0"/>
        <v>1.5939698943202625</v>
      </c>
      <c r="Y31" s="44" t="s">
        <v>217</v>
      </c>
      <c r="Z31" s="44" t="s">
        <v>214</v>
      </c>
      <c r="AA31" s="44" t="s">
        <v>215</v>
      </c>
    </row>
    <row r="32" spans="2:31">
      <c r="U32" s="1">
        <f t="shared" si="1"/>
        <v>0.99675775880934214</v>
      </c>
      <c r="V32" s="1">
        <f t="shared" si="0"/>
        <v>1.5681012990763428</v>
      </c>
      <c r="Y32" s="44" t="s">
        <v>216</v>
      </c>
      <c r="Z32" s="32">
        <f>C7</f>
        <v>0.8</v>
      </c>
      <c r="AA32" s="1">
        <v>0</v>
      </c>
    </row>
    <row r="33" spans="2:27">
      <c r="U33" s="1">
        <f t="shared" si="1"/>
        <v>1.0553905681510682</v>
      </c>
      <c r="V33" s="1">
        <f t="shared" si="0"/>
        <v>1.4600905481436155</v>
      </c>
      <c r="Y33" s="44" t="s">
        <v>218</v>
      </c>
      <c r="Z33" s="32">
        <f>Z32</f>
        <v>0.8</v>
      </c>
      <c r="AA33" s="1">
        <f>IF($Y$29,MAX($V$15:$W$47),0)</f>
        <v>1.5939698943202625</v>
      </c>
    </row>
    <row r="34" spans="2:27">
      <c r="U34" s="1">
        <f t="shared" si="1"/>
        <v>1.1140233774927943</v>
      </c>
      <c r="V34" s="1">
        <f t="shared" si="0"/>
        <v>1.2867587775324509</v>
      </c>
      <c r="Y34" s="44" t="s">
        <v>219</v>
      </c>
      <c r="Z34" s="44" t="s">
        <v>214</v>
      </c>
      <c r="AA34" s="44" t="s">
        <v>215</v>
      </c>
    </row>
    <row r="35" spans="2:27">
      <c r="U35" s="1">
        <f t="shared" si="1"/>
        <v>1.1726561868345204</v>
      </c>
      <c r="V35" s="1">
        <f t="shared" si="0"/>
        <v>1.0733124429725074</v>
      </c>
      <c r="Y35" s="44" t="s">
        <v>216</v>
      </c>
      <c r="Z35" s="32">
        <f>C8</f>
        <v>1.25</v>
      </c>
      <c r="AA35" s="1">
        <v>0</v>
      </c>
    </row>
    <row r="36" spans="2:27">
      <c r="U36" s="1">
        <f t="shared" si="1"/>
        <v>1.2312889961762465</v>
      </c>
      <c r="V36" s="1">
        <f t="shared" si="0"/>
        <v>0.84735786302017235</v>
      </c>
      <c r="Y36" s="44" t="s">
        <v>218</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123</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126</v>
      </c>
    </row>
    <row r="67" spans="2:7">
      <c r="B67" s="9" t="s">
        <v>125</v>
      </c>
      <c r="G67" s="6"/>
    </row>
    <row r="68" spans="2:7">
      <c r="G68" s="6"/>
    </row>
    <row r="69" spans="2:7">
      <c r="B69" s="9" t="s">
        <v>236</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352425</xdr:colOff>
                    <xdr:row>6</xdr:row>
                    <xdr:rowOff>66675</xdr:rowOff>
                  </from>
                  <to>
                    <xdr:col>11</xdr:col>
                    <xdr:colOff>504825</xdr:colOff>
                    <xdr:row>7</xdr:row>
                    <xdr:rowOff>104775</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352425</xdr:colOff>
                    <xdr:row>7</xdr:row>
                    <xdr:rowOff>104775</xdr:rowOff>
                  </from>
                  <to>
                    <xdr:col>11</xdr:col>
                    <xdr:colOff>504825</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352425</xdr:colOff>
                    <xdr:row>8</xdr:row>
                    <xdr:rowOff>152400</xdr:rowOff>
                  </from>
                  <to>
                    <xdr:col>11</xdr:col>
                    <xdr:colOff>504825</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6"/>
  <dimension ref="B1:AH70"/>
  <sheetViews>
    <sheetView zoomScale="95" zoomScaleNormal="95" zoomScalePageLayoutView="95" workbookViewId="0">
      <selection activeCell="C2" sqref="C2"/>
    </sheetView>
  </sheetViews>
  <sheetFormatPr defaultColWidth="9.140625" defaultRowHeight="12.75"/>
  <cols>
    <col min="1" max="1" width="5.140625" style="1" customWidth="1"/>
    <col min="2" max="2" width="21.42578125" style="1" customWidth="1"/>
    <col min="3" max="20" width="9.140625" style="1"/>
    <col min="21" max="26" width="9.140625" style="51"/>
    <col min="27" max="27" width="20.42578125" style="51" bestFit="1" customWidth="1"/>
    <col min="28" max="34" width="9.140625" style="51"/>
    <col min="35" max="16384" width="9.140625" style="1"/>
  </cols>
  <sheetData>
    <row r="1" spans="2:31" ht="27" thickBot="1">
      <c r="B1" s="17" t="s">
        <v>76</v>
      </c>
      <c r="G1" s="9" t="s">
        <v>122</v>
      </c>
      <c r="Z1" s="51" t="s">
        <v>33</v>
      </c>
    </row>
    <row r="2" spans="2:31" ht="13.5" thickBot="1">
      <c r="B2" s="1" t="s">
        <v>1</v>
      </c>
      <c r="C2" s="2">
        <v>0.8</v>
      </c>
      <c r="Y2" s="51" t="s">
        <v>32</v>
      </c>
      <c r="Z2" s="51">
        <f>(2*G9+1)/(G9+1)</f>
        <v>1</v>
      </c>
    </row>
    <row r="3" spans="2:31" ht="13.5" thickBot="1">
      <c r="C3" s="14"/>
      <c r="Y3" s="51" t="s">
        <v>235</v>
      </c>
      <c r="Z3" s="51">
        <v>0.75</v>
      </c>
    </row>
    <row r="4" spans="2:31" ht="13.5" thickBot="1">
      <c r="B4" s="8" t="s">
        <v>59</v>
      </c>
      <c r="C4" s="2">
        <v>0.05</v>
      </c>
      <c r="Y4" s="51" t="s">
        <v>31</v>
      </c>
      <c r="Z4" s="51">
        <v>0.5</v>
      </c>
    </row>
    <row r="5" spans="2:31" ht="16.5" thickBot="1">
      <c r="B5" s="1" t="s">
        <v>120</v>
      </c>
      <c r="C5" s="43">
        <v>0.65</v>
      </c>
      <c r="D5" s="1" t="s">
        <v>127</v>
      </c>
      <c r="U5" s="51" t="s">
        <v>56</v>
      </c>
      <c r="Y5" s="51">
        <v>3</v>
      </c>
    </row>
    <row r="6" spans="2:31" ht="16.5" thickBot="1">
      <c r="B6" s="1" t="s">
        <v>34</v>
      </c>
      <c r="C6" s="43">
        <v>0.9</v>
      </c>
      <c r="D6" s="1" t="str">
        <f>IF(C6=1,"","(to "&amp;ROUND(100/C6,1)&amp;"%)")&amp;IF(OR($C$6&lt;$C$7,$C$6&gt;$C$8)," WARNING: Ratio outside BE limits.","")</f>
        <v>(to 111.1%)</v>
      </c>
      <c r="U6" s="51">
        <v>1</v>
      </c>
      <c r="Y6" s="51">
        <f>INDEX(Z2:Z4,Y5,1)</f>
        <v>0.5</v>
      </c>
    </row>
    <row r="7" spans="2:31" ht="13.5" thickBot="1">
      <c r="B7" s="1" t="s">
        <v>9</v>
      </c>
      <c r="C7" s="13">
        <v>0.8</v>
      </c>
    </row>
    <row r="8" spans="2:31" ht="13.5" thickBot="1">
      <c r="B8" s="1" t="s">
        <v>10</v>
      </c>
      <c r="C8" s="13">
        <f>1/C7</f>
        <v>1.25</v>
      </c>
    </row>
    <row r="10" spans="2:31" ht="15.75">
      <c r="B10" s="8" t="s">
        <v>26</v>
      </c>
      <c r="C10" s="1">
        <f>SQRT(LN((C5)^2+1))</f>
        <v>0.59364626421662003</v>
      </c>
      <c r="V10" s="51" t="s">
        <v>212</v>
      </c>
      <c r="W10" s="51" t="s">
        <v>210</v>
      </c>
      <c r="X10" s="51" t="s">
        <v>213</v>
      </c>
      <c r="Y10" s="51" t="s">
        <v>211</v>
      </c>
      <c r="AA10" s="51" t="s">
        <v>224</v>
      </c>
      <c r="AB10" s="51" t="s">
        <v>225</v>
      </c>
    </row>
    <row r="11" spans="2:31">
      <c r="B11" s="1" t="s">
        <v>0</v>
      </c>
      <c r="C11" s="7">
        <v>3</v>
      </c>
      <c r="U11" s="51" t="s">
        <v>206</v>
      </c>
      <c r="V11" s="52">
        <f>C6</f>
        <v>0.9</v>
      </c>
      <c r="W11" s="51">
        <f>$C$10</f>
        <v>0.59364626421662003</v>
      </c>
      <c r="X11" s="51">
        <f>W11/SQRT(C11)</f>
        <v>0.34274183044888129</v>
      </c>
      <c r="Y11" s="51">
        <f>TINV($C$4*2,$C$11-2)*X11</f>
        <v>2.1639867511391211</v>
      </c>
      <c r="AA11" s="53">
        <f>V11+4*W11</f>
        <v>3.27458505686648</v>
      </c>
      <c r="AB11" s="51">
        <f>AA11/33</f>
        <v>9.9229850208075149E-2</v>
      </c>
    </row>
    <row r="12" spans="2:31">
      <c r="B12" s="1" t="s">
        <v>2</v>
      </c>
      <c r="C12" s="1">
        <f>C11-2</f>
        <v>1</v>
      </c>
    </row>
    <row r="13" spans="2:31">
      <c r="B13" s="1" t="s">
        <v>8</v>
      </c>
      <c r="C13" s="1">
        <f>TINV(C4*2,C12)</f>
        <v>6.3137515146750438</v>
      </c>
      <c r="Y13" s="51" t="b">
        <v>0</v>
      </c>
      <c r="AC13" s="51" t="b">
        <v>1</v>
      </c>
    </row>
    <row r="14" spans="2:31">
      <c r="B14" s="1" t="s">
        <v>3</v>
      </c>
      <c r="C14" s="1">
        <f>(SQRT(C11)*(LN(C6)-LN(C8)))/(SQRT(2*C10^2))</f>
        <v>-0.67773301291839627</v>
      </c>
      <c r="U14" s="51" t="s">
        <v>205</v>
      </c>
      <c r="V14" s="51" t="s">
        <v>227</v>
      </c>
      <c r="Y14" s="54" t="s">
        <v>220</v>
      </c>
      <c r="AC14" s="54" t="s">
        <v>222</v>
      </c>
    </row>
    <row r="15" spans="2:31">
      <c r="B15" s="1" t="s">
        <v>4</v>
      </c>
      <c r="C15" s="1">
        <f>(SQRT(C11)*(LN(C6)-LN(C7)))/(SQRT(2*C10^2))</f>
        <v>0.24299684433700114</v>
      </c>
      <c r="U15" s="51">
        <v>0</v>
      </c>
      <c r="V15" s="51">
        <f>_xlfn.NORM.DIST($U15,$V$11,$C$5,FALSE)</f>
        <v>0.23533729435330628</v>
      </c>
      <c r="Y15" s="51" t="s">
        <v>217</v>
      </c>
      <c r="Z15" s="51" t="s">
        <v>214</v>
      </c>
      <c r="AA15" s="51" t="s">
        <v>215</v>
      </c>
      <c r="AC15" s="51" t="s">
        <v>217</v>
      </c>
      <c r="AD15" s="51" t="s">
        <v>214</v>
      </c>
      <c r="AE15" s="51" t="s">
        <v>215</v>
      </c>
    </row>
    <row r="16" spans="2:31">
      <c r="B16" s="1" t="s">
        <v>7</v>
      </c>
      <c r="C16" s="1">
        <f>NCt(-C13,C12,C14)</f>
        <v>0.10307839717957634</v>
      </c>
      <c r="U16" s="51">
        <f>U15+$AB$11</f>
        <v>9.9229850208075149E-2</v>
      </c>
      <c r="V16" s="51">
        <f t="shared" ref="V16:V47" si="0">_xlfn.NORM.DIST($U16,$V$11,$C$5,FALSE)</f>
        <v>0.28736242915824389</v>
      </c>
      <c r="Y16" s="51" t="s">
        <v>216</v>
      </c>
      <c r="Z16" s="51">
        <f>$V$11-$W$11</f>
        <v>0.30635373578337999</v>
      </c>
      <c r="AA16" s="51">
        <v>0</v>
      </c>
      <c r="AC16" s="51" t="s">
        <v>216</v>
      </c>
      <c r="AD16" s="51">
        <f>$V$11-$Y$11</f>
        <v>-1.2639867511391212</v>
      </c>
      <c r="AE16" s="51">
        <v>0</v>
      </c>
    </row>
    <row r="17" spans="2:31">
      <c r="B17" s="1" t="s">
        <v>6</v>
      </c>
      <c r="C17" s="1">
        <f>NCt(C13,C12,C15)</f>
        <v>0.93339405326162772</v>
      </c>
      <c r="U17" s="51">
        <f t="shared" ref="U17:U47" si="1">U16+$AB$11</f>
        <v>0.1984597004161503</v>
      </c>
      <c r="V17" s="51">
        <f t="shared" si="0"/>
        <v>0.34280549683534484</v>
      </c>
      <c r="Y17" s="51" t="s">
        <v>218</v>
      </c>
      <c r="Z17" s="51">
        <f>Z16</f>
        <v>0.30635373578337999</v>
      </c>
      <c r="AA17" s="51">
        <f>IF(Y13,MAX($V$15:$V$47),0)</f>
        <v>0</v>
      </c>
      <c r="AC17" s="51" t="s">
        <v>218</v>
      </c>
      <c r="AD17" s="51">
        <f>AD16</f>
        <v>-1.2639867511391212</v>
      </c>
      <c r="AE17" s="51">
        <f>IF(AC13,MAX($V$15:$V$47),0)</f>
        <v>0.61372245947377413</v>
      </c>
    </row>
    <row r="18" spans="2:31">
      <c r="B18" s="1" t="s">
        <v>58</v>
      </c>
      <c r="C18" s="1">
        <f>C16-C17</f>
        <v>-0.83031565608205138</v>
      </c>
      <c r="E18" s="5"/>
      <c r="U18" s="51">
        <f t="shared" si="1"/>
        <v>0.29768955062422542</v>
      </c>
      <c r="V18" s="51">
        <f t="shared" si="0"/>
        <v>0.39952515522834975</v>
      </c>
      <c r="Y18" s="51" t="s">
        <v>219</v>
      </c>
      <c r="Z18" s="51" t="s">
        <v>214</v>
      </c>
      <c r="AA18" s="51" t="s">
        <v>215</v>
      </c>
      <c r="AC18" s="51" t="s">
        <v>219</v>
      </c>
      <c r="AD18" s="51" t="s">
        <v>214</v>
      </c>
      <c r="AE18" s="51" t="s">
        <v>215</v>
      </c>
    </row>
    <row r="19" spans="2:31">
      <c r="U19" s="51">
        <f t="shared" si="1"/>
        <v>0.3969194008323006</v>
      </c>
      <c r="V19" s="51">
        <f t="shared" si="0"/>
        <v>0.45490325198376713</v>
      </c>
      <c r="Y19" s="51" t="s">
        <v>216</v>
      </c>
      <c r="Z19" s="51">
        <f>$V$11+$W$11</f>
        <v>1.4936462642166202</v>
      </c>
      <c r="AA19" s="51">
        <v>0</v>
      </c>
      <c r="AC19" s="51" t="s">
        <v>216</v>
      </c>
      <c r="AD19" s="51">
        <f>$V$11+$Y$11</f>
        <v>3.063986751139121</v>
      </c>
      <c r="AE19" s="51">
        <v>0</v>
      </c>
    </row>
    <row r="20" spans="2:31">
      <c r="B20" s="1" t="s">
        <v>11</v>
      </c>
      <c r="C20" s="1">
        <f>CEILING(INDEX(Z2:Z4,Y5,1)*C11,1)</f>
        <v>2</v>
      </c>
      <c r="U20" s="51">
        <f t="shared" si="1"/>
        <v>0.49614925104037577</v>
      </c>
      <c r="V20" s="51">
        <f t="shared" si="0"/>
        <v>0.50602563077485663</v>
      </c>
      <c r="Y20" s="51" t="s">
        <v>218</v>
      </c>
      <c r="Z20" s="51">
        <f>Z19</f>
        <v>1.4936462642166202</v>
      </c>
      <c r="AA20" s="51">
        <f>AA17</f>
        <v>0</v>
      </c>
      <c r="AC20" s="51" t="s">
        <v>218</v>
      </c>
      <c r="AD20" s="51">
        <f>AD19</f>
        <v>3.063986751139121</v>
      </c>
      <c r="AE20" s="51">
        <f>AE17</f>
        <v>0.61372245947377413</v>
      </c>
    </row>
    <row r="21" spans="2:31">
      <c r="U21" s="51">
        <f t="shared" si="1"/>
        <v>0.59537910124845095</v>
      </c>
      <c r="V21" s="51">
        <f t="shared" si="0"/>
        <v>0.54992637471810812</v>
      </c>
    </row>
    <row r="22" spans="2:31">
      <c r="U22" s="51">
        <f t="shared" si="1"/>
        <v>0.69460895145652612</v>
      </c>
      <c r="V22" s="51">
        <f t="shared" si="0"/>
        <v>0.58386863272477407</v>
      </c>
      <c r="Y22" s="54"/>
      <c r="AC22" s="54"/>
    </row>
    <row r="23" spans="2:31">
      <c r="U23" s="51">
        <f t="shared" si="1"/>
        <v>0.7938388016646013</v>
      </c>
      <c r="V23" s="51">
        <f t="shared" si="0"/>
        <v>0.60562570518659309</v>
      </c>
    </row>
    <row r="24" spans="2:31">
      <c r="U24" s="51">
        <f t="shared" si="1"/>
        <v>0.89306865187267648</v>
      </c>
      <c r="V24" s="51">
        <f t="shared" si="0"/>
        <v>0.61372245947377413</v>
      </c>
    </row>
    <row r="25" spans="2:31">
      <c r="U25" s="51">
        <f t="shared" si="1"/>
        <v>0.99229850208075165</v>
      </c>
      <c r="V25" s="51">
        <f t="shared" si="0"/>
        <v>0.60760074029019817</v>
      </c>
    </row>
    <row r="26" spans="2:31">
      <c r="U26" s="51">
        <f t="shared" si="1"/>
        <v>1.0915283522888268</v>
      </c>
      <c r="V26" s="51">
        <f t="shared" si="0"/>
        <v>0.5876830063555375</v>
      </c>
    </row>
    <row r="27" spans="2:31">
      <c r="U27" s="51">
        <f t="shared" si="1"/>
        <v>1.1907582024969019</v>
      </c>
      <c r="V27" s="51">
        <f t="shared" si="0"/>
        <v>0.55532411335267029</v>
      </c>
    </row>
    <row r="28" spans="2:31">
      <c r="U28" s="51">
        <f t="shared" si="1"/>
        <v>1.289988052704977</v>
      </c>
      <c r="V28" s="51">
        <f t="shared" si="0"/>
        <v>0.51265888884221822</v>
      </c>
    </row>
    <row r="29" spans="2:31">
      <c r="U29" s="51">
        <f t="shared" si="1"/>
        <v>1.389217902913052</v>
      </c>
      <c r="V29" s="51">
        <f t="shared" si="0"/>
        <v>0.46236932369525469</v>
      </c>
      <c r="Y29" s="51" t="b">
        <v>1</v>
      </c>
    </row>
    <row r="30" spans="2:31">
      <c r="U30" s="51">
        <f t="shared" si="1"/>
        <v>1.4884477531211271</v>
      </c>
      <c r="V30" s="51">
        <f t="shared" si="0"/>
        <v>0.40740663195800214</v>
      </c>
      <c r="Y30" s="54" t="s">
        <v>228</v>
      </c>
    </row>
    <row r="31" spans="2:31">
      <c r="U31" s="51">
        <f t="shared" si="1"/>
        <v>1.5876776033292022</v>
      </c>
      <c r="V31" s="51">
        <f t="shared" si="0"/>
        <v>0.35070805182037268</v>
      </c>
      <c r="Y31" s="51" t="s">
        <v>217</v>
      </c>
      <c r="Z31" s="51" t="s">
        <v>214</v>
      </c>
      <c r="AA31" s="51" t="s">
        <v>215</v>
      </c>
    </row>
    <row r="32" spans="2:31">
      <c r="U32" s="51">
        <f t="shared" si="1"/>
        <v>1.6869074535372772</v>
      </c>
      <c r="V32" s="51">
        <f t="shared" si="0"/>
        <v>0.29494561250934742</v>
      </c>
      <c r="Y32" s="51" t="s">
        <v>216</v>
      </c>
      <c r="Z32" s="55">
        <f>C7</f>
        <v>0.8</v>
      </c>
      <c r="AA32" s="51">
        <v>0</v>
      </c>
    </row>
    <row r="33" spans="21:27">
      <c r="U33" s="51">
        <f t="shared" si="1"/>
        <v>1.7861373037453523</v>
      </c>
      <c r="V33" s="51">
        <f t="shared" si="0"/>
        <v>0.24233531319033688</v>
      </c>
      <c r="Y33" s="51" t="s">
        <v>218</v>
      </c>
      <c r="Z33" s="55">
        <f>Z32</f>
        <v>0.8</v>
      </c>
      <c r="AA33" s="51">
        <f>IF($Y$29,MAX($V$15:$W$47),0)</f>
        <v>0.61372245947377413</v>
      </c>
    </row>
    <row r="34" spans="21:27">
      <c r="U34" s="51">
        <f t="shared" si="1"/>
        <v>1.8853671539534274</v>
      </c>
      <c r="V34" s="51">
        <f t="shared" si="0"/>
        <v>0.1945225836599368</v>
      </c>
      <c r="Y34" s="51" t="s">
        <v>219</v>
      </c>
      <c r="Z34" s="51" t="s">
        <v>214</v>
      </c>
      <c r="AA34" s="51" t="s">
        <v>215</v>
      </c>
    </row>
    <row r="35" spans="21:27">
      <c r="U35" s="51">
        <f t="shared" si="1"/>
        <v>1.9845970041615024</v>
      </c>
      <c r="V35" s="51">
        <f t="shared" si="0"/>
        <v>0.15254638314764188</v>
      </c>
      <c r="Y35" s="51" t="s">
        <v>216</v>
      </c>
      <c r="Z35" s="55">
        <f>C8</f>
        <v>1.25</v>
      </c>
      <c r="AA35" s="51">
        <v>0</v>
      </c>
    </row>
    <row r="36" spans="21:27">
      <c r="U36" s="51">
        <f t="shared" si="1"/>
        <v>2.0838268543695775</v>
      </c>
      <c r="V36" s="51">
        <f t="shared" si="0"/>
        <v>0.11687250742502221</v>
      </c>
      <c r="Y36" s="51" t="s">
        <v>218</v>
      </c>
      <c r="Z36" s="55">
        <f>Z35</f>
        <v>1.25</v>
      </c>
      <c r="AA36" s="51">
        <f>AA33</f>
        <v>0.61372245947377413</v>
      </c>
    </row>
    <row r="37" spans="21:27">
      <c r="U37" s="51">
        <f t="shared" si="1"/>
        <v>2.1830567045776528</v>
      </c>
      <c r="V37" s="51">
        <f t="shared" si="0"/>
        <v>8.7478508365891355E-2</v>
      </c>
    </row>
    <row r="38" spans="21:27">
      <c r="U38" s="51">
        <f t="shared" si="1"/>
        <v>2.2822865547857281</v>
      </c>
      <c r="V38" s="51">
        <f t="shared" si="0"/>
        <v>6.3968908046208445E-2</v>
      </c>
    </row>
    <row r="39" spans="21:27">
      <c r="U39" s="51">
        <f t="shared" si="1"/>
        <v>2.3815164049938033</v>
      </c>
      <c r="V39" s="51">
        <f t="shared" si="0"/>
        <v>4.569988070902295E-2</v>
      </c>
    </row>
    <row r="40" spans="21:27">
      <c r="U40" s="51">
        <f t="shared" si="1"/>
        <v>2.4807462552018786</v>
      </c>
      <c r="V40" s="51">
        <f t="shared" si="0"/>
        <v>3.1896259526106731E-2</v>
      </c>
    </row>
    <row r="41" spans="21:27">
      <c r="U41" s="51">
        <f t="shared" si="1"/>
        <v>2.5799761054099539</v>
      </c>
      <c r="V41" s="51">
        <f t="shared" si="0"/>
        <v>2.1749185983899813E-2</v>
      </c>
    </row>
    <row r="42" spans="21:27">
      <c r="U42" s="51">
        <f t="shared" si="1"/>
        <v>2.6792059556180292</v>
      </c>
      <c r="V42" s="51">
        <f t="shared" si="0"/>
        <v>1.4488546488791608E-2</v>
      </c>
    </row>
    <row r="43" spans="21:27">
      <c r="U43" s="51">
        <f t="shared" si="1"/>
        <v>2.7784358058261045</v>
      </c>
      <c r="V43" s="51">
        <f t="shared" si="0"/>
        <v>9.4294245755793919E-3</v>
      </c>
    </row>
    <row r="44" spans="21:27" ht="20.25" customHeight="1">
      <c r="U44" s="51">
        <f t="shared" si="1"/>
        <v>2.8776656560341798</v>
      </c>
      <c r="V44" s="51">
        <f t="shared" si="0"/>
        <v>5.9954822866968805E-3</v>
      </c>
    </row>
    <row r="45" spans="21:27">
      <c r="U45" s="51">
        <f t="shared" si="1"/>
        <v>2.9768955062422551</v>
      </c>
      <c r="V45" s="51">
        <f t="shared" si="0"/>
        <v>3.7242739410159697E-3</v>
      </c>
    </row>
    <row r="46" spans="21:27">
      <c r="U46" s="51">
        <f t="shared" si="1"/>
        <v>3.0761253564503304</v>
      </c>
      <c r="V46" s="51">
        <f t="shared" si="0"/>
        <v>2.260152134061862E-3</v>
      </c>
    </row>
    <row r="47" spans="21:27">
      <c r="U47" s="51">
        <f t="shared" si="1"/>
        <v>3.1753552066584056</v>
      </c>
      <c r="V47" s="51">
        <f t="shared" si="0"/>
        <v>1.3400231116534327E-3</v>
      </c>
    </row>
    <row r="52" spans="2:2" ht="18">
      <c r="B52" s="28" t="s">
        <v>123</v>
      </c>
    </row>
    <row r="63" spans="2:2">
      <c r="B63" s="9" t="s">
        <v>125</v>
      </c>
    </row>
    <row r="67" spans="2:7">
      <c r="B67" s="9"/>
      <c r="G67" s="6"/>
    </row>
    <row r="68" spans="2:7">
      <c r="G68" s="6"/>
    </row>
    <row r="69" spans="2:7">
      <c r="B69" s="9"/>
      <c r="G69" s="6"/>
    </row>
    <row r="70" spans="2:7">
      <c r="G70" s="6"/>
    </row>
  </sheetData>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SS_Probt">
                <anchor moveWithCells="1" sizeWithCells="1">
                  <from>
                    <xdr:col>1</xdr:col>
                    <xdr:colOff>104775</xdr:colOff>
                    <xdr:row>23</xdr:row>
                    <xdr:rowOff>0</xdr:rowOff>
                  </from>
                  <to>
                    <xdr:col>2</xdr:col>
                    <xdr:colOff>0</xdr:colOff>
                    <xdr:row>24</xdr:row>
                    <xdr:rowOff>85725</xdr:rowOff>
                  </to>
                </anchor>
              </controlPr>
            </control>
          </mc:Choice>
        </mc:AlternateContent>
        <mc:AlternateContent xmlns:mc="http://schemas.openxmlformats.org/markup-compatibility/2006">
          <mc:Choice Requires="x14">
            <control shapeId="35842" r:id="rId4" name="Button 2">
              <controlPr defaultSize="0" print="0" autoFill="0" autoPict="0" macro="[0]!SS_Boss_BE">
                <anchor moveWithCells="1" sizeWithCells="1">
                  <from>
                    <xdr:col>3</xdr:col>
                    <xdr:colOff>485775</xdr:colOff>
                    <xdr:row>23</xdr:row>
                    <xdr:rowOff>0</xdr:rowOff>
                  </from>
                  <to>
                    <xdr:col>5</xdr:col>
                    <xdr:colOff>104775</xdr:colOff>
                    <xdr:row>24</xdr:row>
                    <xdr:rowOff>85725</xdr:rowOff>
                  </to>
                </anchor>
              </controlPr>
            </control>
          </mc:Choice>
        </mc:AlternateContent>
        <mc:AlternateContent xmlns:mc="http://schemas.openxmlformats.org/markup-compatibility/2006">
          <mc:Choice Requires="x14">
            <control shapeId="35843" r:id="rId5" name="Button 3">
              <controlPr defaultSize="0" print="0" autoFill="0" autoPict="0" macro="[0]!ISV_Calculator">
                <anchor moveWithCells="1" sizeWithCells="1">
                  <from>
                    <xdr:col>5</xdr:col>
                    <xdr:colOff>180975</xdr:colOff>
                    <xdr:row>23</xdr:row>
                    <xdr:rowOff>0</xdr:rowOff>
                  </from>
                  <to>
                    <xdr:col>9</xdr:col>
                    <xdr:colOff>104775</xdr:colOff>
                    <xdr:row>24</xdr:row>
                    <xdr:rowOff>85725</xdr:rowOff>
                  </to>
                </anchor>
              </controlPr>
            </control>
          </mc:Choice>
        </mc:AlternateContent>
        <mc:AlternateContent xmlns:mc="http://schemas.openxmlformats.org/markup-compatibility/2006">
          <mc:Choice Requires="x14">
            <control shapeId="35844" r:id="rId6" name="Button 4">
              <controlPr defaultSize="0" print="0" autoFill="0" autoPict="0" macro="[0]!Power_Calculator_XO">
                <anchor moveWithCells="1" sizeWithCells="1">
                  <from>
                    <xdr:col>2</xdr:col>
                    <xdr:colOff>66675</xdr:colOff>
                    <xdr:row>23</xdr:row>
                    <xdr:rowOff>0</xdr:rowOff>
                  </from>
                  <to>
                    <xdr:col>3</xdr:col>
                    <xdr:colOff>409575</xdr:colOff>
                    <xdr:row>24</xdr:row>
                    <xdr:rowOff>85725</xdr:rowOff>
                  </to>
                </anchor>
              </controlPr>
            </control>
          </mc:Choice>
        </mc:AlternateContent>
        <mc:AlternateContent xmlns:mc="http://schemas.openxmlformats.org/markup-compatibility/2006">
          <mc:Choice Requires="x14">
            <control shapeId="35845" r:id="rId7" name="Check Box 5">
              <controlPr defaultSize="0" autoFill="0" autoLine="0" autoPict="0">
                <anchor moveWithCells="1">
                  <from>
                    <xdr:col>10</xdr:col>
                    <xdr:colOff>333375</xdr:colOff>
                    <xdr:row>6</xdr:row>
                    <xdr:rowOff>85725</xdr:rowOff>
                  </from>
                  <to>
                    <xdr:col>11</xdr:col>
                    <xdr:colOff>485775</xdr:colOff>
                    <xdr:row>7</xdr:row>
                    <xdr:rowOff>123825</xdr:rowOff>
                  </to>
                </anchor>
              </controlPr>
            </control>
          </mc:Choice>
        </mc:AlternateContent>
        <mc:AlternateContent xmlns:mc="http://schemas.openxmlformats.org/markup-compatibility/2006">
          <mc:Choice Requires="x14">
            <control shapeId="35846" r:id="rId8" name="Check Box 6">
              <controlPr defaultSize="0" autoFill="0" autoLine="0" autoPict="0">
                <anchor moveWithCells="1">
                  <from>
                    <xdr:col>10</xdr:col>
                    <xdr:colOff>333375</xdr:colOff>
                    <xdr:row>7</xdr:row>
                    <xdr:rowOff>123825</xdr:rowOff>
                  </from>
                  <to>
                    <xdr:col>11</xdr:col>
                    <xdr:colOff>485775</xdr:colOff>
                    <xdr:row>9</xdr:row>
                    <xdr:rowOff>28575</xdr:rowOff>
                  </to>
                </anchor>
              </controlPr>
            </control>
          </mc:Choice>
        </mc:AlternateContent>
        <mc:AlternateContent xmlns:mc="http://schemas.openxmlformats.org/markup-compatibility/2006">
          <mc:Choice Requires="x14">
            <control shapeId="35847" r:id="rId9" name="Check Box 7">
              <controlPr defaultSize="0" autoFill="0" autoLine="0" autoPict="0">
                <anchor moveWithCells="1">
                  <from>
                    <xdr:col>10</xdr:col>
                    <xdr:colOff>333375</xdr:colOff>
                    <xdr:row>9</xdr:row>
                    <xdr:rowOff>28575</xdr:rowOff>
                  </from>
                  <to>
                    <xdr:col>11</xdr:col>
                    <xdr:colOff>485775</xdr:colOff>
                    <xdr:row>10</xdr:row>
                    <xdr:rowOff>28575</xdr:rowOff>
                  </to>
                </anchor>
              </controlPr>
            </control>
          </mc:Choice>
        </mc:AlternateContent>
        <mc:AlternateContent xmlns:mc="http://schemas.openxmlformats.org/markup-compatibility/2006">
          <mc:Choice Requires="x14">
            <control shapeId="35850" r:id="rId10" name="Drop Down 10">
              <controlPr defaultSize="0" autoLine="0" autoPict="0">
                <anchor moveWithCells="1">
                  <from>
                    <xdr:col>3</xdr:col>
                    <xdr:colOff>114300</xdr:colOff>
                    <xdr:row>1</xdr:row>
                    <xdr:rowOff>0</xdr:rowOff>
                  </from>
                  <to>
                    <xdr:col>6</xdr:col>
                    <xdr:colOff>409575</xdr:colOff>
                    <xdr:row>2</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40625" defaultRowHeight="12.75"/>
  <cols>
    <col min="1" max="1" width="5.140625" style="1" customWidth="1"/>
    <col min="2" max="2" width="28.140625" style="1" customWidth="1"/>
    <col min="3" max="4" width="9.140625" style="1"/>
    <col min="5" max="5" width="9.140625" style="1" customWidth="1"/>
    <col min="6" max="16384" width="9.140625" style="1"/>
  </cols>
  <sheetData>
    <row r="1" spans="2:15" ht="26.25">
      <c r="B1" s="17" t="s">
        <v>194</v>
      </c>
    </row>
    <row r="2" spans="2:15" ht="13.5" thickBot="1"/>
    <row r="3" spans="2:15" ht="13.5" thickBot="1">
      <c r="B3" s="15" t="s">
        <v>197</v>
      </c>
      <c r="C3" s="34">
        <v>0.3</v>
      </c>
      <c r="D3" s="15" t="s">
        <v>198</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75">
      <c r="B6" s="40" t="s">
        <v>168</v>
      </c>
    </row>
    <row r="7" spans="2:15" ht="15.75">
      <c r="B7" s="40" t="s">
        <v>169</v>
      </c>
    </row>
    <row r="8" spans="2:15" ht="15.75">
      <c r="B8" s="40"/>
    </row>
    <row r="9" spans="2:15" ht="18">
      <c r="B9" s="28" t="s">
        <v>150</v>
      </c>
      <c r="C9" s="15"/>
      <c r="D9" s="15"/>
      <c r="E9" s="15"/>
      <c r="F9" s="15"/>
      <c r="G9" s="15"/>
      <c r="H9" s="15"/>
      <c r="I9" s="15"/>
      <c r="J9" s="15"/>
      <c r="K9" s="15"/>
      <c r="L9" s="15"/>
      <c r="M9" s="15"/>
      <c r="N9" s="15"/>
      <c r="O9" s="15"/>
    </row>
    <row r="10" spans="2:15" ht="18">
      <c r="B10" s="28" t="s">
        <v>166</v>
      </c>
      <c r="C10" s="15"/>
      <c r="D10" s="15"/>
      <c r="E10" s="15"/>
      <c r="F10" s="15"/>
      <c r="G10" s="15"/>
      <c r="H10" s="15"/>
      <c r="I10" s="15"/>
      <c r="J10" s="15"/>
      <c r="K10" s="15"/>
      <c r="L10" s="15"/>
      <c r="M10" s="15"/>
      <c r="N10" s="15"/>
      <c r="O10" s="15"/>
    </row>
    <row r="11" spans="2:15" ht="13.5" thickBot="1">
      <c r="K11" s="15"/>
      <c r="L11" s="15"/>
      <c r="M11" s="15"/>
      <c r="N11" s="15"/>
      <c r="O11" s="15"/>
    </row>
    <row r="12" spans="2:15" ht="13.5" thickBot="1">
      <c r="B12" s="15" t="s">
        <v>183</v>
      </c>
      <c r="C12" s="30">
        <v>0.29360000000000003</v>
      </c>
      <c r="E12" s="15" t="s">
        <v>148</v>
      </c>
      <c r="H12" s="15"/>
      <c r="I12" s="15"/>
      <c r="J12" s="15"/>
      <c r="K12" s="15"/>
      <c r="L12" s="15"/>
      <c r="M12" s="15"/>
      <c r="N12" s="15"/>
      <c r="O12" s="15"/>
    </row>
    <row r="13" spans="2:15">
      <c r="B13" s="15" t="s">
        <v>184</v>
      </c>
      <c r="C13" s="15">
        <f>LN(1.25)^2/(C12^2)</f>
        <v>0.57763909465877594</v>
      </c>
      <c r="E13" s="15" t="s">
        <v>145</v>
      </c>
      <c r="K13" s="15"/>
      <c r="L13" s="15"/>
      <c r="M13" s="15"/>
      <c r="N13" s="15"/>
      <c r="O13" s="15"/>
    </row>
    <row r="14" spans="2:15">
      <c r="B14" s="15" t="s">
        <v>185</v>
      </c>
      <c r="C14" s="32">
        <f>SQRT(EXP((C12^2))-1)</f>
        <v>0.30004226001050344</v>
      </c>
      <c r="E14" s="15" t="s">
        <v>146</v>
      </c>
      <c r="G14" s="15"/>
      <c r="H14" s="15"/>
      <c r="I14" s="15"/>
      <c r="J14" s="15"/>
      <c r="K14" s="15"/>
      <c r="L14" s="15"/>
      <c r="M14" s="15"/>
      <c r="N14" s="15"/>
      <c r="O14" s="15"/>
    </row>
    <row r="15" spans="2:15">
      <c r="B15" s="15" t="s">
        <v>186</v>
      </c>
      <c r="C15" s="1">
        <f>LN((C3)^2+1)</f>
        <v>8.6177696241052412E-2</v>
      </c>
      <c r="D15" s="15"/>
      <c r="E15" s="15"/>
      <c r="F15" s="15"/>
      <c r="G15" s="15"/>
      <c r="H15" s="15"/>
      <c r="I15" s="15"/>
      <c r="J15" s="15"/>
      <c r="K15" s="15"/>
      <c r="L15" s="15"/>
      <c r="M15" s="15"/>
      <c r="N15" s="15"/>
      <c r="O15" s="15"/>
    </row>
    <row r="16" spans="2:15">
      <c r="B16" s="15" t="s">
        <v>187</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8">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8">
      <c r="B19" s="36" t="s">
        <v>152</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c r="B21" s="15" t="s">
        <v>138</v>
      </c>
      <c r="C21" s="9"/>
      <c r="D21" s="15"/>
      <c r="E21" s="15"/>
      <c r="F21" s="15"/>
      <c r="G21" s="15"/>
      <c r="H21" s="15"/>
      <c r="I21" s="15"/>
      <c r="J21" s="15"/>
      <c r="K21" s="15"/>
      <c r="L21" s="15"/>
      <c r="M21" s="15"/>
      <c r="N21" s="15"/>
      <c r="O21" s="15"/>
    </row>
    <row r="22" spans="2:16">
      <c r="B22" s="33" t="s">
        <v>144</v>
      </c>
      <c r="C22" s="9"/>
      <c r="D22" s="15"/>
      <c r="E22" s="15"/>
      <c r="F22" s="15"/>
      <c r="G22" s="15"/>
      <c r="H22" s="15"/>
      <c r="I22" s="15"/>
      <c r="J22" s="15"/>
      <c r="K22" s="15"/>
      <c r="L22" s="15"/>
      <c r="M22" s="15"/>
      <c r="N22" s="15"/>
      <c r="O22" s="15"/>
    </row>
    <row r="23" spans="2:16">
      <c r="B23" s="33" t="s">
        <v>147</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149</v>
      </c>
      <c r="C25" s="15"/>
      <c r="D25" s="15"/>
      <c r="E25" s="15"/>
      <c r="F25" s="15"/>
      <c r="G25" s="15"/>
      <c r="I25" s="15"/>
      <c r="J25" s="15"/>
      <c r="K25" s="15"/>
      <c r="L25" s="15"/>
      <c r="M25" s="15"/>
      <c r="N25" s="15"/>
      <c r="O25" s="15"/>
    </row>
    <row r="26" spans="2:16">
      <c r="B26" s="15" t="s">
        <v>193</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75">
      <c r="B29" s="41" t="s">
        <v>167</v>
      </c>
      <c r="C29" s="38"/>
      <c r="D29" s="38"/>
      <c r="E29" s="38"/>
      <c r="F29" s="38"/>
      <c r="G29" s="38"/>
      <c r="H29" s="38"/>
      <c r="I29" s="38"/>
      <c r="J29" s="38"/>
      <c r="K29" s="38"/>
      <c r="L29" s="38"/>
      <c r="M29" s="38"/>
      <c r="N29" s="38"/>
      <c r="O29" s="38"/>
      <c r="P29" s="39"/>
    </row>
    <row r="30" spans="2:16" ht="18">
      <c r="B30" s="28" t="s">
        <v>151</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133</v>
      </c>
      <c r="H32" s="15"/>
      <c r="I32" s="15"/>
      <c r="J32" s="15"/>
      <c r="K32" s="15"/>
      <c r="L32" s="15"/>
      <c r="M32" s="15"/>
      <c r="N32" s="15"/>
      <c r="O32" s="15"/>
    </row>
    <row r="33" spans="2:21">
      <c r="B33" s="15"/>
      <c r="C33" s="15"/>
      <c r="D33" s="15"/>
      <c r="E33" s="15"/>
      <c r="F33" s="15"/>
      <c r="G33" s="15" t="s">
        <v>139</v>
      </c>
      <c r="H33" s="15"/>
      <c r="I33" s="15"/>
      <c r="J33" s="15"/>
      <c r="K33" s="15"/>
      <c r="L33" s="15"/>
      <c r="M33" s="15"/>
      <c r="N33" s="15"/>
      <c r="O33" s="15"/>
    </row>
    <row r="34" spans="2:21" ht="13.5" thickBot="1">
      <c r="C34" s="15"/>
      <c r="D34" s="15"/>
      <c r="E34" s="15"/>
      <c r="F34" s="15"/>
      <c r="G34" s="15"/>
      <c r="H34" s="15"/>
      <c r="I34" s="15"/>
      <c r="J34" s="15"/>
      <c r="K34" s="15"/>
      <c r="L34" s="15"/>
      <c r="M34" s="15"/>
      <c r="N34" s="15"/>
      <c r="O34" s="15"/>
    </row>
    <row r="35" spans="2:21" ht="13.5" thickBot="1">
      <c r="B35" s="15" t="s">
        <v>183</v>
      </c>
      <c r="C35" s="30">
        <v>0.25</v>
      </c>
      <c r="D35" s="15" t="s">
        <v>140</v>
      </c>
      <c r="E35" s="15"/>
      <c r="F35" s="15"/>
      <c r="G35" s="15"/>
      <c r="H35" s="15"/>
      <c r="I35" s="15"/>
      <c r="J35" s="15"/>
      <c r="K35" s="15"/>
      <c r="L35" s="15"/>
      <c r="M35" s="15"/>
      <c r="N35" s="15"/>
      <c r="O35" s="15"/>
    </row>
    <row r="36" spans="2:21">
      <c r="B36" s="15" t="s">
        <v>185</v>
      </c>
      <c r="C36" s="32">
        <f>SQRT(EXP((C35^2))-1)</f>
        <v>0.25395759275489149</v>
      </c>
      <c r="F36" s="15"/>
      <c r="G36" s="15"/>
      <c r="H36" s="15"/>
      <c r="I36" s="15"/>
      <c r="J36" s="15"/>
      <c r="K36" s="15"/>
      <c r="L36" s="15"/>
      <c r="M36" s="15"/>
      <c r="N36" s="15"/>
      <c r="O36" s="15"/>
    </row>
    <row r="37" spans="2:21">
      <c r="B37" s="15" t="s">
        <v>188</v>
      </c>
      <c r="C37" s="15">
        <f>SQRT(LN((C3)^2+1))</f>
        <v>0.29356037920852401</v>
      </c>
      <c r="D37" s="15" t="s">
        <v>143</v>
      </c>
      <c r="E37" s="15"/>
      <c r="F37" s="15"/>
      <c r="G37" s="15"/>
      <c r="H37" s="15"/>
      <c r="I37" s="15"/>
      <c r="J37" s="15"/>
      <c r="K37" s="15"/>
      <c r="L37" s="15"/>
      <c r="M37" s="15"/>
      <c r="N37" s="15"/>
      <c r="O37" s="15"/>
    </row>
    <row r="38" spans="2:21">
      <c r="B38" s="15" t="s">
        <v>134</v>
      </c>
      <c r="C38" s="1">
        <f>IF(C37&gt;=C35,LN(1.25)*C37/C35,LN(1.25))</f>
        <v>0.2620244221669446</v>
      </c>
      <c r="F38" s="15"/>
      <c r="G38" s="15"/>
      <c r="H38" s="15"/>
      <c r="I38" s="15"/>
      <c r="J38" s="15"/>
      <c r="K38" s="15"/>
      <c r="L38" s="15"/>
      <c r="M38" s="15"/>
      <c r="N38" s="15"/>
      <c r="O38" s="15"/>
    </row>
    <row r="39" spans="2:21">
      <c r="B39" s="15"/>
      <c r="C39" s="15"/>
      <c r="D39" s="15"/>
      <c r="E39" s="15"/>
      <c r="F39" s="15"/>
      <c r="G39" s="15" t="s">
        <v>200</v>
      </c>
      <c r="H39" s="15"/>
      <c r="I39" s="15"/>
      <c r="J39" s="15"/>
      <c r="K39" s="15"/>
      <c r="L39" s="15"/>
      <c r="M39" s="15"/>
      <c r="N39" s="15"/>
      <c r="O39" s="15"/>
    </row>
    <row r="40" spans="2:21" ht="18">
      <c r="B40" s="36" t="s">
        <v>132</v>
      </c>
      <c r="C40" s="36" t="str">
        <f>FIXED(100*EXP(-C38),2)&amp;" - "&amp;FIXED(100*EXP(C38),2)&amp;"%"</f>
        <v>76.95 - 129.96%</v>
      </c>
      <c r="D40" s="31"/>
      <c r="E40" s="15"/>
      <c r="F40" s="15"/>
      <c r="G40" s="15"/>
      <c r="H40" s="15"/>
      <c r="I40" s="15"/>
      <c r="J40" s="15"/>
      <c r="K40" s="15"/>
      <c r="L40" s="15"/>
      <c r="M40" s="15"/>
      <c r="N40" s="15"/>
      <c r="O40" s="15"/>
    </row>
    <row r="41" spans="2:21">
      <c r="C41" s="9"/>
      <c r="D41" s="15"/>
      <c r="E41" s="15"/>
      <c r="F41" s="15"/>
      <c r="G41" s="15"/>
      <c r="H41" s="15"/>
      <c r="I41" s="15"/>
      <c r="J41" s="15"/>
      <c r="K41" s="15"/>
      <c r="L41" s="15"/>
      <c r="M41" s="15"/>
      <c r="N41" s="15"/>
      <c r="O41" s="15"/>
    </row>
    <row r="42" spans="2:21">
      <c r="B42" s="15" t="s">
        <v>138</v>
      </c>
      <c r="C42" s="9"/>
      <c r="D42" s="15"/>
      <c r="E42" s="15"/>
      <c r="F42" s="15"/>
      <c r="G42" s="15"/>
      <c r="H42" s="15"/>
      <c r="I42" s="15"/>
      <c r="J42" s="15"/>
      <c r="K42" s="15"/>
      <c r="L42" s="15"/>
      <c r="M42" s="15"/>
      <c r="N42" s="15"/>
      <c r="O42" s="15"/>
    </row>
    <row r="43" spans="2:21">
      <c r="B43" s="33" t="s">
        <v>137</v>
      </c>
      <c r="C43" s="9"/>
      <c r="D43" s="15"/>
      <c r="E43" s="15"/>
      <c r="F43" s="15"/>
      <c r="G43" s="15"/>
      <c r="H43" s="15"/>
      <c r="I43" s="15"/>
      <c r="J43" s="15"/>
      <c r="K43" s="15"/>
      <c r="L43" s="15"/>
      <c r="M43" s="15"/>
      <c r="N43" s="15"/>
      <c r="O43" s="15"/>
    </row>
    <row r="44" spans="2:21">
      <c r="B44" s="33" t="s">
        <v>136</v>
      </c>
      <c r="C44" s="15"/>
      <c r="D44" s="15"/>
      <c r="E44" s="15"/>
      <c r="F44" s="15"/>
      <c r="G44" s="15"/>
      <c r="H44" s="15"/>
      <c r="I44" s="15"/>
      <c r="J44" s="15"/>
      <c r="K44" s="15"/>
      <c r="L44" s="15"/>
      <c r="M44" s="15"/>
      <c r="N44" s="15"/>
      <c r="O44" s="15"/>
    </row>
    <row r="45" spans="2:21">
      <c r="B45" s="33" t="s">
        <v>141</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154</v>
      </c>
      <c r="L48" s="15"/>
      <c r="M48" s="15"/>
      <c r="N48" s="15"/>
      <c r="O48" s="15"/>
      <c r="P48" s="15"/>
      <c r="Q48" s="15"/>
      <c r="R48" s="15"/>
      <c r="S48" s="15"/>
      <c r="T48" s="15"/>
      <c r="U48" s="15"/>
    </row>
    <row r="49" spans="2:21" ht="18">
      <c r="B49" s="28" t="s">
        <v>155</v>
      </c>
      <c r="L49" s="15"/>
      <c r="M49" s="15"/>
      <c r="N49" s="15"/>
      <c r="O49" s="15"/>
      <c r="P49" s="15"/>
      <c r="Q49" s="15"/>
      <c r="R49" s="15"/>
      <c r="S49" s="15"/>
      <c r="T49" s="15"/>
      <c r="U49" s="15"/>
    </row>
    <row r="50" spans="2:21" ht="13.5" thickBot="1">
      <c r="K50" s="15"/>
      <c r="L50" s="15"/>
      <c r="M50" s="15"/>
      <c r="N50" s="15"/>
      <c r="O50" s="15"/>
      <c r="P50" s="15"/>
      <c r="Q50" s="15"/>
      <c r="R50" s="15"/>
      <c r="S50" s="15"/>
      <c r="T50" s="15"/>
      <c r="U50" s="15"/>
    </row>
    <row r="51" spans="2:21" ht="13.5" thickBot="1">
      <c r="B51" s="15" t="s">
        <v>157</v>
      </c>
      <c r="C51" s="30">
        <v>1</v>
      </c>
      <c r="D51" s="15"/>
      <c r="K51" s="15"/>
      <c r="L51" s="15"/>
      <c r="M51" s="15"/>
      <c r="N51" s="15"/>
      <c r="O51" s="15"/>
      <c r="P51" s="15"/>
      <c r="Q51" s="15"/>
      <c r="R51" s="15"/>
      <c r="S51" s="15"/>
      <c r="T51" s="15"/>
      <c r="U51" s="15"/>
    </row>
    <row r="52" spans="2:21" ht="13.5" thickBot="1">
      <c r="B52" s="15" t="s">
        <v>156</v>
      </c>
      <c r="C52" s="30">
        <v>24</v>
      </c>
      <c r="K52" s="15"/>
      <c r="L52" s="15"/>
      <c r="M52" s="15"/>
      <c r="N52" s="15"/>
      <c r="O52" s="15"/>
      <c r="P52" s="15"/>
      <c r="Q52" s="15"/>
      <c r="R52" s="15"/>
      <c r="S52" s="15"/>
      <c r="T52" s="15"/>
      <c r="U52" s="15"/>
    </row>
    <row r="53" spans="2:21">
      <c r="B53" s="15" t="s">
        <v>142</v>
      </c>
      <c r="C53" s="1">
        <f>LN((C3)^2+1)</f>
        <v>8.6177696241052412E-2</v>
      </c>
      <c r="K53" s="15"/>
      <c r="L53" s="15"/>
      <c r="M53" s="15"/>
      <c r="N53" s="15"/>
      <c r="O53" s="15"/>
      <c r="P53" s="15"/>
      <c r="Q53" s="15"/>
      <c r="R53" s="15"/>
      <c r="S53" s="15"/>
      <c r="T53" s="15"/>
      <c r="U53" s="15"/>
    </row>
    <row r="54" spans="2:21">
      <c r="B54" s="15" t="s">
        <v>162</v>
      </c>
      <c r="C54" s="1">
        <f>SQRT((2*C53)/C52)</f>
        <v>8.474358197972498E-2</v>
      </c>
      <c r="I54" s="9"/>
      <c r="K54" s="15"/>
      <c r="L54" s="15"/>
      <c r="M54" s="15"/>
      <c r="N54" s="15"/>
      <c r="O54" s="15"/>
      <c r="P54" s="15"/>
      <c r="Q54" s="15"/>
      <c r="R54" s="15"/>
      <c r="S54" s="15"/>
      <c r="T54" s="15"/>
      <c r="U54" s="15"/>
    </row>
    <row r="55" spans="2:21">
      <c r="B55" s="15" t="s">
        <v>158</v>
      </c>
      <c r="C55" s="1">
        <f>TINV(0.1,C52-2)</f>
        <v>1.7171443743802424</v>
      </c>
      <c r="F55" s="15"/>
      <c r="I55" s="9"/>
      <c r="K55" s="15"/>
      <c r="L55" s="15"/>
      <c r="M55" s="15"/>
      <c r="N55" s="15"/>
      <c r="O55" s="15"/>
      <c r="P55" s="15"/>
      <c r="Q55" s="15"/>
      <c r="R55" s="15"/>
      <c r="S55" s="15"/>
      <c r="T55" s="15"/>
      <c r="U55" s="15"/>
    </row>
    <row r="56" spans="2:21">
      <c r="C56" s="15"/>
      <c r="D56" s="15"/>
      <c r="E56" s="9"/>
      <c r="F56" s="15"/>
      <c r="G56" s="15"/>
      <c r="H56" s="15"/>
      <c r="I56" s="15"/>
      <c r="J56" s="15"/>
      <c r="K56" s="15"/>
      <c r="L56" s="15"/>
      <c r="M56" s="15"/>
      <c r="N56" s="15"/>
      <c r="O56" s="15"/>
    </row>
    <row r="57" spans="2:21" ht="18">
      <c r="B57" s="36" t="s">
        <v>132</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160</v>
      </c>
      <c r="D59" s="15"/>
      <c r="E59" s="15"/>
      <c r="F59" s="15"/>
      <c r="G59" s="15"/>
      <c r="H59" s="15"/>
      <c r="I59" s="15"/>
      <c r="J59" s="15"/>
      <c r="K59" s="15"/>
      <c r="L59" s="15"/>
      <c r="M59" s="15"/>
      <c r="N59" s="15"/>
      <c r="O59" s="15"/>
    </row>
    <row r="60" spans="2:21">
      <c r="B60" s="15" t="s">
        <v>161</v>
      </c>
      <c r="C60" s="15"/>
      <c r="D60" s="15"/>
      <c r="E60" s="15"/>
      <c r="F60" s="15"/>
      <c r="G60" s="15"/>
      <c r="H60" s="15"/>
      <c r="I60" s="15"/>
      <c r="J60" s="15"/>
      <c r="K60" s="15"/>
      <c r="L60" s="15"/>
      <c r="M60" s="15"/>
      <c r="N60" s="15"/>
      <c r="O60" s="15"/>
    </row>
    <row r="61" spans="2:21">
      <c r="B61" s="15" t="s">
        <v>163</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135</v>
      </c>
      <c r="C76" s="15"/>
      <c r="D76" s="15"/>
      <c r="E76" s="15"/>
      <c r="F76" s="15"/>
      <c r="G76" s="15"/>
      <c r="H76" s="15"/>
      <c r="I76" s="15"/>
      <c r="J76" s="15"/>
      <c r="K76" s="15"/>
      <c r="L76" s="15"/>
      <c r="M76" s="15"/>
      <c r="N76" s="15"/>
      <c r="O76" s="15"/>
    </row>
    <row r="77" spans="2:15">
      <c r="B77" s="33" t="s">
        <v>144</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153</v>
      </c>
      <c r="C80" s="15"/>
      <c r="D80" s="15"/>
      <c r="E80" s="15"/>
      <c r="F80" s="15"/>
      <c r="G80" s="15"/>
      <c r="H80" s="15"/>
      <c r="I80" s="15"/>
      <c r="J80" s="15"/>
      <c r="K80" s="15"/>
      <c r="L80" s="15"/>
      <c r="M80" s="15"/>
      <c r="N80" s="15"/>
      <c r="O80" s="15"/>
    </row>
    <row r="81" spans="2:15" ht="18">
      <c r="B81" s="28" t="s">
        <v>159</v>
      </c>
      <c r="C81" s="15"/>
      <c r="D81" s="15"/>
      <c r="E81" s="15"/>
      <c r="F81" s="15"/>
      <c r="G81" s="15"/>
      <c r="H81" s="15"/>
      <c r="I81" s="15"/>
      <c r="J81" s="15"/>
      <c r="K81" s="15"/>
      <c r="L81" s="15"/>
      <c r="M81" s="15"/>
      <c r="N81" s="15"/>
      <c r="O81" s="15"/>
    </row>
    <row r="82" spans="2:15" ht="13.5" thickBot="1">
      <c r="B82" s="15"/>
      <c r="C82" s="15"/>
      <c r="D82" s="15"/>
      <c r="E82" s="15"/>
      <c r="F82" s="15"/>
      <c r="G82" s="15"/>
      <c r="H82" s="15"/>
      <c r="I82" s="15"/>
      <c r="J82" s="15"/>
      <c r="K82" s="15"/>
      <c r="L82" s="15"/>
      <c r="M82" s="15"/>
      <c r="N82" s="15"/>
      <c r="O82" s="15"/>
    </row>
    <row r="83" spans="2:15" ht="13.5" thickBot="1">
      <c r="B83" s="37" t="s">
        <v>164</v>
      </c>
      <c r="C83" s="30">
        <v>1</v>
      </c>
      <c r="D83" s="15"/>
      <c r="E83" s="15"/>
      <c r="F83" s="15"/>
      <c r="G83" s="15"/>
      <c r="H83" s="15"/>
      <c r="I83" s="15"/>
      <c r="J83" s="15"/>
      <c r="K83" s="15"/>
      <c r="L83" s="15"/>
      <c r="M83" s="15"/>
      <c r="N83" s="15"/>
      <c r="O83" s="15"/>
    </row>
    <row r="84" spans="2:15">
      <c r="B84" s="15" t="s">
        <v>165</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8">
      <c r="B86" s="36" t="s">
        <v>132</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138</v>
      </c>
      <c r="C106" s="15"/>
      <c r="D106" s="15"/>
      <c r="E106" s="15"/>
      <c r="F106" s="15"/>
      <c r="G106" s="15"/>
      <c r="H106" s="15"/>
      <c r="I106" s="15"/>
      <c r="J106" s="15"/>
      <c r="K106" s="15"/>
      <c r="L106" s="15"/>
      <c r="M106" s="15"/>
      <c r="N106" s="15"/>
      <c r="O106" s="15"/>
    </row>
    <row r="107" spans="2:15">
      <c r="B107" s="33" t="s">
        <v>144</v>
      </c>
      <c r="C107" s="15"/>
      <c r="D107" s="15"/>
      <c r="E107" s="15"/>
      <c r="F107" s="15"/>
      <c r="G107" s="15"/>
      <c r="H107" s="15"/>
      <c r="I107" s="15"/>
      <c r="J107" s="15"/>
      <c r="K107" s="15"/>
      <c r="L107" s="15"/>
      <c r="M107" s="15"/>
      <c r="N107" s="15"/>
      <c r="O107" s="15"/>
    </row>
    <row r="108" spans="2:15">
      <c r="B108" s="42" t="s">
        <v>199</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153</v>
      </c>
    </row>
    <row r="111" spans="2:15" ht="18">
      <c r="B111" s="28" t="s">
        <v>179</v>
      </c>
    </row>
    <row r="112" spans="2:15" ht="13.5" thickBot="1"/>
    <row r="113" spans="2:15" ht="13.5" thickBot="1">
      <c r="B113" s="15" t="s">
        <v>183</v>
      </c>
      <c r="C113" s="30">
        <v>0.25</v>
      </c>
    </row>
    <row r="114" spans="2:15" ht="13.5" thickBot="1">
      <c r="B114" s="15" t="s">
        <v>180</v>
      </c>
      <c r="C114" s="30">
        <f>C115</f>
        <v>8.6177696241052412E-2</v>
      </c>
      <c r="D114" s="15" t="s">
        <v>190</v>
      </c>
    </row>
    <row r="115" spans="2:15" ht="13.5" thickBot="1">
      <c r="B115" s="15" t="s">
        <v>142</v>
      </c>
      <c r="C115" s="30">
        <f>LN((C3)^2+1)</f>
        <v>8.6177696241052412E-2</v>
      </c>
      <c r="D115" s="15" t="s">
        <v>189</v>
      </c>
    </row>
    <row r="116" spans="2:15" ht="13.5" thickBot="1">
      <c r="B116" s="15" t="s">
        <v>181</v>
      </c>
      <c r="C116" s="30">
        <f>0.1356^2</f>
        <v>1.8387359999999998E-2</v>
      </c>
      <c r="D116" s="15" t="s">
        <v>191</v>
      </c>
    </row>
    <row r="117" spans="2:15">
      <c r="B117" s="15" t="s">
        <v>182</v>
      </c>
      <c r="C117" s="1">
        <f>(LN(1.25)^2+0.05)/C113^2</f>
        <v>1.596688711889878</v>
      </c>
    </row>
    <row r="118" spans="2:15">
      <c r="B118" s="15" t="s">
        <v>192</v>
      </c>
      <c r="C118" s="1">
        <f>SQRT((C117*C115)-(C114-C115)-C116)</f>
        <v>0.3452703213494655</v>
      </c>
    </row>
    <row r="119" spans="2:15" ht="18">
      <c r="B119" s="36" t="s">
        <v>132</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138</v>
      </c>
      <c r="C143" s="15"/>
      <c r="D143" s="15"/>
      <c r="E143" s="15"/>
      <c r="F143" s="15"/>
      <c r="G143" s="15"/>
      <c r="H143" s="15"/>
      <c r="I143" s="15"/>
      <c r="J143" s="15"/>
      <c r="K143" s="15"/>
      <c r="L143" s="15"/>
      <c r="M143" s="15"/>
      <c r="N143" s="15"/>
      <c r="O143" s="15"/>
    </row>
    <row r="144" spans="2:15">
      <c r="B144" s="33" t="s">
        <v>178</v>
      </c>
      <c r="C144" s="15"/>
      <c r="D144" s="15"/>
      <c r="E144" s="15"/>
      <c r="F144" s="15"/>
      <c r="G144" s="15"/>
      <c r="H144" s="15"/>
      <c r="I144" s="15"/>
      <c r="J144" s="15"/>
      <c r="K144" s="15"/>
      <c r="L144" s="15"/>
      <c r="M144" s="15"/>
      <c r="N144" s="15"/>
      <c r="O144" s="15"/>
    </row>
    <row r="145" spans="2:15">
      <c r="B145" s="33" t="s">
        <v>144</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170</v>
      </c>
      <c r="C148" s="15"/>
      <c r="D148" s="15"/>
      <c r="E148" s="15"/>
      <c r="F148" s="15"/>
      <c r="G148" s="15"/>
      <c r="H148" s="15"/>
      <c r="I148" s="15"/>
      <c r="J148" s="15"/>
      <c r="K148" s="15"/>
      <c r="L148" s="15"/>
      <c r="M148" s="15"/>
      <c r="N148" s="15"/>
      <c r="O148" s="15"/>
    </row>
    <row r="149" spans="2:15" ht="18">
      <c r="B149" s="28" t="s">
        <v>171</v>
      </c>
      <c r="C149" s="15"/>
      <c r="D149" s="15"/>
      <c r="E149" s="15"/>
      <c r="F149" s="15"/>
      <c r="G149" s="15"/>
      <c r="H149" s="15"/>
      <c r="I149" s="15"/>
      <c r="J149" s="15"/>
      <c r="K149" s="15"/>
      <c r="L149" s="15"/>
      <c r="M149" s="15"/>
      <c r="N149" s="15"/>
      <c r="O149" s="15"/>
    </row>
    <row r="150" spans="2:15" ht="13.5" thickBot="1">
      <c r="B150" s="15"/>
      <c r="C150" s="15"/>
      <c r="D150" s="15"/>
      <c r="E150" s="15"/>
      <c r="F150" s="15"/>
      <c r="G150" s="15"/>
      <c r="H150" s="15"/>
      <c r="I150" s="15"/>
      <c r="J150" s="15"/>
      <c r="K150" s="15"/>
      <c r="L150" s="15"/>
      <c r="M150" s="15"/>
      <c r="N150" s="15"/>
      <c r="O150" s="15"/>
    </row>
    <row r="151" spans="2:15" ht="13.5" thickBot="1">
      <c r="B151" s="15" t="s">
        <v>174</v>
      </c>
      <c r="C151" s="30">
        <v>24</v>
      </c>
      <c r="D151" s="15"/>
      <c r="E151" s="15"/>
      <c r="F151" s="15"/>
      <c r="G151" s="15"/>
      <c r="H151" s="15"/>
      <c r="I151" s="15"/>
      <c r="J151" s="15"/>
      <c r="K151" s="15"/>
      <c r="L151" s="15"/>
      <c r="M151" s="15"/>
      <c r="N151" s="15"/>
      <c r="O151" s="15"/>
    </row>
    <row r="152" spans="2:15" ht="13.5" thickBot="1">
      <c r="B152" s="15" t="s">
        <v>173</v>
      </c>
      <c r="C152" s="29">
        <v>0.05</v>
      </c>
      <c r="D152" s="15" t="s">
        <v>177</v>
      </c>
      <c r="E152" s="15"/>
      <c r="F152" s="15"/>
      <c r="G152" s="15"/>
      <c r="H152" s="15"/>
      <c r="I152" s="15"/>
      <c r="J152" s="15"/>
      <c r="K152" s="15"/>
      <c r="L152" s="15"/>
      <c r="M152" s="15"/>
      <c r="N152" s="15"/>
      <c r="O152" s="15"/>
    </row>
    <row r="153" spans="2:15" ht="13.5" thickBot="1">
      <c r="B153" s="15" t="s">
        <v>172</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165</v>
      </c>
      <c r="C154" s="15">
        <f>C37</f>
        <v>0.29356037920852401</v>
      </c>
      <c r="D154" s="15"/>
      <c r="E154" s="15"/>
      <c r="F154" s="15"/>
      <c r="G154" s="15"/>
      <c r="H154" s="15"/>
      <c r="I154" s="15"/>
      <c r="J154" s="15"/>
      <c r="K154" s="15"/>
      <c r="L154" s="15"/>
      <c r="M154" s="15"/>
      <c r="N154" s="15"/>
      <c r="O154" s="15"/>
    </row>
    <row r="155" spans="2:15">
      <c r="B155" s="15" t="s">
        <v>175</v>
      </c>
      <c r="C155" s="15">
        <f>TINV(($C$152*2),$C$151-2)</f>
        <v>1.7171443743802424</v>
      </c>
      <c r="D155" s="15"/>
      <c r="E155" s="15"/>
      <c r="F155" s="15"/>
      <c r="G155" s="15"/>
      <c r="H155" s="15"/>
      <c r="I155" s="15"/>
      <c r="J155" s="15"/>
      <c r="K155" s="15"/>
      <c r="L155" s="15"/>
      <c r="M155" s="15"/>
      <c r="N155" s="15"/>
      <c r="O155" s="15"/>
    </row>
    <row r="156" spans="2:15">
      <c r="B156" s="15" t="s">
        <v>176</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8">
      <c r="B158" s="36" t="s">
        <v>132</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138</v>
      </c>
      <c r="C176" s="15"/>
      <c r="D176" s="15"/>
      <c r="E176" s="15"/>
      <c r="F176" s="15"/>
      <c r="G176" s="15"/>
      <c r="H176" s="15"/>
      <c r="I176" s="15"/>
      <c r="J176" s="15"/>
      <c r="K176" s="15"/>
      <c r="L176" s="15"/>
      <c r="M176" s="15"/>
      <c r="N176" s="15"/>
      <c r="O176" s="15"/>
    </row>
    <row r="177" spans="2:15">
      <c r="B177" s="33" t="s">
        <v>144</v>
      </c>
      <c r="C177" s="15"/>
      <c r="D177" s="15"/>
      <c r="E177" s="15"/>
      <c r="F177" s="15"/>
      <c r="G177" s="15"/>
      <c r="H177" s="15"/>
      <c r="I177" s="15"/>
      <c r="J177" s="15"/>
      <c r="K177" s="15"/>
      <c r="L177" s="15"/>
      <c r="M177" s="15"/>
      <c r="N177" s="15"/>
      <c r="O177" s="15"/>
    </row>
    <row r="178" spans="2:15">
      <c r="B178" s="42" t="s">
        <v>199</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28575</xdr:colOff>
                <xdr:row>30</xdr:row>
                <xdr:rowOff>38100</xdr:rowOff>
              </from>
              <to>
                <xdr:col>5</xdr:col>
                <xdr:colOff>114300</xdr:colOff>
                <xdr:row>33</xdr:row>
                <xdr:rowOff>142875</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40625" defaultRowHeight="12.75"/>
  <cols>
    <col min="1" max="1" width="5.140625" style="1" customWidth="1"/>
    <col min="2" max="2" width="21.42578125" style="1" customWidth="1"/>
    <col min="3" max="16384" width="9.140625" style="1"/>
  </cols>
  <sheetData>
    <row r="1" spans="2:6" ht="26.25">
      <c r="B1" s="17" t="s">
        <v>77</v>
      </c>
      <c r="F1" s="9" t="s">
        <v>122</v>
      </c>
    </row>
    <row r="2" spans="2:6" ht="13.5" thickBot="1">
      <c r="C2" s="14"/>
    </row>
    <row r="3" spans="2:6" ht="16.5"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5" thickBot="1">
      <c r="C7" s="4"/>
    </row>
    <row r="8" spans="2:6" ht="13.5" thickBot="1">
      <c r="B8" s="12" t="s">
        <v>17</v>
      </c>
      <c r="C8" s="11">
        <f>C6/C5</f>
        <v>0.2</v>
      </c>
    </row>
    <row r="10" spans="2:6">
      <c r="B10" s="8" t="s">
        <v>18</v>
      </c>
      <c r="C10" s="1">
        <f>C5</f>
        <v>25</v>
      </c>
    </row>
    <row r="11" spans="2:6">
      <c r="B11" s="1" t="s">
        <v>16</v>
      </c>
      <c r="C11" s="7">
        <v>3</v>
      </c>
    </row>
    <row r="12" spans="2:6">
      <c r="B12" s="1" t="s">
        <v>15</v>
      </c>
      <c r="C12" s="1">
        <f>C11*(C3+1)-2</f>
        <v>4</v>
      </c>
    </row>
    <row r="13" spans="2:6">
      <c r="B13" s="1" t="s">
        <v>14</v>
      </c>
      <c r="C13" s="1">
        <f>TINV(C4,C12)</f>
        <v>2.7764451051977934</v>
      </c>
    </row>
    <row r="14" spans="2:6">
      <c r="B14" s="1" t="s">
        <v>40</v>
      </c>
      <c r="C14" s="7">
        <f>(C3+1)*C13^2*C10^2/(C3*C6^2)</f>
        <v>385.43237110883928</v>
      </c>
    </row>
    <row r="18" spans="2:5">
      <c r="E18" s="5"/>
    </row>
    <row r="19" spans="2:5" ht="14.25">
      <c r="C19" s="16" t="s">
        <v>63</v>
      </c>
      <c r="D19" s="16" t="s">
        <v>64</v>
      </c>
      <c r="E19" s="16" t="s">
        <v>66</v>
      </c>
    </row>
    <row r="20" spans="2:5">
      <c r="B20" s="1" t="s">
        <v>11</v>
      </c>
      <c r="C20" s="1">
        <f>CEILING(C11,1)</f>
        <v>3</v>
      </c>
      <c r="D20" s="1">
        <f>C20*C3</f>
        <v>3</v>
      </c>
      <c r="E20" s="1">
        <f>C20+D20</f>
        <v>6</v>
      </c>
    </row>
    <row r="26" spans="2:5" ht="18">
      <c r="B26" s="28" t="s">
        <v>123</v>
      </c>
    </row>
    <row r="27" spans="2:5" ht="20.25" customHeight="1"/>
    <row r="50" spans="2:7">
      <c r="G50" s="6"/>
    </row>
    <row r="51" spans="2:7">
      <c r="G51" s="6"/>
    </row>
    <row r="52" spans="2:7">
      <c r="G52" s="6"/>
    </row>
    <row r="53" spans="2:7">
      <c r="B53" s="9" t="s">
        <v>125</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40625" defaultRowHeight="12.75"/>
  <cols>
    <col min="1" max="1" width="5.140625" style="1" customWidth="1"/>
    <col min="2" max="2" width="21.42578125" style="1" customWidth="1"/>
    <col min="3" max="16384" width="9.140625" style="1"/>
  </cols>
  <sheetData>
    <row r="1" spans="2:7" ht="26.25">
      <c r="B1" s="17" t="s">
        <v>78</v>
      </c>
      <c r="G1" s="9" t="s">
        <v>122</v>
      </c>
    </row>
    <row r="2" spans="2:7">
      <c r="C2" s="14"/>
    </row>
    <row r="3" spans="2:7" ht="13.5" thickBot="1">
      <c r="C3" s="10"/>
    </row>
    <row r="4" spans="2:7" ht="13.5" thickBot="1">
      <c r="B4" s="8" t="s">
        <v>59</v>
      </c>
      <c r="C4" s="2">
        <v>0.05</v>
      </c>
      <c r="D4" s="1" t="s">
        <v>20</v>
      </c>
    </row>
    <row r="5" spans="2:7" ht="16.5" thickBot="1">
      <c r="B5" s="8" t="s">
        <v>26</v>
      </c>
      <c r="C5" s="3">
        <v>10</v>
      </c>
      <c r="D5" s="1" t="s">
        <v>19</v>
      </c>
    </row>
    <row r="6" spans="2:7" ht="13.5" thickBot="1">
      <c r="B6" s="1" t="s">
        <v>38</v>
      </c>
      <c r="C6" s="3">
        <v>5</v>
      </c>
      <c r="D6" s="1" t="s">
        <v>39</v>
      </c>
    </row>
    <row r="7" spans="2:7" ht="13.5" thickBot="1">
      <c r="C7" s="4"/>
    </row>
    <row r="8" spans="2:7" ht="13.5" thickBot="1">
      <c r="B8" s="12" t="s">
        <v>17</v>
      </c>
      <c r="C8" s="11">
        <f>C6/C5</f>
        <v>0.5</v>
      </c>
    </row>
    <row r="10" spans="2:7" ht="15.75">
      <c r="B10" s="8" t="s">
        <v>26</v>
      </c>
      <c r="C10" s="1">
        <f>C5</f>
        <v>10</v>
      </c>
    </row>
    <row r="11" spans="2:7">
      <c r="B11" s="1" t="s">
        <v>0</v>
      </c>
      <c r="C11" s="7">
        <v>3</v>
      </c>
    </row>
    <row r="12" spans="2:7">
      <c r="B12" s="1" t="s">
        <v>2</v>
      </c>
      <c r="C12" s="1">
        <f>C11-2</f>
        <v>1</v>
      </c>
    </row>
    <row r="13" spans="2:7">
      <c r="B13" s="1" t="s">
        <v>13</v>
      </c>
      <c r="C13" s="1">
        <f>TINV(C4,C12)</f>
        <v>12.706204736174707</v>
      </c>
    </row>
    <row r="14" spans="2:7">
      <c r="B14" s="1" t="s">
        <v>41</v>
      </c>
      <c r="C14" s="7">
        <f>2*C13^2*C10^2/(C6^2)</f>
        <v>1291.5811103807084</v>
      </c>
    </row>
    <row r="18" spans="2:5">
      <c r="E18" s="5"/>
    </row>
    <row r="19" spans="2:5">
      <c r="C19" s="9"/>
      <c r="D19" s="9"/>
    </row>
    <row r="20" spans="2:5">
      <c r="B20" s="1" t="s">
        <v>11</v>
      </c>
      <c r="C20" s="1">
        <f>CEILING(C11,1)</f>
        <v>3</v>
      </c>
    </row>
    <row r="26" spans="2:5" ht="18">
      <c r="B26" s="28" t="s">
        <v>123</v>
      </c>
    </row>
    <row r="27" spans="2:5" ht="20.25" customHeight="1"/>
    <row r="35" spans="2:2">
      <c r="B35" s="9" t="s">
        <v>125</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workbookViewId="0">
      <selection activeCell="C3" sqref="C3"/>
    </sheetView>
  </sheetViews>
  <sheetFormatPr defaultColWidth="9.140625" defaultRowHeight="12.75"/>
  <cols>
    <col min="1" max="1" width="5.140625" style="1" customWidth="1"/>
    <col min="2" max="2" width="21.42578125" style="1" customWidth="1"/>
    <col min="3" max="3" width="9.140625" style="1"/>
    <col min="4" max="5" width="12.42578125" style="1" bestFit="1" customWidth="1"/>
    <col min="6" max="6" width="9.140625" style="1"/>
    <col min="7" max="7" width="12.42578125" style="1" bestFit="1" customWidth="1"/>
    <col min="8" max="16384" width="9.140625" style="1"/>
  </cols>
  <sheetData>
    <row r="1" spans="2:5" ht="26.25">
      <c r="B1" s="17" t="s">
        <v>116</v>
      </c>
    </row>
    <row r="2" spans="2:5" ht="13.5" thickBot="1">
      <c r="C2" s="14"/>
      <c r="E2" s="9" t="s">
        <v>122</v>
      </c>
    </row>
    <row r="3" spans="2:5" ht="13.5" thickBot="1">
      <c r="B3" s="1" t="s">
        <v>1</v>
      </c>
      <c r="C3" s="2">
        <v>0.8</v>
      </c>
    </row>
    <row r="4" spans="2:5" ht="13.5" thickBot="1">
      <c r="B4" s="8" t="s">
        <v>59</v>
      </c>
      <c r="C4" s="2">
        <v>0.05</v>
      </c>
      <c r="D4" s="1" t="s">
        <v>20</v>
      </c>
    </row>
    <row r="5" spans="2:5" ht="16.5" thickBot="1">
      <c r="B5" s="1" t="s">
        <v>82</v>
      </c>
      <c r="C5" s="18">
        <v>0.1</v>
      </c>
      <c r="D5" s="1" t="s">
        <v>83</v>
      </c>
    </row>
    <row r="6" spans="2:5" ht="16.5" thickBot="1">
      <c r="B6" s="1" t="s">
        <v>85</v>
      </c>
      <c r="C6" s="18">
        <v>0.3</v>
      </c>
      <c r="D6" s="1" t="s">
        <v>87</v>
      </c>
    </row>
    <row r="7" spans="2:5" ht="13.5" thickBot="1">
      <c r="C7" s="4"/>
    </row>
    <row r="8" spans="2:5" ht="13.5" thickBot="1">
      <c r="B8" s="12" t="s">
        <v>17</v>
      </c>
      <c r="C8" s="19">
        <f>C6-C5</f>
        <v>0.19999999999999998</v>
      </c>
      <c r="D8" s="1" t="s">
        <v>84</v>
      </c>
    </row>
    <row r="10" spans="2:5" ht="15.75">
      <c r="B10" s="1" t="s">
        <v>111</v>
      </c>
      <c r="C10" s="1">
        <v>5</v>
      </c>
      <c r="D10" s="1" t="s">
        <v>86</v>
      </c>
    </row>
    <row r="11" spans="2:5">
      <c r="B11" s="1" t="s">
        <v>0</v>
      </c>
      <c r="C11" s="7">
        <v>3</v>
      </c>
    </row>
    <row r="18" spans="2:5">
      <c r="B18" s="1" t="s">
        <v>58</v>
      </c>
      <c r="C18" s="1">
        <v>0.80651155791193363</v>
      </c>
      <c r="E18" s="5"/>
    </row>
    <row r="19" spans="2:5">
      <c r="C19" s="16"/>
      <c r="D19" s="16"/>
      <c r="E19" s="16"/>
    </row>
    <row r="20" spans="2:5">
      <c r="B20" s="1" t="s">
        <v>11</v>
      </c>
      <c r="C20" s="1">
        <f>CEILING(C11,1)</f>
        <v>3</v>
      </c>
      <c r="D20" s="1" t="s">
        <v>129</v>
      </c>
    </row>
    <row r="21" spans="2:5">
      <c r="B21" s="1" t="s">
        <v>112</v>
      </c>
      <c r="C21" s="1">
        <f>C10</f>
        <v>5</v>
      </c>
      <c r="D21" s="1" t="s">
        <v>114</v>
      </c>
    </row>
    <row r="23" spans="2:5">
      <c r="D23" s="9" t="s">
        <v>121</v>
      </c>
    </row>
    <row r="25" spans="2:5" ht="20.25" customHeight="1">
      <c r="B25" s="1" t="s">
        <v>113</v>
      </c>
    </row>
    <row r="26" spans="2:5">
      <c r="B26" s="1" t="s">
        <v>88</v>
      </c>
    </row>
    <row r="28" spans="2:5" ht="15.75">
      <c r="B28" s="1" t="s">
        <v>115</v>
      </c>
    </row>
    <row r="29" spans="2:5">
      <c r="D29" s="9"/>
    </row>
    <row r="30" spans="2:5" ht="18">
      <c r="B30" s="28" t="s">
        <v>123</v>
      </c>
    </row>
    <row r="39" spans="2:7">
      <c r="B39" s="9" t="s">
        <v>128</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104775</xdr:colOff>
                    <xdr:row>21</xdr:row>
                    <xdr:rowOff>76200</xdr:rowOff>
                  </from>
                  <to>
                    <xdr:col>2</xdr:col>
                    <xdr:colOff>523875</xdr:colOff>
                    <xdr:row>23</xdr:row>
                    <xdr:rowOff>28575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40625" defaultRowHeight="12.75"/>
  <cols>
    <col min="1" max="1" width="5.140625" style="1" customWidth="1"/>
    <col min="2" max="2" width="10.42578125" style="1" customWidth="1"/>
    <col min="3" max="16384" width="9.140625" style="1"/>
  </cols>
  <sheetData>
    <row r="1" spans="2:4" ht="26.25">
      <c r="B1" s="17" t="s">
        <v>79</v>
      </c>
    </row>
    <row r="3" spans="2:4">
      <c r="B3" s="1" t="s">
        <v>42</v>
      </c>
    </row>
    <row r="4" spans="2:4">
      <c r="B4" s="1" t="s">
        <v>43</v>
      </c>
    </row>
    <row r="5" spans="2:4">
      <c r="B5" s="1" t="s">
        <v>44</v>
      </c>
    </row>
    <row r="13" spans="2:4">
      <c r="B13" s="1" t="s">
        <v>45</v>
      </c>
    </row>
    <row r="14" spans="2:4" ht="13.5" thickBot="1"/>
    <row r="15" spans="2:4" ht="1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25">
      <c r="B22" s="8" t="s">
        <v>51</v>
      </c>
      <c r="C22" s="1">
        <f>C15*C20</f>
        <v>12.5</v>
      </c>
    </row>
    <row r="24" spans="2:4">
      <c r="B24" s="9" t="s">
        <v>52</v>
      </c>
    </row>
    <row r="33" spans="2:4" ht="13.5" thickBot="1"/>
    <row r="34" spans="2:4" ht="1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25">
      <c r="B41" s="8" t="s">
        <v>51</v>
      </c>
      <c r="C41" s="1">
        <f>C34*C39</f>
        <v>12</v>
      </c>
    </row>
    <row r="44" spans="2:4">
      <c r="B44" s="9" t="s">
        <v>55</v>
      </c>
    </row>
    <row r="50" spans="2:4" ht="13.5" thickBot="1"/>
    <row r="51" spans="2:4" ht="1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25">
      <c r="B59" s="8" t="s">
        <v>51</v>
      </c>
      <c r="C59" s="1">
        <f>C51*C57</f>
        <v>3.9999999999999991</v>
      </c>
    </row>
    <row r="61" spans="2:4">
      <c r="B61" s="9" t="s">
        <v>125</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40625" defaultRowHeight="12.75"/>
  <cols>
    <col min="1" max="1" width="5.28515625" style="1" customWidth="1"/>
    <col min="2" max="2" width="9.140625" style="1"/>
    <col min="3" max="3" width="10.140625" style="1" customWidth="1"/>
    <col min="4" max="6" width="9.140625" style="1"/>
    <col min="7" max="7" width="9.140625" style="1" customWidth="1"/>
    <col min="8" max="16384" width="9.140625" style="1"/>
  </cols>
  <sheetData>
    <row r="1" spans="2:4" ht="7.5" customHeight="1"/>
    <row r="2" spans="2:4" ht="18.75" customHeight="1">
      <c r="B2" s="20" t="s">
        <v>90</v>
      </c>
    </row>
    <row r="3" spans="2:4" ht="18.75" customHeight="1" thickBot="1">
      <c r="B3" s="21" t="s">
        <v>91</v>
      </c>
    </row>
    <row r="4" spans="2:4">
      <c r="B4" s="1" t="s">
        <v>92</v>
      </c>
      <c r="C4" s="22">
        <v>1.0308417465824675</v>
      </c>
      <c r="D4" s="1" t="s">
        <v>93</v>
      </c>
    </row>
    <row r="5" spans="2:4">
      <c r="B5" s="1" t="s">
        <v>94</v>
      </c>
      <c r="C5" s="23">
        <v>0.92586500000000005</v>
      </c>
      <c r="D5" s="1" t="s">
        <v>95</v>
      </c>
    </row>
    <row r="6" spans="2:4">
      <c r="B6" s="1" t="s">
        <v>96</v>
      </c>
      <c r="C6" s="23">
        <v>1.147721</v>
      </c>
      <c r="D6" s="1" t="s">
        <v>97</v>
      </c>
    </row>
    <row r="7" spans="2:4" ht="13.5" thickBot="1">
      <c r="B7" s="1" t="s">
        <v>98</v>
      </c>
      <c r="C7" s="24">
        <v>100</v>
      </c>
      <c r="D7" s="1" t="s">
        <v>99</v>
      </c>
    </row>
    <row r="8" spans="2:4" ht="13.5" thickBot="1">
      <c r="B8" s="1" t="s">
        <v>100</v>
      </c>
      <c r="C8" s="2">
        <v>0.9</v>
      </c>
    </row>
    <row r="9" spans="2:4">
      <c r="B9" s="1" t="s">
        <v>101</v>
      </c>
      <c r="C9" s="25">
        <f>C7-2</f>
        <v>98</v>
      </c>
    </row>
    <row r="10" spans="2:4">
      <c r="B10" s="1" t="s">
        <v>102</v>
      </c>
      <c r="C10" s="25">
        <f>TINV(1-$C$8,$C$9)</f>
        <v>1.6605512170657302</v>
      </c>
    </row>
    <row r="11" spans="2:4">
      <c r="B11" s="1" t="s">
        <v>103</v>
      </c>
      <c r="C11" s="25">
        <f>(LN($C$4)-LN($C$5))/$C$10</f>
        <v>6.4678849035277458E-2</v>
      </c>
    </row>
    <row r="12" spans="2:4">
      <c r="B12" s="1" t="s">
        <v>104</v>
      </c>
      <c r="C12" s="25">
        <f>(LN($C$6)-LN($C$4))/$C$10</f>
        <v>6.4678847430235303E-2</v>
      </c>
    </row>
    <row r="13" spans="2:4">
      <c r="B13" s="1" t="s">
        <v>105</v>
      </c>
      <c r="C13" s="25">
        <f>(C11^2)*($C$9+2)/2</f>
        <v>0.20916767562641059</v>
      </c>
    </row>
    <row r="14" spans="2:4">
      <c r="B14" s="1" t="s">
        <v>106</v>
      </c>
      <c r="C14" s="25">
        <f>(C12^2)*($C$9+2)/2</f>
        <v>0.20916766524518279</v>
      </c>
    </row>
    <row r="15" spans="2:4">
      <c r="B15" s="1" t="s">
        <v>107</v>
      </c>
      <c r="C15" s="25">
        <f>SQRT(EXP($C$13)-1)*100</f>
        <v>48.233978360024921</v>
      </c>
    </row>
    <row r="16" spans="2:4">
      <c r="B16" s="1" t="s">
        <v>108</v>
      </c>
      <c r="C16" s="25">
        <f>SQRT(EXP($C$14)-1)*100</f>
        <v>48.23397703352871</v>
      </c>
    </row>
    <row r="18" spans="2:7" ht="20.25">
      <c r="B18" s="20" t="s">
        <v>109</v>
      </c>
      <c r="C18" s="26">
        <f>(C15+C16)/2</f>
        <v>48.233977696776819</v>
      </c>
      <c r="D18" s="20" t="s">
        <v>110</v>
      </c>
    </row>
    <row r="19" spans="2:7">
      <c r="G19" s="35"/>
    </row>
    <row r="20" spans="2:7">
      <c r="B20" s="21"/>
    </row>
    <row r="21" spans="2:7">
      <c r="C21" s="10"/>
    </row>
    <row r="22" spans="2:7">
      <c r="C22" s="10"/>
    </row>
    <row r="23" spans="2:7">
      <c r="C23" s="10"/>
    </row>
    <row r="24" spans="2:7">
      <c r="C24" s="10"/>
    </row>
    <row r="25" spans="2:7">
      <c r="C25" s="10"/>
    </row>
    <row r="26" spans="2:7">
      <c r="C26" s="14"/>
    </row>
    <row r="27" spans="2:7">
      <c r="C27" s="25"/>
    </row>
    <row r="28" spans="2:7">
      <c r="C28" s="25"/>
    </row>
    <row r="29" spans="2:7">
      <c r="C29" s="25"/>
    </row>
    <row r="30" spans="2:7">
      <c r="C30" s="25"/>
    </row>
    <row r="32" spans="2:7" ht="20.25">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2023-01-23T22:35:53Z</dcterms:modified>
  <cp:category>Sample Size Estimation</cp:category>
</cp:coreProperties>
</file>