
<file path=[Content_Types].xml><?xml version="1.0" encoding="utf-8"?>
<Types xmlns="http://schemas.openxmlformats.org/package/2006/content-types">
  <Default Extension="bin" ContentType="application/vnd.openxmlformats-officedocument.oleObject"/>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29"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2/Section 2.3 - Sample Size/"/>
    </mc:Choice>
  </mc:AlternateContent>
  <xr:revisionPtr revIDLastSave="8" documentId="8_{84F6CF09-9E75-404B-9ECD-357F45FF4014}" xr6:coauthVersionLast="47" xr6:coauthVersionMax="47" xr10:uidLastSave="{E7EEBC41-FD3D-42B9-8B8F-3B40BA0D5CB2}"/>
  <bookViews>
    <workbookView xWindow="-12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O20" i="28" l="1"/>
  <c r="C20" i="8"/>
  <c r="C8" i="1"/>
  <c r="C20" i="28"/>
  <c r="C12" i="28"/>
  <c r="C13" i="28"/>
  <c r="Z32" i="28"/>
  <c r="Z33" i="28"/>
  <c r="V11" i="28"/>
  <c r="C10" i="28"/>
  <c r="C15" i="28"/>
  <c r="C8" i="28"/>
  <c r="D6" i="28"/>
  <c r="C17" i="28"/>
  <c r="C14" i="28"/>
  <c r="D20" i="28"/>
  <c r="E20" i="28"/>
  <c r="Z35" i="28"/>
  <c r="Z36" i="28"/>
  <c r="W11" i="28"/>
  <c r="V15" i="28"/>
  <c r="C20" i="27"/>
  <c r="Y6" i="27"/>
  <c r="Z2" i="27"/>
  <c r="Z32" i="27"/>
  <c r="Z33" i="27"/>
  <c r="C12" i="27"/>
  <c r="C13" i="27"/>
  <c r="V11" i="27"/>
  <c r="V15" i="27"/>
  <c r="C10" i="27"/>
  <c r="C15" i="27"/>
  <c r="C8" i="27"/>
  <c r="Z35" i="27"/>
  <c r="Z36" i="27"/>
  <c r="C17" i="27"/>
  <c r="C16" i="28"/>
  <c r="C18" i="28"/>
  <c r="X11" i="28"/>
  <c r="Y11" i="28"/>
  <c r="Z16" i="28"/>
  <c r="Z17" i="28"/>
  <c r="Z19" i="28"/>
  <c r="Z20" i="28"/>
  <c r="AA11" i="28"/>
  <c r="AB11" i="28"/>
  <c r="U16" i="28"/>
  <c r="C14" i="27"/>
  <c r="D6" i="27"/>
  <c r="W11" i="27"/>
  <c r="X11" i="27"/>
  <c r="Y11" i="27"/>
  <c r="K7" i="14"/>
  <c r="K7" i="13"/>
  <c r="C16" i="27"/>
  <c r="U17" i="28"/>
  <c r="V16" i="28"/>
  <c r="AD16" i="28"/>
  <c r="AD17" i="28"/>
  <c r="AD19" i="28"/>
  <c r="AD20" i="28"/>
  <c r="C18" i="27"/>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C16" i="11"/>
  <c r="C17" i="1"/>
  <c r="C17" i="12"/>
  <c r="C17" i="14"/>
  <c r="C17" i="8"/>
  <c r="C17" i="7"/>
  <c r="C17" i="13"/>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12" i="24"/>
  <c r="C14" i="24"/>
  <c r="C16" i="24"/>
  <c r="C11" i="24"/>
  <c r="C13" i="24"/>
  <c r="C15" i="24"/>
  <c r="C57" i="26"/>
  <c r="D20" i="13"/>
  <c r="E20" i="13"/>
  <c r="X11" i="13"/>
  <c r="Y11" i="13"/>
  <c r="X12" i="11"/>
  <c r="Y12" i="11"/>
  <c r="Y11" i="12"/>
  <c r="X12" i="12"/>
  <c r="Y12" i="12"/>
  <c r="Z33" i="8"/>
  <c r="Y12" i="14"/>
  <c r="Z19" i="7"/>
  <c r="Z20" i="7"/>
  <c r="X12" i="13"/>
  <c r="Y12" i="13"/>
  <c r="V12" i="7"/>
  <c r="Z35" i="7"/>
  <c r="D20" i="7"/>
  <c r="C18" i="13"/>
  <c r="C18" i="7"/>
  <c r="C18" i="8"/>
  <c r="C18" i="14"/>
  <c r="C16" i="12"/>
  <c r="C16" i="1"/>
  <c r="C17" i="11"/>
  <c r="W16" i="11"/>
  <c r="Z27" i="8"/>
  <c r="Z28" i="8"/>
  <c r="U20" i="28"/>
  <c r="V19" i="28"/>
  <c r="C18" i="1"/>
  <c r="X11" i="1"/>
  <c r="Y11" i="1"/>
  <c r="AD16" i="1"/>
  <c r="AD17" i="1"/>
  <c r="Z16" i="1"/>
  <c r="Z17" i="1"/>
  <c r="AA11" i="1"/>
  <c r="AB11" i="1"/>
  <c r="U16" i="1"/>
  <c r="V16" i="1"/>
  <c r="U17" i="11"/>
  <c r="V17" i="11"/>
  <c r="AD16" i="7"/>
  <c r="AD17" i="7"/>
  <c r="AD16" i="8"/>
  <c r="AD17" i="8"/>
  <c r="U19" i="27"/>
  <c r="V18" i="27"/>
  <c r="C18" i="12"/>
  <c r="AD24" i="8"/>
  <c r="AD25" i="8"/>
  <c r="AD27" i="8"/>
  <c r="AD28" i="8"/>
  <c r="C18" i="24"/>
  <c r="Z24" i="8"/>
  <c r="Z25" i="8"/>
  <c r="AD19" i="14"/>
  <c r="AD20" i="14"/>
  <c r="C18" i="11"/>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AD19" i="1"/>
  <c r="AD20" i="1"/>
  <c r="U17" i="1"/>
  <c r="W17" i="11"/>
  <c r="U18" i="11"/>
  <c r="V18" i="11"/>
  <c r="U20" i="27"/>
  <c r="V19" i="27"/>
  <c r="U17" i="7"/>
  <c r="W16" i="7"/>
  <c r="V16" i="7"/>
  <c r="AD24" i="7"/>
  <c r="AD25" i="7"/>
  <c r="U22" i="28"/>
  <c r="V21" i="28"/>
  <c r="U18" i="1"/>
  <c r="V17" i="1"/>
  <c r="U19" i="11"/>
  <c r="W19" i="11"/>
  <c r="W18" i="11"/>
  <c r="U21" i="27"/>
  <c r="V20" i="27"/>
  <c r="W17" i="7"/>
  <c r="V17" i="7"/>
  <c r="U18" i="7"/>
  <c r="U23" i="28"/>
  <c r="V22" i="28"/>
  <c r="V18" i="1"/>
  <c r="U19" i="1"/>
  <c r="V19" i="11"/>
  <c r="U20" i="11"/>
  <c r="W20" i="11"/>
  <c r="V21" i="27"/>
  <c r="U22" i="27"/>
  <c r="V18" i="7"/>
  <c r="W18" i="7"/>
  <c r="U19" i="7"/>
  <c r="V23" i="28"/>
  <c r="U24" i="28"/>
  <c r="U20" i="1"/>
  <c r="V19" i="1"/>
  <c r="V20" i="11"/>
  <c r="U21" i="11"/>
  <c r="U22" i="11"/>
  <c r="V22" i="11"/>
  <c r="U23" i="27"/>
  <c r="V22" i="27"/>
  <c r="W19" i="7"/>
  <c r="U20" i="7"/>
  <c r="V19" i="7"/>
  <c r="V24" i="28"/>
  <c r="U25" i="28"/>
  <c r="V20" i="1"/>
  <c r="U21" i="1"/>
  <c r="V21" i="11"/>
  <c r="U23" i="11"/>
  <c r="U24" i="11"/>
  <c r="W22" i="11"/>
  <c r="W21" i="11"/>
  <c r="V23" i="27"/>
  <c r="U24" i="27"/>
  <c r="W20" i="7"/>
  <c r="U21" i="7"/>
  <c r="V20" i="7"/>
  <c r="W23" i="11"/>
  <c r="U26" i="28"/>
  <c r="V25" i="28"/>
  <c r="V21" i="1"/>
  <c r="U22" i="1"/>
  <c r="V23" i="11"/>
  <c r="U25" i="27"/>
  <c r="V24" i="27"/>
  <c r="W21" i="7"/>
  <c r="V21" i="7"/>
  <c r="U22" i="7"/>
  <c r="U25" i="11"/>
  <c r="W24" i="11"/>
  <c r="V24" i="11"/>
  <c r="U27" i="28"/>
  <c r="V26" i="28"/>
  <c r="V22" i="1"/>
  <c r="U23" i="1"/>
  <c r="V25" i="27"/>
  <c r="U26" i="27"/>
  <c r="W22" i="7"/>
  <c r="U23" i="7"/>
  <c r="V22" i="7"/>
  <c r="U26" i="11"/>
  <c r="V25" i="11"/>
  <c r="W25" i="11"/>
  <c r="U28" i="28"/>
  <c r="V27" i="28"/>
  <c r="V23" i="1"/>
  <c r="U24" i="1"/>
  <c r="U27" i="27"/>
  <c r="V26" i="27"/>
  <c r="W23" i="7"/>
  <c r="U24" i="7"/>
  <c r="V23" i="7"/>
  <c r="U27" i="11"/>
  <c r="V26" i="11"/>
  <c r="W26" i="11"/>
  <c r="V28" i="28"/>
  <c r="U29" i="28"/>
  <c r="V24" i="1"/>
  <c r="U25" i="1"/>
  <c r="V27" i="27"/>
  <c r="U28" i="27"/>
  <c r="V24" i="7"/>
  <c r="W24" i="7"/>
  <c r="U25" i="7"/>
  <c r="U28" i="11"/>
  <c r="W27" i="11"/>
  <c r="V27" i="11"/>
  <c r="U30" i="28"/>
  <c r="V29" i="28"/>
  <c r="U26" i="1"/>
  <c r="V25" i="1"/>
  <c r="U29" i="27"/>
  <c r="V28" i="27"/>
  <c r="V25" i="7"/>
  <c r="U26" i="7"/>
  <c r="W25" i="7"/>
  <c r="V28" i="11"/>
  <c r="W28" i="11"/>
  <c r="U29" i="11"/>
  <c r="U31" i="28"/>
  <c r="V30" i="28"/>
  <c r="U27" i="1"/>
  <c r="V26" i="1"/>
  <c r="V29" i="27"/>
  <c r="U30" i="27"/>
  <c r="V26" i="7"/>
  <c r="U27" i="7"/>
  <c r="W26" i="7"/>
  <c r="U30" i="11"/>
  <c r="W29" i="11"/>
  <c r="V29" i="11"/>
  <c r="U32" i="28"/>
  <c r="V31" i="28"/>
  <c r="U28" i="1"/>
  <c r="V27" i="1"/>
  <c r="U31" i="27"/>
  <c r="V30" i="27"/>
  <c r="W27" i="7"/>
  <c r="V27" i="7"/>
  <c r="U28" i="7"/>
  <c r="V30" i="11"/>
  <c r="U31" i="11"/>
  <c r="W30" i="11"/>
  <c r="V32" i="28"/>
  <c r="U33" i="28"/>
  <c r="V28" i="1"/>
  <c r="U29" i="1"/>
  <c r="U32" i="27"/>
  <c r="V31" i="27"/>
  <c r="W28" i="7"/>
  <c r="V28" i="7"/>
  <c r="U29" i="7"/>
  <c r="V31" i="11"/>
  <c r="W31" i="11"/>
  <c r="U32" i="11"/>
  <c r="V33" i="28"/>
  <c r="U34" i="28"/>
  <c r="U30" i="1"/>
  <c r="V29" i="1"/>
  <c r="U33" i="27"/>
  <c r="V32" i="27"/>
  <c r="U30" i="7"/>
  <c r="V29" i="7"/>
  <c r="W29" i="7"/>
  <c r="V32" i="11"/>
  <c r="U33" i="11"/>
  <c r="W32" i="11"/>
  <c r="U35" i="28"/>
  <c r="V34" i="28"/>
  <c r="V30" i="1"/>
  <c r="U31" i="1"/>
  <c r="U34" i="27"/>
  <c r="V33" i="27"/>
  <c r="V30" i="7"/>
  <c r="U31" i="7"/>
  <c r="W30" i="7"/>
  <c r="V33" i="11"/>
  <c r="U34" i="11"/>
  <c r="W33" i="11"/>
  <c r="U36" i="28"/>
  <c r="V35" i="28"/>
  <c r="V31" i="1"/>
  <c r="U32" i="1"/>
  <c r="U35" i="27"/>
  <c r="V34" i="27"/>
  <c r="W31" i="7"/>
  <c r="U32" i="7"/>
  <c r="V31" i="7"/>
  <c r="V34" i="11"/>
  <c r="U35" i="11"/>
  <c r="W34" i="11"/>
  <c r="U37" i="28"/>
  <c r="V36" i="28"/>
  <c r="U33" i="1"/>
  <c r="V32" i="1"/>
  <c r="V35" i="27"/>
  <c r="U36" i="27"/>
  <c r="W32" i="7"/>
  <c r="U33" i="7"/>
  <c r="V32" i="7"/>
  <c r="V35" i="11"/>
  <c r="U36" i="11"/>
  <c r="W35" i="11"/>
  <c r="V37" i="28"/>
  <c r="U38" i="28"/>
  <c r="V33" i="1"/>
  <c r="U34" i="1"/>
  <c r="V36" i="27"/>
  <c r="U37" i="27"/>
  <c r="V33" i="7"/>
  <c r="U34" i="7"/>
  <c r="W33" i="7"/>
  <c r="W36" i="11"/>
  <c r="V36" i="11"/>
  <c r="U37" i="11"/>
  <c r="U39" i="28"/>
  <c r="V38" i="28"/>
  <c r="U35" i="1"/>
  <c r="V34" i="1"/>
  <c r="U38" i="27"/>
  <c r="V37" i="27"/>
  <c r="W34" i="7"/>
  <c r="U35" i="7"/>
  <c r="V34" i="7"/>
  <c r="V37" i="11"/>
  <c r="U38" i="11"/>
  <c r="W37" i="11"/>
  <c r="U40" i="28"/>
  <c r="V39" i="28"/>
  <c r="V35" i="1"/>
  <c r="U36" i="1"/>
  <c r="V38" i="27"/>
  <c r="U39" i="27"/>
  <c r="W35" i="7"/>
  <c r="U36" i="7"/>
  <c r="V35" i="7"/>
  <c r="V38" i="11"/>
  <c r="U39" i="11"/>
  <c r="W38" i="11"/>
  <c r="U41" i="28"/>
  <c r="V40" i="28"/>
  <c r="U37" i="1"/>
  <c r="V36" i="1"/>
  <c r="U40" i="27"/>
  <c r="V39" i="27"/>
  <c r="U37" i="7"/>
  <c r="W36" i="7"/>
  <c r="V36" i="7"/>
  <c r="W39" i="11"/>
  <c r="V39" i="11"/>
  <c r="U40" i="11"/>
  <c r="V41" i="28"/>
  <c r="U42" i="28"/>
  <c r="V37" i="1"/>
  <c r="U38" i="1"/>
  <c r="V40" i="27"/>
  <c r="U41" i="27"/>
  <c r="W37" i="7"/>
  <c r="V37" i="7"/>
  <c r="U38" i="7"/>
  <c r="W40" i="11"/>
  <c r="V40" i="11"/>
  <c r="U41" i="11"/>
  <c r="U43" i="28"/>
  <c r="V42" i="28"/>
  <c r="V38" i="1"/>
  <c r="U39" i="1"/>
  <c r="U42" i="27"/>
  <c r="V41" i="27"/>
  <c r="V38" i="7"/>
  <c r="U39" i="7"/>
  <c r="W38" i="7"/>
  <c r="V41" i="11"/>
  <c r="U42" i="11"/>
  <c r="W41" i="11"/>
  <c r="U44" i="28"/>
  <c r="V43" i="28"/>
  <c r="U40" i="1"/>
  <c r="V39" i="1"/>
  <c r="V42" i="27"/>
  <c r="U43" i="27"/>
  <c r="V39" i="7"/>
  <c r="W39" i="7"/>
  <c r="U40" i="7"/>
  <c r="V42" i="11"/>
  <c r="U43" i="11"/>
  <c r="W42" i="11"/>
  <c r="U45" i="28"/>
  <c r="V44" i="28"/>
  <c r="U41" i="1"/>
  <c r="V40" i="1"/>
  <c r="U44" i="27"/>
  <c r="V43" i="27"/>
  <c r="V40" i="7"/>
  <c r="U41" i="7"/>
  <c r="W40" i="7"/>
  <c r="W43" i="11"/>
  <c r="V43" i="11"/>
  <c r="U44" i="11"/>
  <c r="V45" i="28"/>
  <c r="U46" i="28"/>
  <c r="U42" i="1"/>
  <c r="V41" i="1"/>
  <c r="V44" i="27"/>
  <c r="U45" i="27"/>
  <c r="W41" i="7"/>
  <c r="U42" i="7"/>
  <c r="V41" i="7"/>
  <c r="W44" i="11"/>
  <c r="V44" i="11"/>
  <c r="U45" i="11"/>
  <c r="U47" i="28"/>
  <c r="V47" i="28"/>
  <c r="AA17" i="28"/>
  <c r="AA20" i="28"/>
  <c r="V46" i="28"/>
  <c r="V42" i="1"/>
  <c r="U43" i="1"/>
  <c r="U46" i="27"/>
  <c r="V45" i="27"/>
  <c r="V42" i="7"/>
  <c r="U43" i="7"/>
  <c r="W42" i="7"/>
  <c r="V45" i="11"/>
  <c r="U46" i="11"/>
  <c r="W45" i="11"/>
  <c r="AE17" i="28"/>
  <c r="AE20" i="28"/>
  <c r="AA33" i="28"/>
  <c r="AA36" i="28"/>
  <c r="U44" i="1"/>
  <c r="V43" i="1"/>
  <c r="V46" i="27"/>
  <c r="U47" i="27"/>
  <c r="V47" i="27"/>
  <c r="AA17" i="27"/>
  <c r="AA20" i="27"/>
  <c r="W43" i="7"/>
  <c r="U44" i="7"/>
  <c r="V43" i="7"/>
  <c r="V46" i="11"/>
  <c r="U47" i="11"/>
  <c r="W46" i="11"/>
  <c r="V44" i="1"/>
  <c r="U45" i="1"/>
  <c r="AA33" i="27"/>
  <c r="AA36" i="27"/>
  <c r="AE17" i="27"/>
  <c r="AE20" i="27"/>
  <c r="W44" i="7"/>
  <c r="V44" i="7"/>
  <c r="U45" i="7"/>
  <c r="W47" i="11"/>
  <c r="V47" i="11"/>
  <c r="U46" i="1"/>
  <c r="V45" i="1"/>
  <c r="AE17" i="11"/>
  <c r="AE20" i="11"/>
  <c r="AA17" i="11"/>
  <c r="AA20" i="11"/>
  <c r="AE25" i="11"/>
  <c r="AE28" i="11"/>
  <c r="AA25" i="11"/>
  <c r="AA28" i="11"/>
  <c r="AA33" i="13"/>
  <c r="AA36" i="13"/>
  <c r="W45" i="7"/>
  <c r="U46" i="7"/>
  <c r="V45" i="7"/>
  <c r="AA33" i="11"/>
  <c r="AA36" i="11"/>
  <c r="AA33" i="12"/>
  <c r="AA36" i="12"/>
  <c r="V46" i="1"/>
  <c r="U47" i="1"/>
  <c r="V47" i="1"/>
  <c r="AA33" i="1"/>
  <c r="AA36" i="1"/>
  <c r="AA33" i="14"/>
  <c r="AA36" i="14"/>
  <c r="V46" i="7"/>
  <c r="U47" i="7"/>
  <c r="W46" i="7"/>
  <c r="AE17" i="1"/>
  <c r="AE20" i="1"/>
  <c r="AE25" i="8"/>
  <c r="AE28" i="8"/>
  <c r="V47" i="7"/>
  <c r="W47" i="7"/>
  <c r="AE25" i="7"/>
  <c r="AE28" i="7"/>
  <c r="AA33" i="8"/>
  <c r="AA36" i="8"/>
  <c r="AE17" i="8"/>
  <c r="AE20" i="8"/>
  <c r="AA17" i="7"/>
  <c r="AA20" i="7"/>
  <c r="AE17" i="7"/>
  <c r="AE20" i="7"/>
  <c r="AA33" i="7"/>
  <c r="AA36" i="7"/>
  <c r="AA25" i="7"/>
  <c r="AA2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<sst xmlns="http://schemas.openxmlformats.org/spreadsheetml/2006/main" count="996" uniqueCount="250">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</sst>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0.92094054279720083</c:v>
                </c:pt>
                <c:pt idx="1">
                  <c:v>0.92094054279720083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1.0790594572027992</c:v>
                </c:pt>
                <c:pt idx="1">
                  <c:v>1.0790594572027992</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F84AE217-AAD2-44F3-880B-6BBDD7FEA62D}"/>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B650CF93-EB3D-4088-B5AA-F77A9404AA6E}"/>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6" customWidth="1"/>
    <col min="2" max="2" width="10.42578125" style="66" customWidth="1"/>
    <col min="3" max="16384" width="9.140625" style="66"/>
  </cols>
  <sheetData>
    <row r="2" spans="2:9" ht="20.25">
      <c r="C2" s="67" t="s">
        <v>242</v>
      </c>
      <c r="I2" s="68" t="s">
        <v>241</v>
      </c>
    </row>
    <row r="3" spans="2:9" ht="20.25">
      <c r="C3" s="67" t="s">
        <v>243</v>
      </c>
    </row>
    <row r="4" spans="2:9">
      <c r="B4" s="69" t="s">
        <v>80</v>
      </c>
    </row>
    <row r="6" spans="2:9">
      <c r="B6" s="70" t="s">
        <v>249</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B24" sqref="B24"/>
    </sheetView>
  </sheetViews>
  <sheetFormatPr defaultColWidth="9.140625" defaultRowHeight="12.75"/>
  <cols>
    <col min="1" max="1" width="5.140625" style="1" customWidth="1"/>
    <col min="2" max="2" width="22.42578125" style="1" customWidth="1"/>
    <col min="3" max="20" width="9.140625" style="1"/>
    <col min="21" max="21" width="9.140625" style="52"/>
    <col min="22" max="23" width="12.28515625" style="52" bestFit="1" customWidth="1"/>
    <col min="24" max="30" width="9.140625" style="52"/>
    <col min="31"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5" thickBot="1">
      <c r="B6" s="1" t="s">
        <v>17</v>
      </c>
      <c r="C6" s="3">
        <v>8</v>
      </c>
      <c r="D6" s="1" t="s">
        <v>24</v>
      </c>
      <c r="U6" s="52">
        <v>2</v>
      </c>
    </row>
    <row r="7" spans="2:31" ht="13.5" thickBot="1">
      <c r="C7" s="4"/>
    </row>
    <row r="8" spans="2:31" ht="13.5" thickBot="1">
      <c r="B8" s="12" t="s">
        <v>118</v>
      </c>
      <c r="C8" s="11">
        <f>C6/C5</f>
        <v>0.2</v>
      </c>
    </row>
    <row r="10" spans="2:31">
      <c r="B10" s="8" t="s">
        <v>18</v>
      </c>
      <c r="C10" s="1">
        <f>C5</f>
        <v>40</v>
      </c>
      <c r="V10" s="52" t="s">
        <v>212</v>
      </c>
      <c r="W10" s="52" t="s">
        <v>210</v>
      </c>
      <c r="X10" s="52" t="s">
        <v>213</v>
      </c>
      <c r="Y10" s="52" t="s">
        <v>211</v>
      </c>
      <c r="AA10" s="52" t="s">
        <v>224</v>
      </c>
      <c r="AB10" s="52" t="s">
        <v>225</v>
      </c>
    </row>
    <row r="11" spans="2:31" ht="15.75">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ht="15.75">
      <c r="B12" s="1" t="s">
        <v>61</v>
      </c>
      <c r="C12" s="1">
        <f>C11*(C3+1)-2</f>
        <v>1052</v>
      </c>
      <c r="U12" s="52" t="s">
        <v>207</v>
      </c>
      <c r="V12" s="55">
        <f>V11+C6</f>
        <v>168</v>
      </c>
      <c r="W12" s="52">
        <f>$C$5</f>
        <v>40</v>
      </c>
      <c r="X12" s="52">
        <f>W12/SQRT(D20)</f>
        <v>1.7424273674761284</v>
      </c>
      <c r="Y12" s="52">
        <f>TINV($C$4*2,$D$20-1)*X12</f>
        <v>2.8710945679140898</v>
      </c>
    </row>
    <row r="13" spans="2:31" ht="15.75">
      <c r="B13" s="1" t="s">
        <v>62</v>
      </c>
      <c r="C13" s="1">
        <f>TINV(C4,C12)</f>
        <v>1.9622215477763136</v>
      </c>
      <c r="Y13" s="52" t="b">
        <v>1</v>
      </c>
      <c r="AC13" s="52" t="b">
        <v>0</v>
      </c>
    </row>
    <row r="14" spans="2:31">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4.2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4"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5"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6"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7"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ht="15.75">
      <c r="B12" s="1" t="s">
        <v>36</v>
      </c>
      <c r="C12" s="1">
        <f>C11*(C3+1)-2</f>
        <v>430</v>
      </c>
      <c r="U12" s="44"/>
    </row>
    <row r="13" spans="2:31" ht="15.75">
      <c r="B13" s="1" t="s">
        <v>37</v>
      </c>
      <c r="C13" s="1">
        <f>TINV(C4*2,C12)</f>
        <v>1.6484049694330176</v>
      </c>
      <c r="Y13" s="1" t="b">
        <v>0</v>
      </c>
      <c r="AC13" s="1" t="b">
        <v>1</v>
      </c>
    </row>
    <row r="14" spans="2:31">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N16" s="44" t="s">
        <v>246</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5" thickBot="1">
      <c r="B17" s="1" t="s">
        <v>6</v>
      </c>
      <c r="C17" s="1">
        <f>NCt(C13,C12,C15)</f>
        <v>4.9777634435112433E-2</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3.5" thickBot="1">
      <c r="B18" s="1" t="s">
        <v>58</v>
      </c>
      <c r="C18" s="1">
        <f>C16-C17</f>
        <v>0.90044473112977519</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c r="B20" s="1" t="s">
        <v>11</v>
      </c>
      <c r="C20" s="1">
        <f>CEILING(C11,1)</f>
        <v>216</v>
      </c>
      <c r="D20" s="1">
        <f>C20*C3</f>
        <v>216</v>
      </c>
      <c r="E20" s="1">
        <f>C20+D20</f>
        <v>432</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D5" sqref="D5"/>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109</v>
      </c>
      <c r="U11" s="44" t="s">
        <v>206</v>
      </c>
      <c r="V11" s="45">
        <f>C6</f>
        <v>0.95</v>
      </c>
      <c r="W11" s="1">
        <f>$C$10</f>
        <v>0.24622067706923975</v>
      </c>
      <c r="X11" s="1">
        <f>W11/SQRT(C20)</f>
        <v>2.3583663646186664E-2</v>
      </c>
      <c r="Y11" s="1">
        <f>TINV($C$4*2,$C$20-2)*X11</f>
        <v>3.9130470166661116E-2</v>
      </c>
      <c r="AA11" s="46">
        <f>V11+4*W11</f>
        <v>1.9348827082769589</v>
      </c>
      <c r="AB11" s="1">
        <f>AA11/33</f>
        <v>5.8632809341726023E-2</v>
      </c>
    </row>
    <row r="12" spans="2:31">
      <c r="B12" s="1" t="s">
        <v>2</v>
      </c>
      <c r="C12" s="1">
        <f>C11-2</f>
        <v>107</v>
      </c>
      <c r="U12" s="44"/>
    </row>
    <row r="13" spans="2:31">
      <c r="B13" s="1" t="s">
        <v>8</v>
      </c>
      <c r="C13" s="1">
        <f>TINV(C4*2,C12)</f>
        <v>1.6592193118810985</v>
      </c>
      <c r="Y13" s="1" t="b">
        <v>0</v>
      </c>
      <c r="AC13" s="1" t="b">
        <v>1</v>
      </c>
    </row>
    <row r="14" spans="2:31">
      <c r="B14" s="1" t="s">
        <v>3</v>
      </c>
      <c r="C14" s="1">
        <f>(SQRT(C11)*(LN(C6)-LN(C8)))/(SQRT(2*C10^2))</f>
        <v>-8.2284142750033951</v>
      </c>
      <c r="U14" s="44" t="s">
        <v>205</v>
      </c>
      <c r="V14" s="44" t="s">
        <v>227</v>
      </c>
      <c r="W14" s="44"/>
      <c r="Y14" s="9" t="s">
        <v>220</v>
      </c>
      <c r="AC14" s="9" t="s">
        <v>222</v>
      </c>
    </row>
    <row r="15" spans="2:31">
      <c r="B15" s="1" t="s">
        <v>4</v>
      </c>
      <c r="C15" s="1">
        <f>(SQRT(C11)*(LN(C6)-LN(C7)))/(SQRT(2*C10^2))</f>
        <v>5.1525701792791478</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0.9999999999673217</v>
      </c>
      <c r="U16" s="1">
        <f>U15+$AB$11</f>
        <v>5.8632809341726023E-2</v>
      </c>
      <c r="V16" s="1">
        <f t="shared" ref="V16:V47" si="0">_xlfn.NORM.DIST($U16,$V$11,$C$5,FALSE)</f>
        <v>2.7699447059280034E-3</v>
      </c>
      <c r="Y16" s="44" t="s">
        <v>216</v>
      </c>
      <c r="Z16" s="1">
        <f>$V$11-$W$11</f>
        <v>0.70377932293076018</v>
      </c>
      <c r="AA16" s="1">
        <v>0</v>
      </c>
      <c r="AC16" s="44" t="s">
        <v>216</v>
      </c>
      <c r="AD16" s="1">
        <f>$V$11-$Y$11</f>
        <v>0.9108695298333388</v>
      </c>
      <c r="AE16" s="1">
        <v>0</v>
      </c>
    </row>
    <row r="17" spans="2:31">
      <c r="B17" s="1" t="s">
        <v>6</v>
      </c>
      <c r="C17" s="1">
        <f>NCt(C13,C12,C15)</f>
        <v>2.5560413901991091E-4</v>
      </c>
      <c r="U17" s="1">
        <f t="shared" ref="U17:U47" si="1">U16+$AB$11</f>
        <v>0.11726561868345205</v>
      </c>
      <c r="V17" s="1">
        <f t="shared" si="0"/>
        <v>6.2185621117606723E-3</v>
      </c>
      <c r="Y17" s="44" t="s">
        <v>218</v>
      </c>
      <c r="Z17" s="1">
        <f>Z16</f>
        <v>0.70377932293076018</v>
      </c>
      <c r="AA17" s="1">
        <f>IF(Y13,MAX($V$15:$V$47),0)</f>
        <v>0</v>
      </c>
      <c r="AC17" s="44" t="s">
        <v>218</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0.98913047016666111</v>
      </c>
      <c r="AE19" s="1">
        <v>0</v>
      </c>
    </row>
    <row r="20" spans="2:31">
      <c r="B20" s="1" t="s">
        <v>11</v>
      </c>
      <c r="C20" s="1">
        <f>CEILING(C11,1)</f>
        <v>109</v>
      </c>
      <c r="U20" s="1">
        <f t="shared" si="1"/>
        <v>0.29316404670863011</v>
      </c>
      <c r="V20" s="1">
        <f t="shared" si="0"/>
        <v>5.0584406183643189E-2</v>
      </c>
      <c r="Y20" s="44" t="s">
        <v>218</v>
      </c>
      <c r="Z20" s="1">
        <f>Z19</f>
        <v>1.1962206770692396</v>
      </c>
      <c r="AA20" s="1">
        <f>AA17</f>
        <v>0</v>
      </c>
      <c r="AC20" s="44" t="s">
        <v>218</v>
      </c>
      <c r="AD20" s="1">
        <f>AD19</f>
        <v>0.98913047016666111</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2"/>
    <col min="27" max="27" width="20.42578125" style="52" bestFit="1" customWidth="1"/>
    <col min="28" max="34" width="9.140625" style="52"/>
    <col min="35" max="16384" width="9.140625" style="1"/>
  </cols>
  <sheetData>
    <row r="1" spans="2:31" ht="27"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5" thickBot="1">
      <c r="B5" s="1" t="s">
        <v>120</v>
      </c>
      <c r="C5" s="43">
        <v>0.3</v>
      </c>
      <c r="D5" s="1" t="s">
        <v>127</v>
      </c>
      <c r="U5" s="52" t="s">
        <v>56</v>
      </c>
      <c r="Y5" s="52">
        <v>3</v>
      </c>
    </row>
    <row r="6" spans="2:31" ht="16.5"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75">
      <c r="B10" s="8" t="s">
        <v>26</v>
      </c>
      <c r="C10" s="1">
        <f>SQRT(LN((C5)^2+1))</f>
        <v>0.29356037920852401</v>
      </c>
      <c r="V10" s="52" t="s">
        <v>212</v>
      </c>
      <c r="W10" s="52" t="s">
        <v>210</v>
      </c>
      <c r="X10" s="52" t="s">
        <v>213</v>
      </c>
      <c r="Y10" s="52" t="s">
        <v>211</v>
      </c>
      <c r="AA10" s="52" t="s">
        <v>224</v>
      </c>
      <c r="AB10" s="52" t="s">
        <v>225</v>
      </c>
    </row>
    <row r="11" spans="2:31">
      <c r="B11" s="1" t="s">
        <v>0</v>
      </c>
      <c r="C11" s="7">
        <v>79</v>
      </c>
      <c r="U11" s="52" t="s">
        <v>206</v>
      </c>
      <c r="V11" s="53">
        <f>C6</f>
        <v>0.9</v>
      </c>
      <c r="W11" s="52">
        <f>$C$10</f>
        <v>0.29356037920852401</v>
      </c>
      <c r="X11" s="52">
        <f>W11/SQRT(C11)</f>
        <v>3.3028123083876586E-2</v>
      </c>
      <c r="Y11" s="52">
        <f>TINV($C$4*2,$C$11-2)*X11</f>
        <v>5.4988011417007022E-2</v>
      </c>
      <c r="AA11" s="54">
        <f>V11+4*W11</f>
        <v>2.0742415168340962</v>
      </c>
      <c r="AB11" s="52">
        <f>AA11/33</f>
        <v>6.2855803540427163E-2</v>
      </c>
    </row>
    <row r="12" spans="2:31">
      <c r="B12" s="1" t="s">
        <v>2</v>
      </c>
      <c r="C12" s="1">
        <f>C11-2</f>
        <v>77</v>
      </c>
    </row>
    <row r="13" spans="2:31">
      <c r="B13" s="1" t="s">
        <v>8</v>
      </c>
      <c r="C13" s="1">
        <f>TINV(C4*2,C12)</f>
        <v>1.6648845372582084</v>
      </c>
      <c r="Y13" s="52" t="b">
        <v>0</v>
      </c>
      <c r="AC13" s="52" t="b">
        <v>1</v>
      </c>
    </row>
    <row r="14" spans="2:31">
      <c r="B14" s="1" t="s">
        <v>3</v>
      </c>
      <c r="C14" s="1">
        <f>(SQRT(C11)*(LN(C6)-LN(C8)))/(SQRT(2*C10^2))</f>
        <v>-7.0330200966425114</v>
      </c>
      <c r="U14" s="52" t="s">
        <v>205</v>
      </c>
      <c r="V14" s="52" t="s">
        <v>227</v>
      </c>
      <c r="Y14" s="55" t="s">
        <v>220</v>
      </c>
      <c r="AC14" s="55" t="s">
        <v>222</v>
      </c>
    </row>
    <row r="15" spans="2:31">
      <c r="B15" s="1" t="s">
        <v>4</v>
      </c>
      <c r="C15" s="1">
        <f>(SQRT(C11)*(LN(C6)-LN(C7)))/(SQRT(2*C10^2))</f>
        <v>2.5216444485767089</v>
      </c>
      <c r="U15" s="52">
        <v>0</v>
      </c>
      <c r="V15" s="52">
        <f>_xlfn.NORM.DIST($U15,$V$11,$C$5,FALSE)</f>
        <v>1.477282803979336E-2</v>
      </c>
      <c r="Y15" s="52" t="s">
        <v>217</v>
      </c>
      <c r="Z15" s="52" t="s">
        <v>214</v>
      </c>
      <c r="AA15" s="52" t="s">
        <v>215</v>
      </c>
      <c r="AC15" s="52" t="s">
        <v>217</v>
      </c>
      <c r="AD15" s="52" t="s">
        <v>214</v>
      </c>
      <c r="AE15" s="52" t="s">
        <v>215</v>
      </c>
    </row>
    <row r="16" spans="2:31">
      <c r="B16" s="1" t="s">
        <v>7</v>
      </c>
      <c r="C16" s="1">
        <f>NCt(-C13,C12,C14)</f>
        <v>0.9999999495687445</v>
      </c>
      <c r="U16" s="52">
        <f>U15+$AB$11</f>
        <v>6.2855803540427163E-2</v>
      </c>
      <c r="V16" s="52">
        <f t="shared" ref="V16:V47" si="0">_xlfn.NORM.DIST($U16,$V$11,$C$5,FALSE)</f>
        <v>2.7096333066061466E-2</v>
      </c>
      <c r="Y16" s="52" t="s">
        <v>216</v>
      </c>
      <c r="Z16" s="52">
        <f>$V$11-$W$11</f>
        <v>0.60643962079147595</v>
      </c>
      <c r="AA16" s="52">
        <v>0</v>
      </c>
      <c r="AC16" s="52" t="s">
        <v>216</v>
      </c>
      <c r="AD16" s="52">
        <f>$V$11-$Y$11</f>
        <v>0.84501198858299298</v>
      </c>
      <c r="AE16" s="52">
        <v>0</v>
      </c>
    </row>
    <row r="17" spans="2:31">
      <c r="B17" s="1" t="s">
        <v>6</v>
      </c>
      <c r="C17" s="1">
        <f>NCt(C13,C12,C15)</f>
        <v>0.1964046087104091</v>
      </c>
      <c r="U17" s="52">
        <f t="shared" ref="U17:U47" si="1">U16+$AB$11</f>
        <v>0.12571160708085433</v>
      </c>
      <c r="V17" s="52">
        <f t="shared" si="0"/>
        <v>4.7565557097961828E-2</v>
      </c>
      <c r="Y17" s="52" t="s">
        <v>218</v>
      </c>
      <c r="Z17" s="52">
        <f>Z16</f>
        <v>0.60643962079147595</v>
      </c>
      <c r="AA17" s="52">
        <f>IF(Y13,MAX($V$15:$V$47),0)</f>
        <v>0</v>
      </c>
      <c r="AC17" s="52" t="s">
        <v>218</v>
      </c>
      <c r="AD17" s="52">
        <f>AD16</f>
        <v>0.84501198858299298</v>
      </c>
      <c r="AE17" s="52">
        <f>IF(AC13,MAX($V$15:$V$47),0)</f>
        <v>1.3268502231061179</v>
      </c>
    </row>
    <row r="18" spans="2:31">
      <c r="B18" s="1" t="s">
        <v>58</v>
      </c>
      <c r="C18" s="1">
        <f>C16-C17</f>
        <v>0.80359534085833539</v>
      </c>
      <c r="E18" s="5"/>
      <c r="U18" s="52">
        <f t="shared" si="1"/>
        <v>0.18856741062128149</v>
      </c>
      <c r="V18" s="52">
        <f t="shared" si="0"/>
        <v>7.9911602450833827E-2</v>
      </c>
      <c r="Y18" s="52" t="s">
        <v>219</v>
      </c>
      <c r="Z18" s="52" t="s">
        <v>214</v>
      </c>
      <c r="AA18" s="52" t="s">
        <v>215</v>
      </c>
      <c r="AC18" s="52" t="s">
        <v>219</v>
      </c>
      <c r="AD18" s="52" t="s">
        <v>214</v>
      </c>
      <c r="AE18" s="52" t="s">
        <v>215</v>
      </c>
    </row>
    <row r="19" spans="2:31">
      <c r="U19" s="52">
        <f t="shared" si="1"/>
        <v>0.25142321416170865</v>
      </c>
      <c r="V19" s="52">
        <f t="shared" si="0"/>
        <v>0.12848791379412886</v>
      </c>
      <c r="Y19" s="52" t="s">
        <v>216</v>
      </c>
      <c r="Z19" s="52">
        <f>$V$11+$W$11</f>
        <v>1.1935603792085241</v>
      </c>
      <c r="AA19" s="52">
        <v>0</v>
      </c>
      <c r="AC19" s="52" t="s">
        <v>216</v>
      </c>
      <c r="AD19" s="52">
        <f>$V$11+$Y$11</f>
        <v>0.95498801141700707</v>
      </c>
      <c r="AE19" s="52">
        <v>0</v>
      </c>
    </row>
    <row r="20" spans="2:31">
      <c r="B20" s="1" t="s">
        <v>11</v>
      </c>
      <c r="C20" s="1">
        <f>CEILING(INDEX(Z2:Z4,Y5,1)*C11,1)</f>
        <v>40</v>
      </c>
      <c r="U20" s="52">
        <f t="shared" si="1"/>
        <v>0.31427901770213584</v>
      </c>
      <c r="V20" s="52">
        <f t="shared" si="0"/>
        <v>0.1977196814466011</v>
      </c>
      <c r="Y20" s="52" t="s">
        <v>218</v>
      </c>
      <c r="Z20" s="52">
        <f>Z19</f>
        <v>1.1935603792085241</v>
      </c>
      <c r="AA20" s="52">
        <f>AA17</f>
        <v>0</v>
      </c>
      <c r="AC20" s="52" t="s">
        <v>218</v>
      </c>
      <c r="AD20" s="52">
        <f>AD19</f>
        <v>0.95498801141700707</v>
      </c>
      <c r="AE20" s="52">
        <f>AE17</f>
        <v>1.3268502231061179</v>
      </c>
    </row>
    <row r="21" spans="2:31">
      <c r="U21" s="52">
        <f t="shared" si="1"/>
        <v>0.37713482124256303</v>
      </c>
      <c r="V21" s="52">
        <f t="shared" si="0"/>
        <v>0.29118748986942972</v>
      </c>
    </row>
    <row r="22" spans="2:31">
      <c r="U22" s="52">
        <f t="shared" si="1"/>
        <v>0.43999062478299023</v>
      </c>
      <c r="V22" s="52">
        <f t="shared" si="0"/>
        <v>0.41042207290166549</v>
      </c>
      <c r="Y22" s="55"/>
      <c r="AC22" s="55"/>
    </row>
    <row r="23" spans="2:31">
      <c r="U23" s="52">
        <f t="shared" si="1"/>
        <v>0.50284642832341742</v>
      </c>
      <c r="V23" s="52">
        <f t="shared" si="0"/>
        <v>0.55363545229058264</v>
      </c>
    </row>
    <row r="24" spans="2:31">
      <c r="U24" s="52">
        <f t="shared" si="1"/>
        <v>0.56570223186384461</v>
      </c>
      <c r="V24" s="52">
        <f t="shared" si="0"/>
        <v>0.71474686948667876</v>
      </c>
    </row>
    <row r="25" spans="2:31">
      <c r="U25" s="52">
        <f t="shared" si="1"/>
        <v>0.6285580354042718</v>
      </c>
      <c r="V25" s="52">
        <f t="shared" si="0"/>
        <v>0.88311206356970129</v>
      </c>
    </row>
    <row r="26" spans="2:31">
      <c r="U26" s="52">
        <f t="shared" si="1"/>
        <v>0.69141383894469899</v>
      </c>
      <c r="V26" s="52">
        <f t="shared" si="0"/>
        <v>1.0442742258768614</v>
      </c>
    </row>
    <row r="27" spans="2:31">
      <c r="U27" s="52">
        <f t="shared" si="1"/>
        <v>0.75426964248512618</v>
      </c>
      <c r="V27" s="52">
        <f t="shared" si="0"/>
        <v>1.1818122495065957</v>
      </c>
    </row>
    <row r="28" spans="2:31">
      <c r="U28" s="52">
        <f t="shared" si="1"/>
        <v>0.81712544602555337</v>
      </c>
      <c r="V28" s="52">
        <f t="shared" si="0"/>
        <v>1.2800224931945334</v>
      </c>
    </row>
    <row r="29" spans="2:31">
      <c r="U29" s="52">
        <f t="shared" si="1"/>
        <v>0.87998124956598056</v>
      </c>
      <c r="V29" s="52">
        <f t="shared" si="0"/>
        <v>1.3268502231061179</v>
      </c>
      <c r="Y29" s="52" t="b">
        <v>1</v>
      </c>
    </row>
    <row r="30" spans="2:31">
      <c r="U30" s="52">
        <f t="shared" si="1"/>
        <v>0.94283705310640775</v>
      </c>
      <c r="V30" s="52">
        <f t="shared" si="0"/>
        <v>1.3163197227249672</v>
      </c>
      <c r="Y30" s="55" t="s">
        <v>228</v>
      </c>
    </row>
    <row r="31" spans="2:31">
      <c r="U31" s="52">
        <f t="shared" si="1"/>
        <v>1.0056928566468348</v>
      </c>
      <c r="V31" s="52">
        <f t="shared" si="0"/>
        <v>1.2497871682536457</v>
      </c>
      <c r="Y31" s="52" t="s">
        <v>217</v>
      </c>
      <c r="Z31" s="52" t="s">
        <v>214</v>
      </c>
      <c r="AA31" s="52" t="s">
        <v>215</v>
      </c>
    </row>
    <row r="32" spans="2:31">
      <c r="U32" s="52">
        <f t="shared" si="1"/>
        <v>1.068548660187262</v>
      </c>
      <c r="V32" s="52">
        <f t="shared" si="0"/>
        <v>1.1356537008909846</v>
      </c>
      <c r="Y32" s="52" t="s">
        <v>216</v>
      </c>
      <c r="Z32" s="56">
        <f>C7</f>
        <v>0.8</v>
      </c>
      <c r="AA32" s="52">
        <v>0</v>
      </c>
    </row>
    <row r="33" spans="21:27">
      <c r="U33" s="52">
        <f t="shared" si="1"/>
        <v>1.1314044637276892</v>
      </c>
      <c r="V33" s="52">
        <f t="shared" si="0"/>
        <v>0.98762247825526639</v>
      </c>
      <c r="Y33" s="52" t="s">
        <v>218</v>
      </c>
      <c r="Z33" s="56">
        <f>Z32</f>
        <v>0.8</v>
      </c>
      <c r="AA33" s="52">
        <f>IF($Y$29,MAX($V$15:$W$47),0)</f>
        <v>1.3268502231061179</v>
      </c>
    </row>
    <row r="34" spans="21:27">
      <c r="U34" s="52">
        <f t="shared" si="1"/>
        <v>1.1942602672681164</v>
      </c>
      <c r="V34" s="52">
        <f t="shared" si="0"/>
        <v>0.82199882643964128</v>
      </c>
      <c r="Y34" s="52" t="s">
        <v>219</v>
      </c>
      <c r="Z34" s="52" t="s">
        <v>214</v>
      </c>
      <c r="AA34" s="52" t="s">
        <v>215</v>
      </c>
    </row>
    <row r="35" spans="21:27">
      <c r="U35" s="52">
        <f t="shared" si="1"/>
        <v>1.2571160708085436</v>
      </c>
      <c r="V35" s="52">
        <f t="shared" si="0"/>
        <v>0.65476674718804873</v>
      </c>
      <c r="Y35" s="52" t="s">
        <v>216</v>
      </c>
      <c r="Z35" s="56">
        <f>C8</f>
        <v>1.25</v>
      </c>
      <c r="AA35" s="52">
        <v>0</v>
      </c>
    </row>
    <row r="36" spans="21:27">
      <c r="U36" s="52">
        <f t="shared" si="1"/>
        <v>1.3199718743489708</v>
      </c>
      <c r="V36" s="52">
        <f t="shared" si="0"/>
        <v>0.49915706150721351</v>
      </c>
      <c r="Y36" s="52" t="s">
        <v>218</v>
      </c>
      <c r="Z36" s="56">
        <f>Z35</f>
        <v>1.25</v>
      </c>
      <c r="AA36" s="52">
        <f>AA33</f>
        <v>1.3268502231061179</v>
      </c>
    </row>
    <row r="37" spans="21:27">
      <c r="U37" s="52">
        <f t="shared" si="1"/>
        <v>1.382827677889398</v>
      </c>
      <c r="V37" s="52">
        <f t="shared" si="0"/>
        <v>0.3641858012715018</v>
      </c>
    </row>
    <row r="38" spans="21:27">
      <c r="U38" s="52">
        <f t="shared" si="1"/>
        <v>1.4456834814298252</v>
      </c>
      <c r="V38" s="52">
        <f t="shared" si="0"/>
        <v>0.25429860993809755</v>
      </c>
    </row>
    <row r="39" spans="21:27">
      <c r="U39" s="52">
        <f t="shared" si="1"/>
        <v>1.5085392849702524</v>
      </c>
      <c r="V39" s="52">
        <f t="shared" si="0"/>
        <v>0.169941774582163</v>
      </c>
    </row>
    <row r="40" spans="21:27">
      <c r="U40" s="52">
        <f t="shared" si="1"/>
        <v>1.5713950885106795</v>
      </c>
      <c r="V40" s="52">
        <f t="shared" si="0"/>
        <v>0.10869047781366145</v>
      </c>
    </row>
    <row r="41" spans="21:27">
      <c r="U41" s="52">
        <f t="shared" si="1"/>
        <v>1.6342508920511067</v>
      </c>
      <c r="V41" s="52">
        <f t="shared" si="0"/>
        <v>6.6530078085967767E-2</v>
      </c>
    </row>
    <row r="42" spans="21:27">
      <c r="U42" s="52">
        <f t="shared" si="1"/>
        <v>1.6971066955915339</v>
      </c>
      <c r="V42" s="52">
        <f t="shared" si="0"/>
        <v>3.8974428408071964E-2</v>
      </c>
    </row>
    <row r="43" spans="21:27">
      <c r="U43" s="52">
        <f t="shared" si="1"/>
        <v>1.7599624991319611</v>
      </c>
      <c r="V43" s="52">
        <f t="shared" si="0"/>
        <v>2.1851268942557921E-2</v>
      </c>
    </row>
    <row r="44" spans="21:27" ht="20.25" customHeight="1">
      <c r="U44" s="52">
        <f t="shared" si="1"/>
        <v>1.8228183026723883</v>
      </c>
      <c r="V44" s="52">
        <f t="shared" si="0"/>
        <v>1.1724889439740756E-2</v>
      </c>
    </row>
    <row r="45" spans="21:27">
      <c r="U45" s="52">
        <f t="shared" si="1"/>
        <v>1.8856741062128155</v>
      </c>
      <c r="V45" s="52">
        <f t="shared" si="0"/>
        <v>6.0211027202522194E-3</v>
      </c>
    </row>
    <row r="46" spans="21:27">
      <c r="U46" s="52">
        <f t="shared" si="1"/>
        <v>1.9485299097532427</v>
      </c>
      <c r="V46" s="52">
        <f t="shared" si="0"/>
        <v>2.9592285119466512E-3</v>
      </c>
    </row>
    <row r="47" spans="21:27">
      <c r="U47" s="52">
        <f t="shared" si="1"/>
        <v>2.0113857132936697</v>
      </c>
      <c r="V47" s="52">
        <f t="shared" si="0"/>
        <v>1.3919260261450537E-3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4.25">
      <c r="C19" s="16" t="s">
        <v>63</v>
      </c>
      <c r="D19" s="16" t="s">
        <v>64</v>
      </c>
      <c r="E19" s="16" t="s">
        <v>66</v>
      </c>
    </row>
    <row r="20" spans="2:5">
      <c r="B20" s="1" t="s">
        <v>11</v>
      </c>
      <c r="C20" s="1">
        <f>CEILING(C11,1)</f>
        <v>194</v>
      </c>
      <c r="D20" s="1">
        <f>C20*C3</f>
        <v>194</v>
      </c>
      <c r="E20" s="1">
        <f>C20+D20</f>
        <v>388</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c r="C19" s="9"/>
      <c r="D19" s="9"/>
    </row>
    <row r="20" spans="2:5">
      <c r="B20" s="1" t="s">
        <v>11</v>
      </c>
      <c r="C20" s="1">
        <f>CEILING(C11,1)</f>
        <v>34</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25</v>
      </c>
    </row>
    <row r="18" spans="2:5">
      <c r="B18" s="1" t="s">
        <v>58</v>
      </c>
      <c r="C18" s="1">
        <v>0.80651155791193363</v>
      </c>
      <c r="E18" s="5"/>
    </row>
    <row r="19" spans="2:5">
      <c r="C19" s="16"/>
      <c r="D19" s="16"/>
      <c r="E19" s="16"/>
    </row>
    <row r="20" spans="2:5">
      <c r="B20" s="1" t="s">
        <v>11</v>
      </c>
      <c r="C20" s="1">
        <f>CEILING(C11,1)</f>
        <v>25</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1.0249999761581421</v>
      </c>
      <c r="D4" s="1" t="s">
        <v>93</v>
      </c>
    </row>
    <row r="5" spans="2:4">
      <c r="B5" s="1" t="s">
        <v>94</v>
      </c>
      <c r="C5" s="23">
        <v>0.9</v>
      </c>
      <c r="D5" s="1" t="s">
        <v>95</v>
      </c>
    </row>
    <row r="6" spans="2:4">
      <c r="B6" s="1" t="s">
        <v>96</v>
      </c>
      <c r="C6" s="23">
        <v>1.1499999999999999</v>
      </c>
      <c r="D6" s="1" t="s">
        <v>97</v>
      </c>
    </row>
    <row r="7" spans="2:4" ht="13.5" thickBot="1">
      <c r="B7" s="1" t="s">
        <v>98</v>
      </c>
      <c r="C7" s="24">
        <v>24</v>
      </c>
      <c r="D7" s="1" t="s">
        <v>99</v>
      </c>
    </row>
    <row r="8" spans="2:4" ht="13.5" thickBot="1">
      <c r="B8" s="1" t="s">
        <v>100</v>
      </c>
      <c r="C8" s="2">
        <v>0.9</v>
      </c>
    </row>
    <row r="9" spans="2:4">
      <c r="B9" s="1" t="s">
        <v>101</v>
      </c>
      <c r="C9" s="25">
        <f>C7-2</f>
        <v>22</v>
      </c>
    </row>
    <row r="10" spans="2:4">
      <c r="B10" s="1" t="s">
        <v>102</v>
      </c>
      <c r="C10" s="25">
        <f>TINV(1-$C$8,$C$9)</f>
        <v>1.7171443743802424</v>
      </c>
    </row>
    <row r="11" spans="2:4">
      <c r="B11" s="1" t="s">
        <v>103</v>
      </c>
      <c r="C11" s="25">
        <f>(LN($C$4)-LN($C$5))/$C$10</f>
        <v>7.5738014186947755E-2</v>
      </c>
    </row>
    <row r="12" spans="2:4">
      <c r="B12" s="1" t="s">
        <v>104</v>
      </c>
      <c r="C12" s="25">
        <f>(LN($C$6)-LN($C$4))/$C$10</f>
        <v>6.7012043228262499E-2</v>
      </c>
    </row>
    <row r="13" spans="2:4">
      <c r="B13" s="1" t="s">
        <v>105</v>
      </c>
      <c r="C13" s="25">
        <f>(C11^2)*($C$9+2)/2</f>
        <v>6.8834961515787593E-2</v>
      </c>
    </row>
    <row r="14" spans="2:4">
      <c r="B14" s="1" t="s">
        <v>106</v>
      </c>
      <c r="C14" s="25">
        <f>(C12^2)*($C$9+2)/2</f>
        <v>5.3887367251518256E-2</v>
      </c>
    </row>
    <row r="15" spans="2:4">
      <c r="B15" s="1" t="s">
        <v>107</v>
      </c>
      <c r="C15" s="25">
        <f>SQRT(EXP($C$13)-1)*100</f>
        <v>26.694455516339939</v>
      </c>
    </row>
    <row r="16" spans="2:4">
      <c r="B16" s="1" t="s">
        <v>108</v>
      </c>
      <c r="C16" s="25">
        <f>SQRT(EXP($C$14)-1)*100</f>
        <v>23.52992280440343</v>
      </c>
    </row>
    <row r="18" spans="2:7" ht="20.25">
      <c r="B18" s="20" t="s">
        <v>109</v>
      </c>
      <c r="C18" s="26">
        <f>(C15+C16)/2</f>
        <v>25.112189160371685</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cp:lastModifiedBy>
  <dcterms:created xsi:type="dcterms:W3CDTF">2007-02-09T04:12:48Z</dcterms:created>
  <dcterms:modified xsi:type="dcterms:W3CDTF">2022-01-21T17:41:28Z</dcterms:modified>
  <cp:category>Sample Size Estimation</cp:category>
</cp:coreProperties>
</file>