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931"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EC121705-8B6F-4B32-B205-42A19279C0C1}" xr6:coauthVersionLast="47" xr6:coauthVersionMax="47" xr10:uidLastSave="{00000000-0000-0000-0000-000000000000}"/>
  <bookViews>
    <workbookView xWindow="-110" yWindow="-110" windowWidth="19420" windowHeight="105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20" i="1"/>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<sst xmlns="http://schemas.openxmlformats.org/spreadsheetml/2006/main" count="996" uniqueCount="250">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</sst>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9">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0.11555714658408101</c:v>
                </c:pt>
                <c:pt idx="2">
                  <c:v>0.23111429316816201</c:v>
                </c:pt>
                <c:pt idx="3">
                  <c:v>0.34667143975224302</c:v>
                </c:pt>
                <c:pt idx="4">
                  <c:v>0.46222858633632402</c:v>
                </c:pt>
                <c:pt idx="5">
                  <c:v>0.57778573292040503</c:v>
                </c:pt>
                <c:pt idx="6">
                  <c:v>0.69334287950448603</c:v>
                </c:pt>
                <c:pt idx="7">
                  <c:v>0.80890002608856704</c:v>
                </c:pt>
                <c:pt idx="8">
                  <c:v>0.92445717267264804</c:v>
                </c:pt>
                <c:pt idx="9">
                  <c:v>1.040014319256729</c:v>
                </c:pt>
                <c:pt idx="10">
                  <c:v>1.1555714658408101</c:v>
                </c:pt>
                <c:pt idx="11">
                  <c:v>1.2711286124248911</c:v>
                </c:pt>
                <c:pt idx="12">
                  <c:v>1.3866857590089721</c:v>
                </c:pt>
                <c:pt idx="13">
                  <c:v>1.5022429055930531</c:v>
                </c:pt>
                <c:pt idx="14">
                  <c:v>1.6178000521771341</c:v>
                </c:pt>
                <c:pt idx="15">
                  <c:v>1.7333571987612151</c:v>
                </c:pt>
                <c:pt idx="16">
                  <c:v>1.8489143453452961</c:v>
                </c:pt>
                <c:pt idx="17">
                  <c:v>1.9644714919293771</c:v>
                </c:pt>
                <c:pt idx="18">
                  <c:v>2.0800286385134581</c:v>
                </c:pt>
                <c:pt idx="19">
                  <c:v>2.1955857850975393</c:v>
                </c:pt>
                <c:pt idx="20">
                  <c:v>2.3111429316816201</c:v>
                </c:pt>
                <c:pt idx="21">
                  <c:v>2.4267000782657009</c:v>
                </c:pt>
                <c:pt idx="22">
                  <c:v>2.5422572248497817</c:v>
                </c:pt>
                <c:pt idx="23">
                  <c:v>2.6578143714338625</c:v>
                </c:pt>
                <c:pt idx="24">
                  <c:v>2.7733715180179432</c:v>
                </c:pt>
                <c:pt idx="25">
                  <c:v>2.888928664602024</c:v>
                </c:pt>
                <c:pt idx="26">
                  <c:v>3.0044858111861048</c:v>
                </c:pt>
                <c:pt idx="27">
                  <c:v>3.1200429577701856</c:v>
                </c:pt>
                <c:pt idx="28">
                  <c:v>3.2356001043542664</c:v>
                </c:pt>
                <c:pt idx="29">
                  <c:v>3.3511572509383472</c:v>
                </c:pt>
                <c:pt idx="30">
                  <c:v>3.4667143975224279</c:v>
                </c:pt>
                <c:pt idx="31">
                  <c:v>3.5822715441065087</c:v>
                </c:pt>
                <c:pt idx="32">
                  <c:v>3.6978286906905895</c:v>
                </c:pt>
              </c:numCache>
            </c:numRef>
          </c:xVal>
          <c:yVal>
            <c:numRef>
              <c:f>'Bioequivalence, Parallel'!$V$15:$V$47</c:f>
              <c:numCache>
                <c:formatCode>General</c:formatCode>
                <c:ptCount val="33"/>
                <c:pt idx="0">
                  <c:v>0.22831135673627737</c:v>
                </c:pt>
                <c:pt idx="1">
                  <c:v>0.27065256559820106</c:v>
                </c:pt>
                <c:pt idx="2">
                  <c:v>0.314221086732277</c:v>
                </c:pt>
                <c:pt idx="3">
                  <c:v>0.35727041047792041</c:v>
                </c:pt>
                <c:pt idx="4">
                  <c:v>0.39782980438758542</c:v>
                </c:pt>
                <c:pt idx="5">
                  <c:v>0.4338465299206547</c:v>
                </c:pt>
                <c:pt idx="6">
                  <c:v>0.46335460617253399</c:v>
                </c:pt>
                <c:pt idx="7">
                  <c:v>0.48465130425812258</c:v>
                </c:pt>
                <c:pt idx="8">
                  <c:v>0.4964595069001882</c:v>
                </c:pt>
                <c:pt idx="9">
                  <c:v>0.49805444680287991</c:v>
                </c:pt>
                <c:pt idx="10">
                  <c:v>0.48933734016603508</c:v>
                </c:pt>
                <c:pt idx="11">
                  <c:v>0.47084551359267213</c:v>
                </c:pt>
                <c:pt idx="12">
                  <c:v>0.44369758091411332</c:v>
                </c:pt>
                <c:pt idx="13">
                  <c:v>0.40948144746086385</c:v>
                </c:pt>
                <c:pt idx="14">
                  <c:v>0.3701007313487899</c:v>
                </c:pt>
                <c:pt idx="15">
                  <c:v>0.32760023258826015</c:v>
                </c:pt>
                <c:pt idx="16">
                  <c:v>0.28399258718598064</c:v>
                </c:pt>
                <c:pt idx="17">
                  <c:v>0.24110618514069843</c:v>
                </c:pt>
                <c:pt idx="18">
                  <c:v>0.20046947062820525</c:v>
                </c:pt>
                <c:pt idx="19">
                  <c:v>0.16324003535956169</c:v>
                </c:pt>
                <c:pt idx="20">
                  <c:v>0.13017981841469306</c:v>
                </c:pt>
                <c:pt idx="21">
                  <c:v>0.10167148978353269</c:v>
                </c:pt>
                <c:pt idx="22">
                  <c:v>7.7766626143932732E-2</c:v>
                </c:pt>
                <c:pt idx="23">
                  <c:v>5.825401628546005E-2</c:v>
                </c:pt>
                <c:pt idx="24">
                  <c:v>4.2736311146241344E-2</c:v>
                </c:pt>
                <c:pt idx="25">
                  <c:v>3.0704832810818952E-2</c:v>
                </c:pt>
                <c:pt idx="26">
                  <c:v>2.1605035584469263E-2</c:v>
                </c:pt>
                <c:pt idx="27">
                  <c:v>1.4888185783989533E-2</c:v>
                </c:pt>
                <c:pt idx="28">
                  <c:v>1.0047710600097437E-2</c:v>
                </c:pt>
                <c:pt idx="29">
                  <c:v>6.640962083123661E-3</c:v>
                </c:pt>
                <c:pt idx="30">
                  <c:v>4.2986632849936453E-3</c:v>
                </c:pt>
                <c:pt idx="31">
                  <c:v>2.7250495290019753E-3</c:v>
                </c:pt>
                <c:pt idx="32">
                  <c:v>1.691819073603052E-3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0.29665354068133176</c:v>
                </c:pt>
                <c:pt idx="1">
                  <c:v>0.29665354068133176</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1.7033464593186682</c:v>
                </c:pt>
                <c:pt idx="1">
                  <c:v>1.7033464593186682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-1.5638709635184753</c:v>
                </c:pt>
                <c:pt idx="1">
                  <c:v>-1.5638709635184753</c:v>
                </c:pt>
              </c:numCache>
            </c:numRef>
          </c:xVal>
          <c:yVal>
            <c:numRef>
              <c:f>'Bioequivalence, Parallel'!$AE$16:$AE$17</c:f>
              <c:numCache>
                <c:formatCode>General</c:formatCode>
                <c:ptCount val="2"/>
                <c:pt idx="0">
                  <c:v>0</c:v>
                </c:pt>
                <c:pt idx="1">
                  <c:v>0.49805444680287991</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3.5638709635184753</c:v>
                </c:pt>
                <c:pt idx="1">
                  <c:v>3.5638709635184753</c:v>
                </c:pt>
              </c:numCache>
            </c:numRef>
          </c:xVal>
          <c:yVal>
            <c:numRef>
              <c:f>'Bioequivalence, Parallel'!$AE$19:$AE$20</c:f>
              <c:numCache>
                <c:formatCode>General</c:formatCode>
                <c:ptCount val="2"/>
                <c:pt idx="0">
                  <c:v>0</c:v>
                </c:pt>
                <c:pt idx="1">
                  <c:v>0.49805444680287991</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0.49805444680287991</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0.49805444680287991</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6.0147960856877548E-2</c:v>
                </c:pt>
                <c:pt idx="2">
                  <c:v>0.1202959217137551</c:v>
                </c:pt>
                <c:pt idx="3">
                  <c:v>0.18044388257063265</c:v>
                </c:pt>
                <c:pt idx="4">
                  <c:v>0.24059184342751019</c:v>
                </c:pt>
                <c:pt idx="5">
                  <c:v>0.30073980428438774</c:v>
                </c:pt>
                <c:pt idx="6">
                  <c:v>0.3608877651412653</c:v>
                </c:pt>
                <c:pt idx="7">
                  <c:v>0.42103572599814287</c:v>
                </c:pt>
                <c:pt idx="8">
                  <c:v>0.48118368685502044</c:v>
                </c:pt>
                <c:pt idx="9">
                  <c:v>0.54133164771189801</c:v>
                </c:pt>
                <c:pt idx="10">
                  <c:v>0.60147960856877558</c:v>
                </c:pt>
                <c:pt idx="11">
                  <c:v>0.66162756942565315</c:v>
                </c:pt>
                <c:pt idx="12">
                  <c:v>0.72177553028253072</c:v>
                </c:pt>
                <c:pt idx="13">
                  <c:v>0.78192349113940829</c:v>
                </c:pt>
                <c:pt idx="14">
                  <c:v>0.84207145199628586</c:v>
                </c:pt>
                <c:pt idx="15">
                  <c:v>0.90221941285316343</c:v>
                </c:pt>
                <c:pt idx="16">
                  <c:v>0.962367373710041</c:v>
                </c:pt>
                <c:pt idx="17">
                  <c:v>1.0225153345669185</c:v>
                </c:pt>
                <c:pt idx="18">
                  <c:v>1.082663295423796</c:v>
                </c:pt>
                <c:pt idx="19">
                  <c:v>1.1428112562806736</c:v>
                </c:pt>
                <c:pt idx="20">
                  <c:v>1.2029592171375512</c:v>
                </c:pt>
                <c:pt idx="21">
                  <c:v>1.2631071779944287</c:v>
                </c:pt>
                <c:pt idx="22">
                  <c:v>1.3232551388513063</c:v>
                </c:pt>
                <c:pt idx="23">
                  <c:v>1.3834030997081839</c:v>
                </c:pt>
                <c:pt idx="24">
                  <c:v>1.4435510605650614</c:v>
                </c:pt>
                <c:pt idx="25">
                  <c:v>1.503699021421939</c:v>
                </c:pt>
                <c:pt idx="26">
                  <c:v>1.5638469822788166</c:v>
                </c:pt>
                <c:pt idx="27">
                  <c:v>1.6239949431356941</c:v>
                </c:pt>
                <c:pt idx="28">
                  <c:v>1.6841429039925717</c:v>
                </c:pt>
                <c:pt idx="29">
                  <c:v>1.7442908648494493</c:v>
                </c:pt>
                <c:pt idx="30">
                  <c:v>1.8044388257063269</c:v>
                </c:pt>
                <c:pt idx="31">
                  <c:v>1.8645867865632044</c:v>
                </c:pt>
                <c:pt idx="32">
                  <c:v>1.924734747420082</c:v>
                </c:pt>
              </c:numCache>
            </c:numRef>
          </c:xVal>
          <c:yVal>
            <c:numRef>
              <c:f>'Bioequivalence, Crossover'!$V$15:$V$47</c:f>
              <c:numCache>
                <c:formatCode>General</c:formatCode>
                <c:ptCount val="33"/>
                <c:pt idx="0">
                  <c:v>5.3532090305954147E-4</c:v>
                </c:pt>
                <c:pt idx="1">
                  <c:v>1.3614308782823046E-3</c:v>
                </c:pt>
                <c:pt idx="2">
                  <c:v>3.2676693182428582E-3</c:v>
                </c:pt>
                <c:pt idx="3">
                  <c:v>7.4018744335829466E-3</c:v>
                </c:pt>
                <c:pt idx="4">
                  <c:v>1.5823641525050097E-2</c:v>
                </c:pt>
                <c:pt idx="5">
                  <c:v>3.1925100068458327E-2</c:v>
                </c:pt>
                <c:pt idx="6">
                  <c:v>6.0788189407009453E-2</c:v>
                </c:pt>
                <c:pt idx="7">
                  <c:v>0.10923636954844064</c:v>
                </c:pt>
                <c:pt idx="8">
                  <c:v>0.18525776370088784</c:v>
                </c:pt>
                <c:pt idx="9">
                  <c:v>0.29651501197758523</c:v>
                </c:pt>
                <c:pt idx="10">
                  <c:v>0.44789690707849394</c:v>
                </c:pt>
                <c:pt idx="11">
                  <c:v>0.63851418586687736</c:v>
                </c:pt>
                <c:pt idx="12">
                  <c:v>0.85906128368970724</c:v>
                </c:pt>
                <c:pt idx="13">
                  <c:v>1.0907842338994449</c:v>
                </c:pt>
                <c:pt idx="14">
                  <c:v>1.3071176131726885</c:v>
                </c:pt>
                <c:pt idx="15">
                  <c:v>1.4782626042254883</c:v>
                </c:pt>
                <c:pt idx="16">
                  <c:v>1.5777915426115834</c:v>
                </c:pt>
                <c:pt idx="17">
                  <c:v>1.5893105496006901</c:v>
                </c:pt>
                <c:pt idx="18">
                  <c:v>1.5108766792405302</c:v>
                </c:pt>
                <c:pt idx="19">
                  <c:v>1.355533886018965</c:v>
                </c:pt>
                <c:pt idx="20">
                  <c:v>1.1477646605331531</c:v>
                </c:pt>
                <c:pt idx="21">
                  <c:v>0.91718391155064294</c:v>
                </c:pt>
                <c:pt idx="22">
                  <c:v>0.69170532122747919</c:v>
                </c:pt>
                <c:pt idx="23">
                  <c:v>0.4923193601798051</c:v>
                </c:pt>
                <c:pt idx="24">
                  <c:v>0.33069971569153883</c:v>
                </c:pt>
                <c:pt idx="25">
                  <c:v>0.20964371055854106</c:v>
                </c:pt>
                <c:pt idx="26">
                  <c:v>0.12542697936354921</c:v>
                </c:pt>
                <c:pt idx="27">
                  <c:v>7.0820860308331679E-2</c:v>
                </c:pt>
                <c:pt idx="28">
                  <c:v>3.7739187175571676E-2</c:v>
                </c:pt>
                <c:pt idx="29">
                  <c:v>1.8979509975539276E-2</c:v>
                </c:pt>
                <c:pt idx="30">
                  <c:v>9.0082111596319035E-3</c:v>
                </c:pt>
                <c:pt idx="31">
                  <c:v>4.0350900346774578E-3</c:v>
                </c:pt>
                <c:pt idx="32">
                  <c:v>1.705803536648734E-3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0.75377932293076022</c:v>
                </c:pt>
                <c:pt idx="1">
                  <c:v>0.75377932293076022</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1.2462206770692397</c:v>
                </c:pt>
                <c:pt idx="1">
                  <c:v>1.2462206770692397</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0.92063532251344238</c:v>
                </c:pt>
                <c:pt idx="1">
                  <c:v>0.92063532251344238</c:v>
                </c:pt>
              </c:numCache>
            </c:numRef>
          </c:xVal>
          <c:yVal>
            <c:numRef>
              <c:f>'Bioequivalence, Crossover'!$AE$16:$AE$17</c:f>
              <c:numCache>
                <c:formatCode>General</c:formatCode>
                <c:ptCount val="2"/>
                <c:pt idx="0">
                  <c:v>0</c:v>
                </c:pt>
                <c:pt idx="1">
                  <c:v>1.5893105496006901</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1.0793646774865577</c:v>
                </c:pt>
                <c:pt idx="1">
                  <c:v>1.0793646774865577</c:v>
                </c:pt>
              </c:numCache>
            </c:numRef>
          </c:xVal>
          <c:yVal>
            <c:numRef>
              <c:f>'Bioequivalence, Crossover'!$AE$19:$AE$20</c:f>
              <c:numCache>
                <c:formatCode>General</c:formatCode>
                <c:ptCount val="2"/>
                <c:pt idx="0">
                  <c:v>0</c:v>
                </c:pt>
                <c:pt idx="1">
                  <c:v>1.5893105496006901</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1.5893105496006901</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1.5893105496006901</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488950</xdr:colOff>
          <xdr:row>7</xdr:row>
          <xdr:rowOff>107950</xdr:rowOff>
        </xdr:from>
        <xdr:to>
          <xdr:col>13</xdr:col>
          <xdr:colOff>31750</xdr:colOff>
          <xdr:row>8</xdr:row>
          <xdr:rowOff>146050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8</xdr:row>
          <xdr:rowOff>146050</xdr:rowOff>
        </xdr:from>
        <xdr:to>
          <xdr:col>13</xdr:col>
          <xdr:colOff>31750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488950</xdr:colOff>
          <xdr:row>10</xdr:row>
          <xdr:rowOff>12700</xdr:rowOff>
        </xdr:from>
        <xdr:to>
          <xdr:col>13</xdr:col>
          <xdr:colOff>31750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565150</xdr:colOff>
          <xdr:row>7</xdr:row>
          <xdr:rowOff>31750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8</xdr:row>
          <xdr:rowOff>38100</xdr:rowOff>
        </xdr:from>
        <xdr:to>
          <xdr:col>12</xdr:col>
          <xdr:colOff>76200</xdr:colOff>
          <xdr:row>9</xdr:row>
          <xdr:rowOff>107950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565150</xdr:colOff>
          <xdr:row>9</xdr:row>
          <xdr:rowOff>107950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336550</xdr:colOff>
          <xdr:row>8</xdr:row>
          <xdr:rowOff>114300</xdr:rowOff>
        </xdr:from>
        <xdr:to>
          <xdr:col>12</xdr:col>
          <xdr:colOff>488950</xdr:colOff>
          <xdr:row>9</xdr:row>
          <xdr:rowOff>184150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9</xdr:row>
          <xdr:rowOff>184150</xdr:rowOff>
        </xdr:from>
        <xdr:to>
          <xdr:col>12</xdr:col>
          <xdr:colOff>488950</xdr:colOff>
          <xdr:row>11</xdr:row>
          <xdr:rowOff>31750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336550</xdr:colOff>
          <xdr:row>11</xdr:row>
          <xdr:rowOff>31750</xdr:rowOff>
        </xdr:from>
        <xdr:to>
          <xdr:col>12</xdr:col>
          <xdr:colOff>488950</xdr:colOff>
          <xdr:row>12</xdr:row>
          <xdr:rowOff>69850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533400</xdr:colOff>
          <xdr:row>23</xdr:row>
          <xdr:rowOff>31750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31750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374650</xdr:colOff>
          <xdr:row>7</xdr:row>
          <xdr:rowOff>222250</xdr:rowOff>
        </xdr:from>
        <xdr:to>
          <xdr:col>11</xdr:col>
          <xdr:colOff>527050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9</xdr:row>
          <xdr:rowOff>38100</xdr:rowOff>
        </xdr:from>
        <xdr:to>
          <xdr:col>11</xdr:col>
          <xdr:colOff>527050</xdr:colOff>
          <xdr:row>10</xdr:row>
          <xdr:rowOff>69850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374650</xdr:colOff>
          <xdr:row>10</xdr:row>
          <xdr:rowOff>69850</xdr:rowOff>
        </xdr:from>
        <xdr:to>
          <xdr:col>11</xdr:col>
          <xdr:colOff>527050</xdr:colOff>
          <xdr:row>11</xdr:row>
          <xdr:rowOff>107950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603250</xdr:colOff>
          <xdr:row>7</xdr:row>
          <xdr:rowOff>184150</xdr:rowOff>
        </xdr:from>
        <xdr:to>
          <xdr:col>13</xdr:col>
          <xdr:colOff>146050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9</xdr:row>
          <xdr:rowOff>38100</xdr:rowOff>
        </xdr:from>
        <xdr:to>
          <xdr:col>13</xdr:col>
          <xdr:colOff>146050</xdr:colOff>
          <xdr:row>10</xdr:row>
          <xdr:rowOff>107950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603250</xdr:colOff>
          <xdr:row>10</xdr:row>
          <xdr:rowOff>107950</xdr:rowOff>
        </xdr:from>
        <xdr:to>
          <xdr:col>13</xdr:col>
          <xdr:colOff>146050</xdr:colOff>
          <xdr:row>11</xdr:row>
          <xdr:rowOff>146050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21</xdr:row>
          <xdr:rowOff>76200</xdr:rowOff>
        </xdr:from>
        <xdr:to>
          <xdr:col>4</xdr:col>
          <xdr:colOff>222250</xdr:colOff>
          <xdr:row>23</xdr:row>
          <xdr:rowOff>31750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488950</xdr:colOff>
          <xdr:row>8</xdr:row>
          <xdr:rowOff>69850</xdr:rowOff>
        </xdr:from>
        <xdr:to>
          <xdr:col>12</xdr:col>
          <xdr:colOff>31750</xdr:colOff>
          <xdr:row>9</xdr:row>
          <xdr:rowOff>107950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9</xdr:row>
          <xdr:rowOff>107950</xdr:rowOff>
        </xdr:from>
        <xdr:to>
          <xdr:col>12</xdr:col>
          <xdr:colOff>31750</xdr:colOff>
          <xdr:row>10</xdr:row>
          <xdr:rowOff>107950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488950</xdr:colOff>
          <xdr:row>10</xdr:row>
          <xdr:rowOff>107950</xdr:rowOff>
        </xdr:from>
        <xdr:to>
          <xdr:col>12</xdr:col>
          <xdr:colOff>31750</xdr:colOff>
          <xdr:row>11</xdr:row>
          <xdr:rowOff>146050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69850</xdr:rowOff>
        </xdr:from>
        <xdr:to>
          <xdr:col>12</xdr:col>
          <xdr:colOff>317500</xdr:colOff>
          <xdr:row>7</xdr:row>
          <xdr:rowOff>107950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107950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31750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69850</xdr:rowOff>
        </xdr:from>
        <xdr:to>
          <xdr:col>11</xdr:col>
          <xdr:colOff>508000</xdr:colOff>
          <xdr:row>7</xdr:row>
          <xdr:rowOff>107950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107950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107950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488950</xdr:colOff>
          <xdr:row>23</xdr:row>
          <xdr:rowOff>0</xdr:rowOff>
        </xdr:from>
        <xdr:to>
          <xdr:col>5</xdr:col>
          <xdr:colOff>107950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184150</xdr:colOff>
          <xdr:row>23</xdr:row>
          <xdr:rowOff>0</xdr:rowOff>
        </xdr:from>
        <xdr:to>
          <xdr:col>9</xdr:col>
          <xdr:colOff>107950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69850</xdr:colOff>
          <xdr:row>23</xdr:row>
          <xdr:rowOff>0</xdr:rowOff>
        </xdr:from>
        <xdr:to>
          <xdr:col>3</xdr:col>
          <xdr:colOff>412750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336550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7</xdr:row>
          <xdr:rowOff>127000</xdr:rowOff>
        </xdr:from>
        <xdr:to>
          <xdr:col>11</xdr:col>
          <xdr:colOff>488950</xdr:colOff>
          <xdr:row>9</xdr:row>
          <xdr:rowOff>31750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336550</xdr:colOff>
          <xdr:row>9</xdr:row>
          <xdr:rowOff>31750</xdr:rowOff>
        </xdr:from>
        <xdr:to>
          <xdr:col>11</xdr:col>
          <xdr:colOff>488950</xdr:colOff>
          <xdr:row>10</xdr:row>
          <xdr:rowOff>31750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412750</xdr:colOff>
          <xdr:row>2</xdr:row>
          <xdr:rowOff>31750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31750</xdr:colOff>
          <xdr:row>30</xdr:row>
          <xdr:rowOff>38100</xdr:rowOff>
        </xdr:from>
        <xdr:to>
          <xdr:col>5</xdr:col>
          <xdr:colOff>114300</xdr:colOff>
          <xdr:row>33</xdr:row>
          <xdr:rowOff>146050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107950</xdr:colOff>
          <xdr:row>21</xdr:row>
          <xdr:rowOff>76200</xdr:rowOff>
        </xdr:from>
        <xdr:to>
          <xdr:col>2</xdr:col>
          <xdr:colOff>527050</xdr:colOff>
          <xdr:row>23</xdr:row>
          <xdr:rowOff>31750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796875" defaultRowHeight="12.5"/>
  <cols>
    <col min="1" max="1" width="5.1796875" style="66" customWidth="1"/>
    <col min="2" max="2" width="10.453125" style="66" customWidth="1"/>
    <col min="3" max="16384" width="9.1796875" style="66"/>
  </cols>
  <sheetData>
    <row r="2" spans="2:9" ht="20">
      <c r="C2" s="67" t="s">
        <v>242</v>
      </c>
      <c r="I2" s="68" t="s">
        <v>241</v>
      </c>
    </row>
    <row r="3" spans="2:9" ht="20">
      <c r="C3" s="67" t="s">
        <v>243</v>
      </c>
    </row>
    <row r="4" spans="2:9">
      <c r="B4" s="69" t="s">
        <v>80</v>
      </c>
    </row>
    <row r="6" spans="2:9">
      <c r="B6" s="70" t="s">
        <v>249</v>
      </c>
    </row>
    <row r="8" spans="2:9" ht="13">
      <c r="B8" s="71"/>
    </row>
    <row r="9" spans="2:9">
      <c r="B9" s="72"/>
    </row>
    <row r="10" spans="2:9">
      <c r="B10" s="73"/>
    </row>
    <row r="11" spans="2:9">
      <c r="B11" s="73"/>
    </row>
    <row r="12" spans="2:9">
      <c r="B12" s="73"/>
    </row>
    <row r="28" spans="2:9" ht="13">
      <c r="B28" s="74" t="s">
        <v>89</v>
      </c>
    </row>
    <row r="29" spans="2:9">
      <c r="B29" s="75" t="s">
        <v>196</v>
      </c>
    </row>
    <row r="30" spans="2:9" ht="22.5" customHeight="1">
      <c r="B30" s="78" t="s">
        <v>130</v>
      </c>
      <c r="C30" s="78"/>
      <c r="D30" s="78"/>
      <c r="E30" s="78"/>
      <c r="F30" s="78"/>
      <c r="G30" s="78"/>
      <c r="H30" s="78"/>
      <c r="I30" s="78"/>
    </row>
    <row r="31" spans="2:9">
      <c r="B31" s="76" t="s">
        <v>144</v>
      </c>
    </row>
    <row r="32" spans="2:9">
      <c r="B32" s="76" t="s">
        <v>147</v>
      </c>
    </row>
    <row r="33" spans="2:2">
      <c r="B33" s="76" t="s">
        <v>137</v>
      </c>
    </row>
    <row r="34" spans="2:2">
      <c r="B34" s="76" t="s">
        <v>136</v>
      </c>
    </row>
    <row r="35" spans="2:2">
      <c r="B35" s="76" t="s">
        <v>141</v>
      </c>
    </row>
    <row r="36" spans="2:2">
      <c r="B36" s="76" t="s">
        <v>178</v>
      </c>
    </row>
    <row r="37" spans="2:2">
      <c r="B37" s="76" t="s">
        <v>199</v>
      </c>
    </row>
    <row r="38" spans="2:2">
      <c r="B38" s="76" t="s">
        <v>244</v>
      </c>
    </row>
    <row r="40" spans="2:2">
      <c r="B40" s="75" t="s">
        <v>201</v>
      </c>
    </row>
    <row r="41" spans="2:2">
      <c r="B41" s="75" t="s">
        <v>202</v>
      </c>
    </row>
    <row r="42" spans="2:2">
      <c r="B42" s="75" t="s">
        <v>203</v>
      </c>
    </row>
    <row r="43" spans="2:2">
      <c r="B43" s="75" t="s">
        <v>131</v>
      </c>
    </row>
    <row r="44" spans="2:2">
      <c r="B44" s="75" t="s">
        <v>204</v>
      </c>
    </row>
    <row r="45" spans="2:2">
      <c r="B45" s="76"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52"/>
    <col min="22" max="23" width="12.26953125" style="52" bestFit="1" customWidth="1"/>
    <col min="24" max="30" width="9.1796875" style="52"/>
    <col min="31" max="32" width="9.1796875" style="51"/>
    <col min="33" max="16384" width="9.1796875" style="1"/>
  </cols>
  <sheetData>
    <row r="1" spans="2:31" ht="25.5" thickBot="1">
      <c r="B1" s="17" t="s">
        <v>68</v>
      </c>
      <c r="E1" s="9" t="s">
        <v>122</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52" t="s">
        <v>56</v>
      </c>
    </row>
    <row r="6" spans="2:31" ht="16" thickBot="1">
      <c r="B6" s="1" t="s">
        <v>17</v>
      </c>
      <c r="C6" s="3">
        <v>8</v>
      </c>
      <c r="D6" s="1" t="s">
        <v>24</v>
      </c>
      <c r="U6" s="52">
        <v>2</v>
      </c>
    </row>
    <row r="7" spans="2:31" ht="13" thickBot="1">
      <c r="C7" s="4"/>
    </row>
    <row r="8" spans="2:31" ht="13" thickBot="1">
      <c r="B8" s="12" t="s">
        <v>118</v>
      </c>
      <c r="C8" s="11">
        <f>C6/C5</f>
        <v>0.2</v>
      </c>
    </row>
    <row r="10" spans="2:31">
      <c r="B10" s="8" t="s">
        <v>18</v>
      </c>
      <c r="C10" s="1">
        <f>C5</f>
        <v>40</v>
      </c>
      <c r="V10" s="52" t="s">
        <v>212</v>
      </c>
      <c r="W10" s="52" t="s">
        <v>210</v>
      </c>
      <c r="X10" s="52" t="s">
        <v>213</v>
      </c>
      <c r="Y10" s="52" t="s">
        <v>211</v>
      </c>
      <c r="AA10" s="52" t="s">
        <v>224</v>
      </c>
      <c r="AB10" s="52" t="s">
        <v>225</v>
      </c>
    </row>
    <row r="11" spans="2:31" ht="15.5">
      <c r="B11" s="1" t="s">
        <v>60</v>
      </c>
      <c r="C11" s="7">
        <v>3</v>
      </c>
      <c r="U11" s="52" t="s">
        <v>206</v>
      </c>
      <c r="V11" s="55">
        <f>4*C5</f>
        <v>160</v>
      </c>
      <c r="W11" s="52">
        <f>$C$5</f>
        <v>40</v>
      </c>
      <c r="X11" s="52">
        <f>W11/SQRT(C20)</f>
        <v>23.094010767585033</v>
      </c>
      <c r="Y11" s="52">
        <f>TINV($C$4*2,$C$20-1)*X11</f>
        <v>67.434178433881996</v>
      </c>
      <c r="AA11" s="52">
        <f>V12+4*W12</f>
        <v>328</v>
      </c>
      <c r="AB11" s="52">
        <f>AA11/33</f>
        <v>9.9393939393939394</v>
      </c>
    </row>
    <row r="12" spans="2:31" ht="15.5">
      <c r="B12" s="1" t="s">
        <v>61</v>
      </c>
      <c r="C12" s="1">
        <f>C11*(C3+1)-2</f>
        <v>4</v>
      </c>
      <c r="U12" s="52" t="s">
        <v>207</v>
      </c>
      <c r="V12" s="55">
        <f>V11+C6</f>
        <v>168</v>
      </c>
      <c r="W12" s="52">
        <f>$C$5</f>
        <v>40</v>
      </c>
      <c r="X12" s="52">
        <f>W12/SQRT(D20)</f>
        <v>23.094010767585033</v>
      </c>
      <c r="Y12" s="52">
        <f>TINV($C$4*2,$D$20-1)*X12</f>
        <v>67.434178433881996</v>
      </c>
    </row>
    <row r="13" spans="2:31" ht="15.5">
      <c r="B13" s="1" t="s">
        <v>62</v>
      </c>
      <c r="C13" s="1">
        <f>TINV(C4,C12)</f>
        <v>2.7764451051977934</v>
      </c>
      <c r="Y13" s="52" t="b">
        <v>1</v>
      </c>
      <c r="AC13" s="52" t="b">
        <v>0</v>
      </c>
    </row>
    <row r="14" spans="2:31" ht="13">
      <c r="B14" s="1" t="s">
        <v>4</v>
      </c>
      <c r="C14" s="1">
        <f>SQRT((C3*C11*C6^2)/((C3+1)*C10^2))</f>
        <v>0.2449489742783178</v>
      </c>
      <c r="U14" s="52" t="s">
        <v>205</v>
      </c>
      <c r="V14" s="52" t="s">
        <v>208</v>
      </c>
      <c r="W14" s="52" t="s">
        <v>209</v>
      </c>
      <c r="Y14" s="55" t="s">
        <v>220</v>
      </c>
      <c r="AC14" s="55" t="s">
        <v>222</v>
      </c>
    </row>
    <row r="15" spans="2:31">
      <c r="U15" s="52">
        <v>0</v>
      </c>
      <c r="V15" s="52">
        <f>_xlfn.NORM.DIST($U15,$V$11,$C$5,FALSE)</f>
        <v>3.3457556441221339E-6</v>
      </c>
      <c r="W15" s="52">
        <f>_xlfn.NORM.DIST($U15,$V$12,$C$5,FALSE)</f>
        <v>1.4735766939134965E-6</v>
      </c>
      <c r="Y15" s="52" t="s">
        <v>217</v>
      </c>
      <c r="Z15" s="52" t="s">
        <v>214</v>
      </c>
      <c r="AA15" s="52" t="s">
        <v>215</v>
      </c>
      <c r="AC15" s="52" t="s">
        <v>217</v>
      </c>
      <c r="AD15" s="52" t="s">
        <v>214</v>
      </c>
      <c r="AE15" s="51" t="s">
        <v>215</v>
      </c>
    </row>
    <row r="16" spans="2:31">
      <c r="U16" s="52">
        <f>U15+$AB$11</f>
        <v>9.9393939393939394</v>
      </c>
      <c r="V16" s="52">
        <f t="shared" ref="V16:V47" si="0">_xlfn.NORM.DIST($U16,$V$11,$C$5,FALSE)</f>
        <v>8.7649394011783917E-6</v>
      </c>
      <c r="W16" s="52">
        <f t="shared" ref="W16:W47" si="1">_xlfn.NORM.DIST($U16,$V$12,$C$5,FALSE)</f>
        <v>4.0570518897450162E-6</v>
      </c>
      <c r="Y16" s="52" t="s">
        <v>216</v>
      </c>
      <c r="Z16" s="52">
        <f>$V$11-$W$11</f>
        <v>120</v>
      </c>
      <c r="AA16" s="52">
        <v>0</v>
      </c>
      <c r="AC16" s="52" t="s">
        <v>216</v>
      </c>
      <c r="AD16" s="52">
        <f>$V$11-$Y$11</f>
        <v>92.565821566118004</v>
      </c>
      <c r="AE16" s="51">
        <v>0</v>
      </c>
    </row>
    <row r="17" spans="2:31">
      <c r="B17" s="1" t="s">
        <v>6</v>
      </c>
      <c r="C17" s="1">
        <f>NCt(C13,C12,C14)</f>
        <v>0.96127583880847123</v>
      </c>
      <c r="U17" s="52">
        <f t="shared" ref="U17:U47" si="2">U16+$AB$11</f>
        <v>19.878787878787879</v>
      </c>
      <c r="V17" s="52">
        <f t="shared" si="0"/>
        <v>2.1586797882267536E-5</v>
      </c>
      <c r="W17" s="52">
        <f t="shared" si="1"/>
        <v>1.0501056362603924E-5</v>
      </c>
      <c r="Y17" s="52" t="s">
        <v>218</v>
      </c>
      <c r="Z17" s="52">
        <f>Z16</f>
        <v>120</v>
      </c>
      <c r="AA17" s="52">
        <f>IF(Y13,MAX($V$15:$V$47),0)</f>
        <v>9.9706267351264838E-3</v>
      </c>
      <c r="AC17" s="52" t="s">
        <v>218</v>
      </c>
      <c r="AD17" s="52">
        <f>AD16</f>
        <v>92.565821566118004</v>
      </c>
      <c r="AE17" s="51">
        <f>IF(AC13,MAX($V$15:$V$47),0)</f>
        <v>0</v>
      </c>
    </row>
    <row r="18" spans="2:31">
      <c r="B18" s="1" t="s">
        <v>58</v>
      </c>
      <c r="C18" s="1">
        <f>1-C17</f>
        <v>3.8724161191528772E-2</v>
      </c>
      <c r="E18" s="5"/>
      <c r="U18" s="52">
        <f t="shared" si="2"/>
        <v>29.81818181818182</v>
      </c>
      <c r="V18" s="52">
        <f t="shared" si="0"/>
        <v>4.9981828671086098E-5</v>
      </c>
      <c r="W18" s="52">
        <f t="shared" si="1"/>
        <v>2.5552890002204227E-5</v>
      </c>
      <c r="Y18" s="52" t="s">
        <v>219</v>
      </c>
      <c r="Z18" s="52" t="s">
        <v>214</v>
      </c>
      <c r="AA18" s="52" t="s">
        <v>215</v>
      </c>
      <c r="AC18" s="52" t="s">
        <v>219</v>
      </c>
      <c r="AD18" s="52" t="s">
        <v>214</v>
      </c>
      <c r="AE18" s="51" t="s">
        <v>215</v>
      </c>
    </row>
    <row r="19" spans="2:31" ht="15">
      <c r="C19" s="16" t="s">
        <v>63</v>
      </c>
      <c r="D19" s="16" t="s">
        <v>64</v>
      </c>
      <c r="E19" s="16" t="s">
        <v>66</v>
      </c>
      <c r="U19" s="52">
        <f t="shared" si="2"/>
        <v>39.757575757575758</v>
      </c>
      <c r="V19" s="52">
        <f t="shared" si="0"/>
        <v>1.0879793853904708E-4</v>
      </c>
      <c r="W19" s="52">
        <f t="shared" si="1"/>
        <v>5.8456346720510549E-5</v>
      </c>
      <c r="Y19" s="52" t="s">
        <v>216</v>
      </c>
      <c r="Z19" s="52">
        <f>$V$11+$W$11</f>
        <v>200</v>
      </c>
      <c r="AA19" s="52">
        <v>0</v>
      </c>
      <c r="AC19" s="52" t="s">
        <v>216</v>
      </c>
      <c r="AD19" s="52">
        <f>$V$11+$Y$11</f>
        <v>227.43417843388198</v>
      </c>
      <c r="AE19" s="51">
        <v>0</v>
      </c>
    </row>
    <row r="20" spans="2:31">
      <c r="B20" s="1" t="s">
        <v>11</v>
      </c>
      <c r="C20" s="1">
        <f>CEILING(C11,1)</f>
        <v>3</v>
      </c>
      <c r="D20" s="1">
        <f>C20*C3</f>
        <v>3</v>
      </c>
      <c r="E20" s="1">
        <f>C20+D20</f>
        <v>6</v>
      </c>
      <c r="U20" s="52">
        <f t="shared" si="2"/>
        <v>49.696969696969695</v>
      </c>
      <c r="V20" s="52">
        <f t="shared" si="0"/>
        <v>2.2264543783540088E-4</v>
      </c>
      <c r="W20" s="52">
        <f t="shared" si="1"/>
        <v>1.2572102811928031E-4</v>
      </c>
      <c r="Y20" s="52" t="s">
        <v>218</v>
      </c>
      <c r="Z20" s="52">
        <f>Z19</f>
        <v>200</v>
      </c>
      <c r="AA20" s="52">
        <f>AA17</f>
        <v>9.9706267351264838E-3</v>
      </c>
      <c r="AC20" s="52" t="s">
        <v>218</v>
      </c>
      <c r="AD20" s="52">
        <f>AD19</f>
        <v>227.43417843388198</v>
      </c>
      <c r="AE20" s="51">
        <f>AE17</f>
        <v>0</v>
      </c>
    </row>
    <row r="21" spans="2:31">
      <c r="U21" s="52">
        <f t="shared" si="2"/>
        <v>59.636363636363633</v>
      </c>
      <c r="V21" s="52">
        <f t="shared" si="0"/>
        <v>4.2834287111349645E-4</v>
      </c>
      <c r="W21" s="52">
        <f t="shared" si="1"/>
        <v>2.5419604341562314E-4</v>
      </c>
    </row>
    <row r="22" spans="2:31" ht="13">
      <c r="U22" s="52">
        <f t="shared" si="2"/>
        <v>69.575757575757578</v>
      </c>
      <c r="V22" s="52">
        <f t="shared" si="0"/>
        <v>7.7473628189698312E-4</v>
      </c>
      <c r="W22" s="52">
        <f t="shared" si="1"/>
        <v>4.8318590587977155E-4</v>
      </c>
      <c r="Y22" s="55" t="s">
        <v>221</v>
      </c>
      <c r="AC22" s="55" t="s">
        <v>223</v>
      </c>
    </row>
    <row r="23" spans="2:31">
      <c r="U23" s="52">
        <f t="shared" si="2"/>
        <v>79.515151515151516</v>
      </c>
      <c r="V23" s="52">
        <f t="shared" si="0"/>
        <v>1.3173490285471054E-3</v>
      </c>
      <c r="W23" s="52">
        <f t="shared" si="1"/>
        <v>8.6346420391826431E-4</v>
      </c>
      <c r="Y23" s="52" t="s">
        <v>217</v>
      </c>
      <c r="Z23" s="52" t="s">
        <v>214</v>
      </c>
      <c r="AA23" s="52" t="s">
        <v>215</v>
      </c>
      <c r="AC23" s="52" t="s">
        <v>217</v>
      </c>
      <c r="AD23" s="52" t="s">
        <v>214</v>
      </c>
      <c r="AE23" s="51" t="s">
        <v>215</v>
      </c>
    </row>
    <row r="24" spans="2:31">
      <c r="U24" s="52">
        <f t="shared" si="2"/>
        <v>89.454545454545453</v>
      </c>
      <c r="V24" s="52">
        <f t="shared" si="0"/>
        <v>2.1058742047565713E-3</v>
      </c>
      <c r="W24" s="52">
        <f t="shared" si="1"/>
        <v>1.4506379241390895E-3</v>
      </c>
      <c r="Y24" s="52" t="s">
        <v>216</v>
      </c>
      <c r="Z24" s="52">
        <f>$V$12-$W$12</f>
        <v>128</v>
      </c>
      <c r="AA24" s="52">
        <v>0</v>
      </c>
      <c r="AC24" s="52" t="s">
        <v>216</v>
      </c>
      <c r="AD24" s="52">
        <f>$V$12-$Y$12</f>
        <v>100.565821566118</v>
      </c>
      <c r="AE24" s="51">
        <v>0</v>
      </c>
    </row>
    <row r="25" spans="2:31" ht="20.25" customHeight="1">
      <c r="B25" s="44" t="s">
        <v>229</v>
      </c>
      <c r="C25" s="1">
        <f>16*C5^2/C6^2</f>
        <v>400</v>
      </c>
      <c r="D25" s="44" t="s">
        <v>230</v>
      </c>
      <c r="U25" s="52">
        <f t="shared" si="2"/>
        <v>99.393939393939391</v>
      </c>
      <c r="V25" s="52">
        <f t="shared" si="0"/>
        <v>3.164817002251043E-3</v>
      </c>
      <c r="W25" s="52">
        <f t="shared" si="1"/>
        <v>2.2911753328812823E-3</v>
      </c>
      <c r="Y25" s="52" t="s">
        <v>218</v>
      </c>
      <c r="Z25" s="52">
        <f>Z24</f>
        <v>128</v>
      </c>
      <c r="AA25" s="52">
        <f>IF(Y13,MAX($W$15:$W$47),0)</f>
        <v>9.9706267351264838E-3</v>
      </c>
      <c r="AC25" s="52" t="s">
        <v>218</v>
      </c>
      <c r="AD25" s="52">
        <f>AD24</f>
        <v>100.565821566118</v>
      </c>
      <c r="AE25" s="51">
        <f>IF(AC13,MAX($W$15:$W$47),0)</f>
        <v>0</v>
      </c>
    </row>
    <row r="26" spans="2:31">
      <c r="U26" s="52">
        <f t="shared" si="2"/>
        <v>109.33333333333333</v>
      </c>
      <c r="V26" s="52">
        <f t="shared" si="0"/>
        <v>4.4714604123635123E-3</v>
      </c>
      <c r="W26" s="52">
        <f t="shared" si="1"/>
        <v>3.4020620603069508E-3</v>
      </c>
      <c r="Y26" s="52" t="s">
        <v>219</v>
      </c>
      <c r="Z26" s="52" t="s">
        <v>214</v>
      </c>
      <c r="AA26" s="52" t="s">
        <v>215</v>
      </c>
      <c r="AC26" s="52" t="s">
        <v>219</v>
      </c>
      <c r="AD26" s="52" t="s">
        <v>214</v>
      </c>
      <c r="AE26" s="51" t="s">
        <v>215</v>
      </c>
    </row>
    <row r="27" spans="2:31">
      <c r="U27" s="52">
        <f t="shared" si="2"/>
        <v>119.27272727272727</v>
      </c>
      <c r="V27" s="52">
        <f t="shared" si="0"/>
        <v>5.9392934840752573E-3</v>
      </c>
      <c r="W27" s="52">
        <f t="shared" si="1"/>
        <v>4.749093798530557E-3</v>
      </c>
      <c r="Y27" s="52" t="s">
        <v>216</v>
      </c>
      <c r="Z27" s="52">
        <f>$V$12+$W$12</f>
        <v>208</v>
      </c>
      <c r="AA27" s="52">
        <v>0</v>
      </c>
      <c r="AC27" s="52" t="s">
        <v>216</v>
      </c>
      <c r="AD27" s="52">
        <f>$V$12+$Y$12</f>
        <v>235.43417843388198</v>
      </c>
      <c r="AE27" s="51">
        <v>0</v>
      </c>
    </row>
    <row r="28" spans="2:31">
      <c r="U28" s="52">
        <f t="shared" si="2"/>
        <v>129.21212121212122</v>
      </c>
      <c r="V28" s="52">
        <f t="shared" si="0"/>
        <v>7.4165988722577278E-3</v>
      </c>
      <c r="W28" s="52">
        <f t="shared" si="1"/>
        <v>6.2325227407400525E-3</v>
      </c>
      <c r="Y28" s="52" t="s">
        <v>218</v>
      </c>
      <c r="Z28" s="52">
        <f>Z27</f>
        <v>208</v>
      </c>
      <c r="AA28" s="52">
        <f>AA25</f>
        <v>9.9706267351264838E-3</v>
      </c>
      <c r="AC28" s="52" t="s">
        <v>218</v>
      </c>
      <c r="AD28" s="52">
        <f>AD27</f>
        <v>235.43417843388198</v>
      </c>
      <c r="AE28" s="51">
        <f>AE25</f>
        <v>0</v>
      </c>
    </row>
    <row r="29" spans="2:31">
      <c r="U29" s="52">
        <f t="shared" si="2"/>
        <v>139.15151515151516</v>
      </c>
      <c r="V29" s="52">
        <f t="shared" si="0"/>
        <v>8.7068167558675656E-3</v>
      </c>
      <c r="W29" s="52">
        <f t="shared" si="1"/>
        <v>7.6895620381677134E-3</v>
      </c>
      <c r="Y29" s="52" t="b">
        <v>1</v>
      </c>
    </row>
    <row r="30" spans="2:31" ht="13">
      <c r="U30" s="52">
        <f t="shared" si="2"/>
        <v>149.09090909090909</v>
      </c>
      <c r="V30" s="52">
        <f t="shared" si="0"/>
        <v>9.6094521114314744E-3</v>
      </c>
      <c r="W30" s="52">
        <f t="shared" si="1"/>
        <v>8.9191598458717939E-3</v>
      </c>
      <c r="Y30" s="55" t="s">
        <v>226</v>
      </c>
    </row>
    <row r="31" spans="2:31">
      <c r="U31" s="52">
        <f t="shared" si="2"/>
        <v>159.03030303030303</v>
      </c>
      <c r="V31" s="52">
        <f t="shared" si="0"/>
        <v>9.9706267351264838E-3</v>
      </c>
      <c r="W31" s="52">
        <f t="shared" si="1"/>
        <v>9.7259245972099086E-3</v>
      </c>
      <c r="Y31" s="52" t="s">
        <v>217</v>
      </c>
      <c r="Z31" s="52" t="s">
        <v>214</v>
      </c>
      <c r="AA31" s="52" t="s">
        <v>215</v>
      </c>
    </row>
    <row r="32" spans="2:31">
      <c r="U32" s="52">
        <f t="shared" si="2"/>
        <v>168.96969696969697</v>
      </c>
      <c r="V32" s="52">
        <f t="shared" si="0"/>
        <v>9.7259245972099086E-3</v>
      </c>
      <c r="W32" s="52">
        <f t="shared" si="1"/>
        <v>9.9706267351264838E-3</v>
      </c>
      <c r="Y32" s="52" t="s">
        <v>216</v>
      </c>
      <c r="Z32" s="52">
        <f>$V$12-$C$6</f>
        <v>160</v>
      </c>
      <c r="AA32" s="52">
        <v>0</v>
      </c>
    </row>
    <row r="33" spans="2:27">
      <c r="U33" s="52">
        <f t="shared" si="2"/>
        <v>178.90909090909091</v>
      </c>
      <c r="V33" s="52">
        <f t="shared" si="0"/>
        <v>8.9191598458717939E-3</v>
      </c>
      <c r="W33" s="52">
        <f t="shared" si="1"/>
        <v>9.6094521114314744E-3</v>
      </c>
      <c r="Y33" s="52" t="s">
        <v>218</v>
      </c>
      <c r="Z33" s="52">
        <f>Z32</f>
        <v>160</v>
      </c>
      <c r="AA33" s="52">
        <f>IF($Y$29,MAX($V$15:$W$47),0)</f>
        <v>9.9706267351264838E-3</v>
      </c>
    </row>
    <row r="34" spans="2:27">
      <c r="U34" s="52">
        <f t="shared" si="2"/>
        <v>188.84848484848484</v>
      </c>
      <c r="V34" s="52">
        <f t="shared" si="0"/>
        <v>7.6895620381677134E-3</v>
      </c>
      <c r="W34" s="52">
        <f t="shared" si="1"/>
        <v>8.7068167558675656E-3</v>
      </c>
      <c r="Y34" s="52" t="s">
        <v>219</v>
      </c>
      <c r="Z34" s="52" t="s">
        <v>214</v>
      </c>
      <c r="AA34" s="52" t="s">
        <v>215</v>
      </c>
    </row>
    <row r="35" spans="2:27">
      <c r="U35" s="52">
        <f t="shared" si="2"/>
        <v>198.78787878787878</v>
      </c>
      <c r="V35" s="52">
        <f t="shared" si="0"/>
        <v>6.2325227407400525E-3</v>
      </c>
      <c r="W35" s="52">
        <f t="shared" si="1"/>
        <v>7.4165988722577278E-3</v>
      </c>
      <c r="Y35" s="52" t="s">
        <v>216</v>
      </c>
      <c r="Z35" s="52">
        <f>$V$12</f>
        <v>168</v>
      </c>
      <c r="AA35" s="52">
        <v>0</v>
      </c>
    </row>
    <row r="36" spans="2:27" ht="13">
      <c r="D36" s="9" t="s">
        <v>81</v>
      </c>
      <c r="U36" s="52">
        <f t="shared" si="2"/>
        <v>208.72727272727272</v>
      </c>
      <c r="V36" s="52">
        <f t="shared" si="0"/>
        <v>4.7490937985305588E-3</v>
      </c>
      <c r="W36" s="52">
        <f t="shared" si="1"/>
        <v>5.939293484075259E-3</v>
      </c>
      <c r="Y36" s="52" t="s">
        <v>218</v>
      </c>
      <c r="Z36" s="52">
        <f>Z35</f>
        <v>168</v>
      </c>
      <c r="AA36" s="52">
        <f>AA33</f>
        <v>9.9706267351264838E-3</v>
      </c>
    </row>
    <row r="37" spans="2:27" ht="18">
      <c r="B37" s="28" t="s">
        <v>123</v>
      </c>
      <c r="U37" s="52">
        <f t="shared" si="2"/>
        <v>218.66666666666666</v>
      </c>
      <c r="V37" s="52">
        <f t="shared" si="0"/>
        <v>3.402062060306953E-3</v>
      </c>
      <c r="W37" s="52">
        <f t="shared" si="1"/>
        <v>4.4714604123635149E-3</v>
      </c>
    </row>
    <row r="38" spans="2:27">
      <c r="U38" s="52">
        <f t="shared" si="2"/>
        <v>228.60606060606059</v>
      </c>
      <c r="V38" s="52">
        <f t="shared" si="0"/>
        <v>2.2911753328812845E-3</v>
      </c>
      <c r="W38" s="52">
        <f t="shared" si="1"/>
        <v>3.164817002251043E-3</v>
      </c>
    </row>
    <row r="39" spans="2:27">
      <c r="U39" s="52">
        <f t="shared" si="2"/>
        <v>238.54545454545453</v>
      </c>
      <c r="V39" s="52">
        <f t="shared" si="0"/>
        <v>1.4506379241390902E-3</v>
      </c>
      <c r="W39" s="52">
        <f t="shared" si="1"/>
        <v>2.105874204756573E-3</v>
      </c>
    </row>
    <row r="40" spans="2:27">
      <c r="U40" s="52">
        <f t="shared" si="2"/>
        <v>248.48484848484847</v>
      </c>
      <c r="V40" s="52">
        <f t="shared" si="0"/>
        <v>8.6346420391826431E-4</v>
      </c>
      <c r="W40" s="52">
        <f t="shared" si="1"/>
        <v>1.3173490285471065E-3</v>
      </c>
    </row>
    <row r="41" spans="2:27">
      <c r="U41" s="52">
        <f t="shared" si="2"/>
        <v>258.42424242424244</v>
      </c>
      <c r="V41" s="52">
        <f t="shared" si="0"/>
        <v>4.8318590587977084E-4</v>
      </c>
      <c r="W41" s="52">
        <f t="shared" si="1"/>
        <v>7.7473628189698312E-4</v>
      </c>
    </row>
    <row r="42" spans="2:27">
      <c r="U42" s="52">
        <f t="shared" si="2"/>
        <v>268.36363636363637</v>
      </c>
      <c r="V42" s="52">
        <f t="shared" si="0"/>
        <v>2.5419604341562314E-4</v>
      </c>
      <c r="W42" s="52">
        <f t="shared" si="1"/>
        <v>4.2834287111349645E-4</v>
      </c>
    </row>
    <row r="43" spans="2:27">
      <c r="U43" s="52">
        <f t="shared" si="2"/>
        <v>278.30303030303031</v>
      </c>
      <c r="V43" s="52">
        <f t="shared" si="0"/>
        <v>1.2572102811928031E-4</v>
      </c>
      <c r="W43" s="52">
        <f t="shared" si="1"/>
        <v>2.2264543783540088E-4</v>
      </c>
    </row>
    <row r="44" spans="2:27">
      <c r="U44" s="52">
        <f t="shared" si="2"/>
        <v>288.24242424242425</v>
      </c>
      <c r="V44" s="52">
        <f t="shared" si="0"/>
        <v>5.8456346720510549E-5</v>
      </c>
      <c r="W44" s="52">
        <f t="shared" si="1"/>
        <v>1.0879793853904708E-4</v>
      </c>
    </row>
    <row r="45" spans="2:27">
      <c r="U45" s="52">
        <f t="shared" si="2"/>
        <v>298.18181818181819</v>
      </c>
      <c r="V45" s="52">
        <f t="shared" si="0"/>
        <v>2.5552890002204227E-5</v>
      </c>
      <c r="W45" s="52">
        <f t="shared" si="1"/>
        <v>4.9981828671086098E-5</v>
      </c>
    </row>
    <row r="46" spans="2:27">
      <c r="U46" s="52">
        <f t="shared" si="2"/>
        <v>308.12121212121212</v>
      </c>
      <c r="V46" s="52">
        <f t="shared" si="0"/>
        <v>1.0501056362603924E-5</v>
      </c>
      <c r="W46" s="52">
        <f t="shared" si="1"/>
        <v>2.1586797882267536E-5</v>
      </c>
    </row>
    <row r="47" spans="2:27">
      <c r="U47" s="52">
        <f t="shared" si="2"/>
        <v>318.06060606060606</v>
      </c>
      <c r="V47" s="52">
        <f t="shared" si="0"/>
        <v>4.0570518897450162E-6</v>
      </c>
      <c r="W47" s="52">
        <f t="shared" si="1"/>
        <v>8.7649394011783917E-6</v>
      </c>
    </row>
    <row r="48" spans="2:27">
      <c r="G48" s="6"/>
    </row>
    <row r="49" spans="7:7">
      <c r="G49" s="6"/>
    </row>
    <row r="50" spans="7:7">
      <c r="G50" s="6"/>
    </row>
    <row r="51" spans="7:7">
      <c r="G51" s="6"/>
    </row>
    <row r="66" spans="2:2" ht="13">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488950</xdr:colOff>
                    <xdr:row>7</xdr:row>
                    <xdr:rowOff>107950</xdr:rowOff>
                  </from>
                  <to>
                    <xdr:col>13</xdr:col>
                    <xdr:colOff>31750</xdr:colOff>
                    <xdr:row>8</xdr:row>
                    <xdr:rowOff>146050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488950</xdr:colOff>
                    <xdr:row>8</xdr:row>
                    <xdr:rowOff>146050</xdr:rowOff>
                  </from>
                  <to>
                    <xdr:col>13</xdr:col>
                    <xdr:colOff>31750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488950</xdr:colOff>
                    <xdr:row>10</xdr:row>
                    <xdr:rowOff>12700</xdr:rowOff>
                  </from>
                  <to>
                    <xdr:col>13</xdr:col>
                    <xdr:colOff>31750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117</v>
      </c>
      <c r="U5" s="1" t="s">
        <v>56</v>
      </c>
    </row>
    <row r="6" spans="2:31" ht="16" thickBot="1">
      <c r="B6" s="1" t="s">
        <v>17</v>
      </c>
      <c r="C6" s="3">
        <v>10</v>
      </c>
      <c r="D6" s="1" t="s">
        <v>24</v>
      </c>
      <c r="U6" s="1">
        <v>1</v>
      </c>
    </row>
    <row r="7" spans="2:31" ht="13" thickBot="1">
      <c r="C7" s="4"/>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ht="13">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ht="13">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125</v>
      </c>
      <c r="U45" s="1">
        <f t="shared" si="2"/>
        <v>154.54545454545459</v>
      </c>
      <c r="V45" s="1">
        <f t="shared" si="0"/>
        <v>1.919325201047218E-5</v>
      </c>
      <c r="W45" s="1">
        <f t="shared" si="1"/>
        <v>1.092015353404756E-4</v>
      </c>
    </row>
    <row r="46" spans="2:27" ht="13">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565150</xdr:colOff>
                    <xdr:row>7</xdr:row>
                    <xdr:rowOff>31750</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565150</xdr:colOff>
                    <xdr:row>8</xdr:row>
                    <xdr:rowOff>38100</xdr:rowOff>
                  </from>
                  <to>
                    <xdr:col>12</xdr:col>
                    <xdr:colOff>76200</xdr:colOff>
                    <xdr:row>9</xdr:row>
                    <xdr:rowOff>107950</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565150</xdr:colOff>
                    <xdr:row>9</xdr:row>
                    <xdr:rowOff>107950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122</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48" t="s">
        <v>231</v>
      </c>
    </row>
    <row r="8" spans="2:31" ht="13" thickBot="1">
      <c r="B8" s="12" t="s">
        <v>118</v>
      </c>
      <c r="C8" s="11">
        <f>C6/C5</f>
        <v>0.2</v>
      </c>
    </row>
    <row r="10" spans="2:31" ht="13"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ht="13">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336550</xdr:colOff>
                    <xdr:row>8</xdr:row>
                    <xdr:rowOff>114300</xdr:rowOff>
                  </from>
                  <to>
                    <xdr:col>12</xdr:col>
                    <xdr:colOff>488950</xdr:colOff>
                    <xdr:row>9</xdr:row>
                    <xdr:rowOff>184150</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336550</xdr:colOff>
                    <xdr:row>9</xdr:row>
                    <xdr:rowOff>184150</xdr:rowOff>
                  </from>
                  <to>
                    <xdr:col>12</xdr:col>
                    <xdr:colOff>488950</xdr:colOff>
                    <xdr:row>11</xdr:row>
                    <xdr:rowOff>31750</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336550</xdr:colOff>
                    <xdr:row>11</xdr:row>
                    <xdr:rowOff>31750</xdr:rowOff>
                  </from>
                  <to>
                    <xdr:col>12</xdr:col>
                    <xdr:colOff>488950</xdr:colOff>
                    <xdr:row>12</xdr:row>
                    <xdr:rowOff>69850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119</v>
      </c>
      <c r="C8" s="11">
        <f>C6/C10</f>
        <v>0.5</v>
      </c>
    </row>
    <row r="10" spans="2:31" ht="16"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ht="13">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ht="13">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107950</xdr:colOff>
                    <xdr:row>21</xdr:row>
                    <xdr:rowOff>76200</xdr:rowOff>
                  </from>
                  <to>
                    <xdr:col>2</xdr:col>
                    <xdr:colOff>533400</xdr:colOff>
                    <xdr:row>23</xdr:row>
                    <xdr:rowOff>31750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31750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374650</xdr:colOff>
                    <xdr:row>7</xdr:row>
                    <xdr:rowOff>222250</xdr:rowOff>
                  </from>
                  <to>
                    <xdr:col>11</xdr:col>
                    <xdr:colOff>527050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374650</xdr:colOff>
                    <xdr:row>9</xdr:row>
                    <xdr:rowOff>38100</xdr:rowOff>
                  </from>
                  <to>
                    <xdr:col>11</xdr:col>
                    <xdr:colOff>527050</xdr:colOff>
                    <xdr:row>10</xdr:row>
                    <xdr:rowOff>69850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374650</xdr:colOff>
                    <xdr:row>10</xdr:row>
                    <xdr:rowOff>69850</xdr:rowOff>
                  </from>
                  <to>
                    <xdr:col>11</xdr:col>
                    <xdr:colOff>527050</xdr:colOff>
                    <xdr:row>11</xdr:row>
                    <xdr:rowOff>107950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122</v>
      </c>
    </row>
    <row r="2" spans="2:31" ht="13.5" thickBot="1">
      <c r="B2" s="1" t="s">
        <v>1</v>
      </c>
      <c r="C2" s="2">
        <v>0.9</v>
      </c>
      <c r="D2" s="1" t="s">
        <v>21</v>
      </c>
      <c r="N2" s="4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3" thickBot="1">
      <c r="B8" s="12" t="s">
        <v>118</v>
      </c>
      <c r="C8" s="11">
        <f>C6/C5</f>
        <v>0.25</v>
      </c>
    </row>
    <row r="10" spans="2:31" ht="13"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ht="13">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603250</xdr:colOff>
                    <xdr:row>7</xdr:row>
                    <xdr:rowOff>184150</xdr:rowOff>
                  </from>
                  <to>
                    <xdr:col>13</xdr:col>
                    <xdr:colOff>146050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603250</xdr:colOff>
                    <xdr:row>9</xdr:row>
                    <xdr:rowOff>38100</xdr:rowOff>
                  </from>
                  <to>
                    <xdr:col>13</xdr:col>
                    <xdr:colOff>146050</xdr:colOff>
                    <xdr:row>10</xdr:row>
                    <xdr:rowOff>107950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603250</xdr:colOff>
                    <xdr:row>10</xdr:row>
                    <xdr:rowOff>107950</xdr:rowOff>
                  </from>
                  <to>
                    <xdr:col>13</xdr:col>
                    <xdr:colOff>146050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44" t="s">
        <v>232</v>
      </c>
      <c r="K7" s="9" t="str">
        <f>IF(C7&gt;=C6,"WARNING: Expected mean difference higher than maximum allowable difference.","")</f>
        <v/>
      </c>
    </row>
    <row r="8" spans="2:31" ht="16" thickBot="1">
      <c r="B8" s="12" t="s">
        <v>119</v>
      </c>
      <c r="C8" s="11">
        <f>C6/C5</f>
        <v>0.5</v>
      </c>
    </row>
    <row r="10" spans="2:31" ht="16"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ht="13">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ht="13">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107950</xdr:colOff>
                    <xdr:row>21</xdr:row>
                    <xdr:rowOff>76200</xdr:rowOff>
                  </from>
                  <to>
                    <xdr:col>2</xdr:col>
                    <xdr:colOff>527050</xdr:colOff>
                    <xdr:row>23</xdr:row>
                    <xdr:rowOff>31750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603250</xdr:colOff>
                    <xdr:row>21</xdr:row>
                    <xdr:rowOff>76200</xdr:rowOff>
                  </from>
                  <to>
                    <xdr:col>4</xdr:col>
                    <xdr:colOff>222250</xdr:colOff>
                    <xdr:row>23</xdr:row>
                    <xdr:rowOff>31750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488950</xdr:colOff>
                    <xdr:row>8</xdr:row>
                    <xdr:rowOff>69850</xdr:rowOff>
                  </from>
                  <to>
                    <xdr:col>12</xdr:col>
                    <xdr:colOff>31750</xdr:colOff>
                    <xdr:row>9</xdr:row>
                    <xdr:rowOff>107950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488950</xdr:colOff>
                    <xdr:row>9</xdr:row>
                    <xdr:rowOff>107950</xdr:rowOff>
                  </from>
                  <to>
                    <xdr:col>12</xdr:col>
                    <xdr:colOff>31750</xdr:colOff>
                    <xdr:row>10</xdr:row>
                    <xdr:rowOff>107950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488950</xdr:colOff>
                    <xdr:row>10</xdr:row>
                    <xdr:rowOff>107950</xdr:rowOff>
                  </from>
                  <to>
                    <xdr:col>12</xdr:col>
                    <xdr:colOff>31750</xdr:colOff>
                    <xdr:row>11</xdr:row>
                    <xdr:rowOff>146050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122</v>
      </c>
    </row>
    <row r="2" spans="2:31" ht="13.5" thickBot="1">
      <c r="B2" s="1" t="s">
        <v>1</v>
      </c>
      <c r="C2" s="2">
        <v>0.9</v>
      </c>
    </row>
    <row r="3" spans="2:31" ht="13.5" thickBot="1">
      <c r="B3" s="1" t="s">
        <v>233</v>
      </c>
      <c r="C3" s="49">
        <v>1</v>
      </c>
      <c r="D3" s="1" t="s">
        <v>234</v>
      </c>
    </row>
    <row r="4" spans="2:31" ht="13.5" thickBot="1">
      <c r="B4" s="8" t="s">
        <v>59</v>
      </c>
      <c r="C4" s="2">
        <v>0.05</v>
      </c>
    </row>
    <row r="5" spans="2:31" ht="13.5" thickBot="1">
      <c r="B5" s="44" t="s">
        <v>237</v>
      </c>
      <c r="C5" s="43">
        <v>0.8</v>
      </c>
      <c r="D5" s="77" t="s">
        <v>248</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3" thickBot="1">
      <c r="B10" s="12" t="s">
        <v>18</v>
      </c>
      <c r="C10" s="1">
        <f>SQRT(LN((C5)^2+1))</f>
        <v>0.70334645931866824</v>
      </c>
      <c r="V10" s="44" t="s">
        <v>212</v>
      </c>
      <c r="W10" s="44" t="s">
        <v>210</v>
      </c>
      <c r="X10" s="44" t="s">
        <v>213</v>
      </c>
      <c r="Y10" s="44" t="s">
        <v>211</v>
      </c>
      <c r="AA10" s="44" t="s">
        <v>224</v>
      </c>
      <c r="AB10" s="44" t="s">
        <v>225</v>
      </c>
    </row>
    <row r="11" spans="2:31" ht="16" thickBot="1">
      <c r="B11" s="1" t="s">
        <v>35</v>
      </c>
      <c r="C11" s="7">
        <v>3</v>
      </c>
      <c r="U11" s="44" t="s">
        <v>206</v>
      </c>
      <c r="V11" s="45">
        <f>C6</f>
        <v>1</v>
      </c>
      <c r="W11" s="1">
        <f>$C$10</f>
        <v>0.70334645931866824</v>
      </c>
      <c r="X11" s="1">
        <f>W11/SQRT(C20)</f>
        <v>0.40607726762120328</v>
      </c>
      <c r="Y11" s="1">
        <f>TINV($C$4*2,$C$20-2)*X11</f>
        <v>2.5638709635184753</v>
      </c>
      <c r="AA11" s="46">
        <f>V11+4*W11</f>
        <v>3.813385837274673</v>
      </c>
      <c r="AB11" s="1">
        <f>AA11/33</f>
        <v>0.11555714658408101</v>
      </c>
    </row>
    <row r="12" spans="2:31" ht="15.5">
      <c r="B12" s="1" t="s">
        <v>36</v>
      </c>
      <c r="C12" s="1">
        <f>C11*(C3+1)-2</f>
        <v>4</v>
      </c>
      <c r="U12" s="44"/>
    </row>
    <row r="13" spans="2:31" ht="15.5">
      <c r="B13" s="1" t="s">
        <v>37</v>
      </c>
      <c r="C13" s="1">
        <f>TINV(C4*2,C12)</f>
        <v>2.1318467863266499</v>
      </c>
      <c r="Y13" s="1" t="b">
        <v>0</v>
      </c>
      <c r="AC13" s="1" t="b">
        <v>1</v>
      </c>
    </row>
    <row r="14" spans="2:31" ht="13">
      <c r="B14" s="1" t="s">
        <v>3</v>
      </c>
      <c r="C14" s="1">
        <f>SQRT(C3*C11)*(LN(C6)-LN(C8))/SQRT((C3+1)*C10^2)</f>
        <v>-0.38856230302335509</v>
      </c>
      <c r="U14" s="44" t="s">
        <v>205</v>
      </c>
      <c r="V14" s="44" t="s">
        <v>227</v>
      </c>
      <c r="W14" s="44"/>
      <c r="Y14" s="9" t="s">
        <v>220</v>
      </c>
      <c r="AC14" s="9" t="s">
        <v>222</v>
      </c>
    </row>
    <row r="15" spans="2:31">
      <c r="B15" s="1" t="s">
        <v>4</v>
      </c>
      <c r="C15" s="1">
        <f>SQRT(C3*C11)*(LN(C6)-LN(C7))/SQRT((C3+1)*C10^2)</f>
        <v>0.38856230302335498</v>
      </c>
      <c r="N15" s="44" t="s">
        <v>245</v>
      </c>
      <c r="U15" s="1">
        <v>0</v>
      </c>
      <c r="V15" s="1">
        <f>_xlfn.NORM.DIST($U15,$V$11,$C$5,FALSE)</f>
        <v>0.22831135673627737</v>
      </c>
      <c r="Y15" s="44" t="s">
        <v>217</v>
      </c>
      <c r="Z15" s="44" t="s">
        <v>214</v>
      </c>
      <c r="AA15" s="44" t="s">
        <v>215</v>
      </c>
      <c r="AC15" s="44" t="s">
        <v>217</v>
      </c>
      <c r="AD15" s="44" t="s">
        <v>214</v>
      </c>
      <c r="AE15" s="44" t="s">
        <v>215</v>
      </c>
    </row>
    <row r="16" spans="2:31">
      <c r="B16" s="1" t="s">
        <v>7</v>
      </c>
      <c r="C16" s="1">
        <f>NCt(-C13,C12,C14)</f>
        <v>9.3923115503076415E-2</v>
      </c>
      <c r="N16" s="44" t="s">
        <v>246</v>
      </c>
      <c r="U16" s="1">
        <f>U15+$AB$11</f>
        <v>0.11555714658408101</v>
      </c>
      <c r="V16" s="1">
        <f t="shared" ref="V16:V47" si="0">_xlfn.NORM.DIST($U16,$V$11,$C$5,FALSE)</f>
        <v>0.27065256559820106</v>
      </c>
      <c r="Y16" s="44" t="s">
        <v>216</v>
      </c>
      <c r="Z16" s="1">
        <f>$V$11-$W$11</f>
        <v>0.29665354068133176</v>
      </c>
      <c r="AA16" s="1">
        <v>0</v>
      </c>
      <c r="AC16" s="44" t="s">
        <v>216</v>
      </c>
      <c r="AD16" s="1">
        <f>$V$11-$Y$11</f>
        <v>-1.5638709635184753</v>
      </c>
      <c r="AE16" s="1">
        <v>0</v>
      </c>
    </row>
    <row r="17" spans="2:31" ht="13.5" thickBot="1">
      <c r="B17" s="1" t="s">
        <v>6</v>
      </c>
      <c r="C17" s="1">
        <f>NCt(C13,C12,C15)</f>
        <v>0.90607688449692358</v>
      </c>
      <c r="N17" s="57" t="s">
        <v>247</v>
      </c>
      <c r="O17" s="58"/>
      <c r="P17" s="59"/>
      <c r="U17" s="1">
        <f t="shared" ref="U17:U47" si="1">U16+$AB$11</f>
        <v>0.23111429316816201</v>
      </c>
      <c r="V17" s="1">
        <f t="shared" si="0"/>
        <v>0.314221086732277</v>
      </c>
      <c r="Y17" s="44" t="s">
        <v>218</v>
      </c>
      <c r="Z17" s="1">
        <f>Z16</f>
        <v>0.29665354068133176</v>
      </c>
      <c r="AA17" s="1">
        <f>IF(Y13,MAX($V$15:$V$47),0)</f>
        <v>0</v>
      </c>
      <c r="AC17" s="44" t="s">
        <v>218</v>
      </c>
      <c r="AD17" s="1">
        <f>AD16</f>
        <v>-1.5638709635184753</v>
      </c>
      <c r="AE17" s="1">
        <f>IF(AC13,MAX($V$15:$V$47),0)</f>
        <v>0.49805444680287991</v>
      </c>
    </row>
    <row r="18" spans="2:31" ht="13.5" thickBot="1">
      <c r="B18" s="1" t="s">
        <v>58</v>
      </c>
      <c r="C18" s="1">
        <f>C16-C17</f>
        <v>-0.81215376899384717</v>
      </c>
      <c r="E18" s="5"/>
      <c r="N18" s="60" t="s">
        <v>238</v>
      </c>
      <c r="O18" s="65">
        <v>0.3</v>
      </c>
      <c r="P18" s="61"/>
      <c r="U18" s="1">
        <f t="shared" si="1"/>
        <v>0.34667143975224302</v>
      </c>
      <c r="V18" s="1">
        <f t="shared" si="0"/>
        <v>0.35727041047792041</v>
      </c>
      <c r="Y18" s="44" t="s">
        <v>219</v>
      </c>
      <c r="Z18" s="44" t="s">
        <v>214</v>
      </c>
      <c r="AA18" s="44" t="s">
        <v>215</v>
      </c>
      <c r="AC18" s="44" t="s">
        <v>219</v>
      </c>
      <c r="AD18" s="44" t="s">
        <v>214</v>
      </c>
      <c r="AE18" s="44" t="s">
        <v>215</v>
      </c>
    </row>
    <row r="19" spans="2:31" ht="15.5" thickBot="1">
      <c r="C19" s="16" t="s">
        <v>63</v>
      </c>
      <c r="D19" s="16" t="s">
        <v>64</v>
      </c>
      <c r="E19" s="16" t="s">
        <v>66</v>
      </c>
      <c r="N19" s="60" t="s">
        <v>239</v>
      </c>
      <c r="O19" s="65">
        <v>0.2</v>
      </c>
      <c r="P19" s="61"/>
      <c r="U19" s="1">
        <f t="shared" si="1"/>
        <v>0.46222858633632402</v>
      </c>
      <c r="V19" s="1">
        <f t="shared" si="0"/>
        <v>0.39782980438758542</v>
      </c>
      <c r="Y19" s="44" t="s">
        <v>216</v>
      </c>
      <c r="Z19" s="1">
        <f>$V$11+$W$11</f>
        <v>1.7033464593186682</v>
      </c>
      <c r="AA19" s="1">
        <v>0</v>
      </c>
      <c r="AC19" s="44" t="s">
        <v>216</v>
      </c>
      <c r="AD19" s="1">
        <f>$V$11+$Y$11</f>
        <v>3.5638709635184753</v>
      </c>
      <c r="AE19" s="1">
        <v>0</v>
      </c>
    </row>
    <row r="20" spans="2:31" ht="13">
      <c r="B20" s="1" t="s">
        <v>11</v>
      </c>
      <c r="C20" s="1">
        <f>CEILING(C11,1)</f>
        <v>3</v>
      </c>
      <c r="D20" s="1">
        <f>C20*C3</f>
        <v>3</v>
      </c>
      <c r="E20" s="1">
        <f>C20+D20</f>
        <v>6</v>
      </c>
      <c r="N20" s="62" t="s">
        <v>240</v>
      </c>
      <c r="O20" s="63">
        <f>SQRT(EXP(AVERAGE(LN(O18^2+1),LN(O19^2+1)))-1)</f>
        <v>0.25437478714780926</v>
      </c>
      <c r="P20" s="64"/>
      <c r="U20" s="1">
        <f t="shared" si="1"/>
        <v>0.57778573292040503</v>
      </c>
      <c r="V20" s="1">
        <f t="shared" si="0"/>
        <v>0.4338465299206547</v>
      </c>
      <c r="Y20" s="44" t="s">
        <v>218</v>
      </c>
      <c r="Z20" s="1">
        <f>Z19</f>
        <v>1.7033464593186682</v>
      </c>
      <c r="AA20" s="1">
        <f>AA17</f>
        <v>0</v>
      </c>
      <c r="AC20" s="44" t="s">
        <v>218</v>
      </c>
      <c r="AD20" s="1">
        <f>AD19</f>
        <v>3.5638709635184753</v>
      </c>
      <c r="AE20" s="1">
        <f>AE17</f>
        <v>0.49805444680287991</v>
      </c>
    </row>
    <row r="21" spans="2:31">
      <c r="U21" s="1">
        <f t="shared" si="1"/>
        <v>0.69334287950448603</v>
      </c>
      <c r="V21" s="1">
        <f t="shared" si="0"/>
        <v>0.46335460617253399</v>
      </c>
    </row>
    <row r="22" spans="2:31" ht="13">
      <c r="U22" s="1">
        <f t="shared" si="1"/>
        <v>0.80890002608856704</v>
      </c>
      <c r="V22" s="1">
        <f t="shared" si="0"/>
        <v>0.48465130425812258</v>
      </c>
      <c r="Y22" s="9"/>
      <c r="AC22" s="9"/>
    </row>
    <row r="23" spans="2:31">
      <c r="U23" s="1">
        <f t="shared" si="1"/>
        <v>0.92445717267264804</v>
      </c>
      <c r="V23" s="1">
        <f t="shared" si="0"/>
        <v>0.4964595069001882</v>
      </c>
      <c r="Y23" s="44"/>
      <c r="Z23" s="44"/>
      <c r="AA23" s="44"/>
      <c r="AC23" s="44"/>
      <c r="AD23" s="44"/>
      <c r="AE23" s="44"/>
    </row>
    <row r="24" spans="2:31">
      <c r="U24" s="1">
        <f t="shared" si="1"/>
        <v>1.040014319256729</v>
      </c>
      <c r="V24" s="1">
        <f t="shared" si="0"/>
        <v>0.49805444680287991</v>
      </c>
      <c r="Y24" s="44"/>
      <c r="AC24" s="44"/>
    </row>
    <row r="25" spans="2:31">
      <c r="U25" s="1">
        <f t="shared" si="1"/>
        <v>1.1555714658408101</v>
      </c>
      <c r="V25" s="1">
        <f t="shared" si="0"/>
        <v>0.48933734016603508</v>
      </c>
      <c r="Y25" s="44"/>
      <c r="AC25" s="44"/>
    </row>
    <row r="26" spans="2:31">
      <c r="U26" s="1">
        <f t="shared" si="1"/>
        <v>1.2711286124248911</v>
      </c>
      <c r="V26" s="1">
        <f t="shared" si="0"/>
        <v>0.47084551359267213</v>
      </c>
      <c r="Y26" s="44"/>
      <c r="Z26" s="44"/>
      <c r="AA26" s="44"/>
      <c r="AC26" s="44"/>
      <c r="AD26" s="44"/>
      <c r="AE26" s="44"/>
    </row>
    <row r="27" spans="2:31">
      <c r="U27" s="1">
        <f t="shared" si="1"/>
        <v>1.3866857590089721</v>
      </c>
      <c r="V27" s="1">
        <f t="shared" si="0"/>
        <v>0.44369758091411332</v>
      </c>
      <c r="Y27" s="44"/>
      <c r="AC27" s="44"/>
    </row>
    <row r="28" spans="2:31">
      <c r="U28" s="1">
        <f t="shared" si="1"/>
        <v>1.5022429055930531</v>
      </c>
      <c r="V28" s="1">
        <f t="shared" si="0"/>
        <v>0.40948144746086385</v>
      </c>
      <c r="Y28" s="44"/>
      <c r="AC28" s="44"/>
    </row>
    <row r="29" spans="2:31">
      <c r="U29" s="1">
        <f t="shared" si="1"/>
        <v>1.6178000521771341</v>
      </c>
      <c r="V29" s="1">
        <f t="shared" si="0"/>
        <v>0.3701007313487899</v>
      </c>
      <c r="Y29" s="1" t="b">
        <v>1</v>
      </c>
    </row>
    <row r="30" spans="2:31" ht="13">
      <c r="U30" s="1">
        <f t="shared" si="1"/>
        <v>1.7333571987612151</v>
      </c>
      <c r="V30" s="1">
        <f t="shared" si="0"/>
        <v>0.32760023258826015</v>
      </c>
      <c r="Y30" s="9" t="s">
        <v>228</v>
      </c>
    </row>
    <row r="31" spans="2:31">
      <c r="U31" s="1">
        <f t="shared" si="1"/>
        <v>1.8489143453452961</v>
      </c>
      <c r="V31" s="1">
        <f t="shared" si="0"/>
        <v>0.28399258718598064</v>
      </c>
      <c r="Y31" s="44" t="s">
        <v>217</v>
      </c>
      <c r="Z31" s="44" t="s">
        <v>214</v>
      </c>
      <c r="AA31" s="44" t="s">
        <v>215</v>
      </c>
    </row>
    <row r="32" spans="2:31">
      <c r="U32" s="1">
        <f t="shared" si="1"/>
        <v>1.9644714919293771</v>
      </c>
      <c r="V32" s="1">
        <f t="shared" si="0"/>
        <v>0.24110618514069843</v>
      </c>
      <c r="Y32" s="44" t="s">
        <v>216</v>
      </c>
      <c r="Z32" s="32">
        <f>C7</f>
        <v>0.8</v>
      </c>
      <c r="AA32" s="1">
        <v>0</v>
      </c>
    </row>
    <row r="33" spans="2:27">
      <c r="U33" s="1">
        <f t="shared" si="1"/>
        <v>2.0800286385134581</v>
      </c>
      <c r="V33" s="1">
        <f t="shared" si="0"/>
        <v>0.20046947062820525</v>
      </c>
      <c r="Y33" s="44" t="s">
        <v>218</v>
      </c>
      <c r="Z33" s="32">
        <f>Z32</f>
        <v>0.8</v>
      </c>
      <c r="AA33" s="1">
        <f>IF($Y$29,MAX($V$15:$W$47),0)</f>
        <v>0.49805444680287991</v>
      </c>
    </row>
    <row r="34" spans="2:27">
      <c r="U34" s="1">
        <f t="shared" si="1"/>
        <v>2.1955857850975393</v>
      </c>
      <c r="V34" s="1">
        <f t="shared" si="0"/>
        <v>0.16324003535956169</v>
      </c>
      <c r="Y34" s="44" t="s">
        <v>219</v>
      </c>
      <c r="Z34" s="44" t="s">
        <v>214</v>
      </c>
      <c r="AA34" s="44" t="s">
        <v>215</v>
      </c>
    </row>
    <row r="35" spans="2:27">
      <c r="U35" s="1">
        <f t="shared" si="1"/>
        <v>2.3111429316816201</v>
      </c>
      <c r="V35" s="1">
        <f t="shared" si="0"/>
        <v>0.13017981841469306</v>
      </c>
      <c r="Y35" s="44" t="s">
        <v>216</v>
      </c>
      <c r="Z35" s="32">
        <f>C8</f>
        <v>1.25</v>
      </c>
      <c r="AA35" s="1">
        <v>0</v>
      </c>
    </row>
    <row r="36" spans="2:27">
      <c r="U36" s="1">
        <f t="shared" si="1"/>
        <v>2.4267000782657009</v>
      </c>
      <c r="V36" s="1">
        <f t="shared" si="0"/>
        <v>0.10167148978353269</v>
      </c>
      <c r="Y36" s="44" t="s">
        <v>218</v>
      </c>
      <c r="Z36" s="32">
        <f>Z35</f>
        <v>1.25</v>
      </c>
      <c r="AA36" s="1">
        <f>AA33</f>
        <v>0.49805444680287991</v>
      </c>
    </row>
    <row r="37" spans="2:27">
      <c r="U37" s="1">
        <f t="shared" si="1"/>
        <v>2.5422572248497817</v>
      </c>
      <c r="V37" s="1">
        <f t="shared" si="0"/>
        <v>7.7766626143932732E-2</v>
      </c>
    </row>
    <row r="38" spans="2:27">
      <c r="U38" s="1">
        <f t="shared" si="1"/>
        <v>2.6578143714338625</v>
      </c>
      <c r="V38" s="1">
        <f t="shared" si="0"/>
        <v>5.825401628546005E-2</v>
      </c>
    </row>
    <row r="39" spans="2:27">
      <c r="U39" s="1">
        <f t="shared" si="1"/>
        <v>2.7733715180179432</v>
      </c>
      <c r="V39" s="1">
        <f t="shared" si="0"/>
        <v>4.2736311146241344E-2</v>
      </c>
    </row>
    <row r="40" spans="2:27">
      <c r="U40" s="1">
        <f t="shared" si="1"/>
        <v>2.888928664602024</v>
      </c>
      <c r="V40" s="1">
        <f t="shared" si="0"/>
        <v>3.0704832810818952E-2</v>
      </c>
    </row>
    <row r="41" spans="2:27">
      <c r="U41" s="1">
        <f t="shared" si="1"/>
        <v>3.0044858111861048</v>
      </c>
      <c r="V41" s="1">
        <f t="shared" si="0"/>
        <v>2.1605035584469263E-2</v>
      </c>
    </row>
    <row r="42" spans="2:27">
      <c r="U42" s="1">
        <f t="shared" si="1"/>
        <v>3.1200429577701856</v>
      </c>
      <c r="V42" s="1">
        <f t="shared" si="0"/>
        <v>1.4888185783989533E-2</v>
      </c>
    </row>
    <row r="43" spans="2:27">
      <c r="U43" s="1">
        <f t="shared" si="1"/>
        <v>3.2356001043542664</v>
      </c>
      <c r="V43" s="1">
        <f t="shared" si="0"/>
        <v>1.0047710600097437E-2</v>
      </c>
    </row>
    <row r="44" spans="2:27" ht="20.25" customHeight="1">
      <c r="U44" s="1">
        <f t="shared" si="1"/>
        <v>3.3511572509383472</v>
      </c>
      <c r="V44" s="1">
        <f t="shared" si="0"/>
        <v>6.640962083123661E-3</v>
      </c>
    </row>
    <row r="45" spans="2:27" ht="18">
      <c r="B45" s="28" t="s">
        <v>123</v>
      </c>
      <c r="U45" s="1">
        <f t="shared" si="1"/>
        <v>3.4667143975224279</v>
      </c>
      <c r="V45" s="1">
        <f t="shared" si="0"/>
        <v>4.2986632849936453E-3</v>
      </c>
    </row>
    <row r="46" spans="2:27">
      <c r="U46" s="1">
        <f t="shared" si="1"/>
        <v>3.5822715441065087</v>
      </c>
      <c r="V46" s="1">
        <f t="shared" si="0"/>
        <v>2.7250495290019753E-3</v>
      </c>
    </row>
    <row r="47" spans="2:27">
      <c r="U47" s="1">
        <f t="shared" si="1"/>
        <v>3.6978286906905895</v>
      </c>
      <c r="V47" s="1">
        <f t="shared" si="0"/>
        <v>1.691819073603052E-3</v>
      </c>
    </row>
    <row r="59" spans="2:2" ht="13">
      <c r="B59" s="9" t="s">
        <v>125</v>
      </c>
    </row>
    <row r="61" spans="2:2" ht="13">
      <c r="B61" s="9" t="s">
        <v>236</v>
      </c>
    </row>
    <row r="67" spans="2:7" ht="13">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165100</xdr:colOff>
                    <xdr:row>6</xdr:row>
                    <xdr:rowOff>69850</xdr:rowOff>
                  </from>
                  <to>
                    <xdr:col>12</xdr:col>
                    <xdr:colOff>317500</xdr:colOff>
                    <xdr:row>7</xdr:row>
                    <xdr:rowOff>107950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165100</xdr:colOff>
                    <xdr:row>7</xdr:row>
                    <xdr:rowOff>107950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165100</xdr:colOff>
                    <xdr:row>8</xdr:row>
                    <xdr:rowOff>152400</xdr:rowOff>
                  </from>
                  <to>
                    <xdr:col>12</xdr:col>
                    <xdr:colOff>317500</xdr:colOff>
                    <xdr:row>10</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topLeftCell="D4"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122</v>
      </c>
      <c r="J1" s="44"/>
      <c r="K1" s="44"/>
      <c r="L1" s="44"/>
      <c r="M1" s="44"/>
      <c r="N1" s="44"/>
      <c r="O1" s="44"/>
    </row>
    <row r="2" spans="2:31" ht="13.5" thickBot="1">
      <c r="B2" s="1" t="s">
        <v>1</v>
      </c>
      <c r="C2" s="2">
        <v>0.9</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 thickBot="1">
      <c r="B5" s="1" t="s">
        <v>120</v>
      </c>
      <c r="C5" s="43">
        <v>0.25</v>
      </c>
      <c r="D5" s="1" t="s">
        <v>127</v>
      </c>
      <c r="U5" s="1" t="s">
        <v>56</v>
      </c>
    </row>
    <row r="6" spans="2:31" ht="16" thickBot="1">
      <c r="B6" s="1" t="s">
        <v>34</v>
      </c>
      <c r="C6" s="43">
        <v>1</v>
      </c>
      <c r="D6" s="1" t="str">
        <f>IF(C6=1,"","(to "&amp;ROUND(100/C6,1)&amp;"%)")&amp;IF(OR($C$6&lt;$C$7,$C$6&gt;$C$8)," WARNING: Ratio outside BE limits.","")</f>
        <v/>
      </c>
      <c r="U6" s="1">
        <v>1</v>
      </c>
    </row>
    <row r="7" spans="2:31" ht="13.5" thickBot="1">
      <c r="B7" s="1" t="s">
        <v>9</v>
      </c>
      <c r="C7" s="13">
        <v>0.8</v>
      </c>
    </row>
    <row r="8" spans="2:31" ht="13.5" thickBot="1">
      <c r="B8" s="1" t="s">
        <v>10</v>
      </c>
      <c r="C8" s="13">
        <f>1/C7</f>
        <v>1.25</v>
      </c>
    </row>
    <row r="10" spans="2:31" ht="16"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1</v>
      </c>
      <c r="W11" s="1">
        <f>$C$10</f>
        <v>0.24622067706923975</v>
      </c>
      <c r="X11" s="1">
        <f>W11/SQRT(C20)</f>
        <v>4.6531334226225157E-2</v>
      </c>
      <c r="Y11" s="1">
        <f>TINV($C$4*2,$C$20-2)*X11</f>
        <v>7.936467748655765E-2</v>
      </c>
      <c r="AA11" s="46">
        <f>V11+4*W11</f>
        <v>1.9848827082769591</v>
      </c>
      <c r="AB11" s="1">
        <f>AA11/33</f>
        <v>6.0147960856877548E-2</v>
      </c>
    </row>
    <row r="12" spans="2:31">
      <c r="B12" s="1" t="s">
        <v>2</v>
      </c>
      <c r="C12" s="1">
        <f>C11-2</f>
        <v>26</v>
      </c>
      <c r="U12" s="44"/>
    </row>
    <row r="13" spans="2:31">
      <c r="B13" s="1" t="s">
        <v>8</v>
      </c>
      <c r="C13" s="1">
        <f>TINV(C4*2,C12)</f>
        <v>1.7056179197592738</v>
      </c>
      <c r="Y13" s="1" t="b">
        <v>0</v>
      </c>
      <c r="AC13" s="1" t="b">
        <v>1</v>
      </c>
    </row>
    <row r="14" spans="2:31" ht="13">
      <c r="B14" s="1" t="s">
        <v>3</v>
      </c>
      <c r="C14" s="1">
        <f>(SQRT(C11)*(LN(C6)-LN(C8)))/(SQRT(2*C10^2))</f>
        <v>-3.3909691380265081</v>
      </c>
      <c r="U14" s="44" t="s">
        <v>205</v>
      </c>
      <c r="V14" s="44" t="s">
        <v>227</v>
      </c>
      <c r="W14" s="44"/>
      <c r="Y14" s="9" t="s">
        <v>220</v>
      </c>
      <c r="AC14" s="9" t="s">
        <v>222</v>
      </c>
    </row>
    <row r="15" spans="2:31">
      <c r="B15" s="1" t="s">
        <v>4</v>
      </c>
      <c r="C15" s="1">
        <f>(SQRT(C11)*(LN(C6)-LN(C7)))/(SQRT(2*C10^2))</f>
        <v>3.3909691380265072</v>
      </c>
      <c r="U15" s="1">
        <v>0</v>
      </c>
      <c r="V15" s="1">
        <f>_xlfn.NORM.DIST($U15,$V$11,$C$5,FALSE)</f>
        <v>5.3532090305954147E-4</v>
      </c>
      <c r="Y15" s="44" t="s">
        <v>217</v>
      </c>
      <c r="Z15" s="44" t="s">
        <v>214</v>
      </c>
      <c r="AA15" s="44" t="s">
        <v>215</v>
      </c>
      <c r="AC15" s="44" t="s">
        <v>217</v>
      </c>
      <c r="AD15" s="44" t="s">
        <v>214</v>
      </c>
      <c r="AE15" s="44" t="s">
        <v>215</v>
      </c>
    </row>
    <row r="16" spans="2:31">
      <c r="B16" s="1" t="s">
        <v>7</v>
      </c>
      <c r="C16" s="1">
        <f>NCt(-C13,C12,C14)</f>
        <v>0.95113011833985861</v>
      </c>
      <c r="U16" s="1">
        <f>U15+$AB$11</f>
        <v>6.0147960856877548E-2</v>
      </c>
      <c r="V16" s="1">
        <f t="shared" ref="V16:V47" si="0">_xlfn.NORM.DIST($U16,$V$11,$C$5,FALSE)</f>
        <v>1.3614308782823046E-3</v>
      </c>
      <c r="Y16" s="44" t="s">
        <v>216</v>
      </c>
      <c r="Z16" s="1">
        <f>$V$11-$W$11</f>
        <v>0.75377932293076022</v>
      </c>
      <c r="AA16" s="1">
        <v>0</v>
      </c>
      <c r="AC16" s="44" t="s">
        <v>216</v>
      </c>
      <c r="AD16" s="1">
        <f>$V$11-$Y$11</f>
        <v>0.92063532251344238</v>
      </c>
      <c r="AE16" s="1">
        <v>0</v>
      </c>
    </row>
    <row r="17" spans="2:31">
      <c r="B17" s="1" t="s">
        <v>6</v>
      </c>
      <c r="C17" s="1">
        <f>NCt(C13,C12,C15)</f>
        <v>4.8869881660141418E-2</v>
      </c>
      <c r="U17" s="1">
        <f t="shared" ref="U17:U47" si="1">U16+$AB$11</f>
        <v>0.1202959217137551</v>
      </c>
      <c r="V17" s="1">
        <f t="shared" si="0"/>
        <v>3.2676693182428582E-3</v>
      </c>
      <c r="Y17" s="44" t="s">
        <v>218</v>
      </c>
      <c r="Z17" s="1">
        <f>Z16</f>
        <v>0.75377932293076022</v>
      </c>
      <c r="AA17" s="1">
        <f>IF(Y13,MAX($V$15:$V$47),0)</f>
        <v>0</v>
      </c>
      <c r="AC17" s="44" t="s">
        <v>218</v>
      </c>
      <c r="AD17" s="1">
        <f>AD16</f>
        <v>0.92063532251344238</v>
      </c>
      <c r="AE17" s="1">
        <f>IF(AC13,MAX($V$15:$V$47),0)</f>
        <v>1.5893105496006901</v>
      </c>
    </row>
    <row r="18" spans="2:31">
      <c r="B18" s="1" t="s">
        <v>58</v>
      </c>
      <c r="C18" s="1">
        <f>C16-C17</f>
        <v>0.90226023667971722</v>
      </c>
      <c r="E18" s="5"/>
      <c r="U18" s="1">
        <f t="shared" si="1"/>
        <v>0.18044388257063265</v>
      </c>
      <c r="V18" s="1">
        <f t="shared" si="0"/>
        <v>7.4018744335829466E-3</v>
      </c>
      <c r="Y18" s="44" t="s">
        <v>219</v>
      </c>
      <c r="Z18" s="44" t="s">
        <v>214</v>
      </c>
      <c r="AA18" s="44" t="s">
        <v>215</v>
      </c>
      <c r="AC18" s="44" t="s">
        <v>219</v>
      </c>
      <c r="AD18" s="44" t="s">
        <v>214</v>
      </c>
      <c r="AE18" s="44" t="s">
        <v>215</v>
      </c>
    </row>
    <row r="19" spans="2:31">
      <c r="U19" s="1">
        <f t="shared" si="1"/>
        <v>0.24059184342751019</v>
      </c>
      <c r="V19" s="1">
        <f t="shared" si="0"/>
        <v>1.5823641525050097E-2</v>
      </c>
      <c r="Y19" s="44" t="s">
        <v>216</v>
      </c>
      <c r="Z19" s="1">
        <f>$V$11+$W$11</f>
        <v>1.2462206770692397</v>
      </c>
      <c r="AA19" s="1">
        <v>0</v>
      </c>
      <c r="AC19" s="44" t="s">
        <v>216</v>
      </c>
      <c r="AD19" s="1">
        <f>$V$11+$Y$11</f>
        <v>1.0793646774865577</v>
      </c>
      <c r="AE19" s="1">
        <v>0</v>
      </c>
    </row>
    <row r="20" spans="2:31">
      <c r="B20" s="1" t="s">
        <v>11</v>
      </c>
      <c r="C20" s="1">
        <f>CEILING(C11,1)</f>
        <v>28</v>
      </c>
      <c r="U20" s="1">
        <f t="shared" si="1"/>
        <v>0.30073980428438774</v>
      </c>
      <c r="V20" s="1">
        <f t="shared" si="0"/>
        <v>3.1925100068458327E-2</v>
      </c>
      <c r="Y20" s="44" t="s">
        <v>218</v>
      </c>
      <c r="Z20" s="1">
        <f>Z19</f>
        <v>1.2462206770692397</v>
      </c>
      <c r="AA20" s="1">
        <f>AA17</f>
        <v>0</v>
      </c>
      <c r="AC20" s="44" t="s">
        <v>218</v>
      </c>
      <c r="AD20" s="1">
        <f>AD19</f>
        <v>1.0793646774865577</v>
      </c>
      <c r="AE20" s="1">
        <f>AE17</f>
        <v>1.5893105496006901</v>
      </c>
    </row>
    <row r="21" spans="2:31">
      <c r="U21" s="1">
        <f t="shared" si="1"/>
        <v>0.3608877651412653</v>
      </c>
      <c r="V21" s="1">
        <f t="shared" si="0"/>
        <v>6.0788189407009453E-2</v>
      </c>
    </row>
    <row r="22" spans="2:31" ht="13">
      <c r="U22" s="1">
        <f t="shared" si="1"/>
        <v>0.42103572599814287</v>
      </c>
      <c r="V22" s="1">
        <f t="shared" si="0"/>
        <v>0.10923636954844064</v>
      </c>
      <c r="Y22" s="9"/>
      <c r="AC22" s="9"/>
    </row>
    <row r="23" spans="2:31">
      <c r="U23" s="1">
        <f t="shared" si="1"/>
        <v>0.48118368685502044</v>
      </c>
      <c r="V23" s="1">
        <f t="shared" si="0"/>
        <v>0.18525776370088784</v>
      </c>
      <c r="Y23" s="44"/>
      <c r="Z23" s="44"/>
      <c r="AA23" s="44"/>
      <c r="AC23" s="44"/>
      <c r="AD23" s="44"/>
      <c r="AE23" s="44"/>
    </row>
    <row r="24" spans="2:31">
      <c r="U24" s="1">
        <f t="shared" si="1"/>
        <v>0.54133164771189801</v>
      </c>
      <c r="V24" s="1">
        <f t="shared" si="0"/>
        <v>0.29651501197758523</v>
      </c>
      <c r="Y24" s="44"/>
      <c r="AC24" s="44"/>
    </row>
    <row r="25" spans="2:31">
      <c r="U25" s="1">
        <f t="shared" si="1"/>
        <v>0.60147960856877558</v>
      </c>
      <c r="V25" s="1">
        <f t="shared" si="0"/>
        <v>0.44789690707849394</v>
      </c>
      <c r="Y25" s="44"/>
      <c r="AC25" s="44"/>
    </row>
    <row r="26" spans="2:31">
      <c r="U26" s="1">
        <f t="shared" si="1"/>
        <v>0.66162756942565315</v>
      </c>
      <c r="V26" s="1">
        <f t="shared" si="0"/>
        <v>0.63851418586687736</v>
      </c>
      <c r="Y26" s="44"/>
      <c r="Z26" s="44"/>
      <c r="AA26" s="44"/>
      <c r="AC26" s="44"/>
      <c r="AD26" s="44"/>
      <c r="AE26" s="44"/>
    </row>
    <row r="27" spans="2:31">
      <c r="U27" s="1">
        <f t="shared" si="1"/>
        <v>0.72177553028253072</v>
      </c>
      <c r="V27" s="1">
        <f t="shared" si="0"/>
        <v>0.85906128368970724</v>
      </c>
      <c r="Y27" s="44"/>
      <c r="AC27" s="44"/>
    </row>
    <row r="28" spans="2:31">
      <c r="U28" s="1">
        <f t="shared" si="1"/>
        <v>0.78192349113940829</v>
      </c>
      <c r="V28" s="1">
        <f t="shared" si="0"/>
        <v>1.0907842338994449</v>
      </c>
      <c r="Y28" s="44"/>
      <c r="AC28" s="44"/>
    </row>
    <row r="29" spans="2:31">
      <c r="U29" s="1">
        <f t="shared" si="1"/>
        <v>0.84207145199628586</v>
      </c>
      <c r="V29" s="1">
        <f t="shared" si="0"/>
        <v>1.3071176131726885</v>
      </c>
      <c r="Y29" s="1" t="b">
        <v>1</v>
      </c>
    </row>
    <row r="30" spans="2:31" ht="13">
      <c r="U30" s="1">
        <f t="shared" si="1"/>
        <v>0.90221941285316343</v>
      </c>
      <c r="V30" s="1">
        <f t="shared" si="0"/>
        <v>1.4782626042254883</v>
      </c>
      <c r="Y30" s="9" t="s">
        <v>228</v>
      </c>
    </row>
    <row r="31" spans="2:31">
      <c r="U31" s="1">
        <f t="shared" si="1"/>
        <v>0.962367373710041</v>
      </c>
      <c r="V31" s="1">
        <f t="shared" si="0"/>
        <v>1.5777915426115834</v>
      </c>
      <c r="Y31" s="44" t="s">
        <v>217</v>
      </c>
      <c r="Z31" s="44" t="s">
        <v>214</v>
      </c>
      <c r="AA31" s="44" t="s">
        <v>215</v>
      </c>
    </row>
    <row r="32" spans="2:31">
      <c r="U32" s="1">
        <f t="shared" si="1"/>
        <v>1.0225153345669185</v>
      </c>
      <c r="V32" s="1">
        <f t="shared" si="0"/>
        <v>1.5893105496006901</v>
      </c>
      <c r="Y32" s="44" t="s">
        <v>216</v>
      </c>
      <c r="Z32" s="32">
        <f>C7</f>
        <v>0.8</v>
      </c>
      <c r="AA32" s="1">
        <v>0</v>
      </c>
    </row>
    <row r="33" spans="2:27">
      <c r="U33" s="1">
        <f t="shared" si="1"/>
        <v>1.082663295423796</v>
      </c>
      <c r="V33" s="1">
        <f t="shared" si="0"/>
        <v>1.5108766792405302</v>
      </c>
      <c r="Y33" s="44" t="s">
        <v>218</v>
      </c>
      <c r="Z33" s="32">
        <f>Z32</f>
        <v>0.8</v>
      </c>
      <c r="AA33" s="1">
        <f>IF($Y$29,MAX($V$15:$W$47),0)</f>
        <v>1.5893105496006901</v>
      </c>
    </row>
    <row r="34" spans="2:27">
      <c r="U34" s="1">
        <f t="shared" si="1"/>
        <v>1.1428112562806736</v>
      </c>
      <c r="V34" s="1">
        <f t="shared" si="0"/>
        <v>1.355533886018965</v>
      </c>
      <c r="Y34" s="44" t="s">
        <v>219</v>
      </c>
      <c r="Z34" s="44" t="s">
        <v>214</v>
      </c>
      <c r="AA34" s="44" t="s">
        <v>215</v>
      </c>
    </row>
    <row r="35" spans="2:27">
      <c r="U35" s="1">
        <f t="shared" si="1"/>
        <v>1.2029592171375512</v>
      </c>
      <c r="V35" s="1">
        <f t="shared" si="0"/>
        <v>1.1477646605331531</v>
      </c>
      <c r="Y35" s="44" t="s">
        <v>216</v>
      </c>
      <c r="Z35" s="32">
        <f>C8</f>
        <v>1.25</v>
      </c>
      <c r="AA35" s="1">
        <v>0</v>
      </c>
    </row>
    <row r="36" spans="2:27">
      <c r="U36" s="1">
        <f t="shared" si="1"/>
        <v>1.2631071779944287</v>
      </c>
      <c r="V36" s="1">
        <f t="shared" si="0"/>
        <v>0.91718391155064294</v>
      </c>
      <c r="Y36" s="44" t="s">
        <v>218</v>
      </c>
      <c r="Z36" s="32">
        <f>Z35</f>
        <v>1.25</v>
      </c>
      <c r="AA36" s="1">
        <f>AA33</f>
        <v>1.5893105496006901</v>
      </c>
    </row>
    <row r="37" spans="2:27">
      <c r="U37" s="1">
        <f t="shared" si="1"/>
        <v>1.3232551388513063</v>
      </c>
      <c r="V37" s="1">
        <f t="shared" si="0"/>
        <v>0.69170532122747919</v>
      </c>
    </row>
    <row r="38" spans="2:27">
      <c r="U38" s="1">
        <f t="shared" si="1"/>
        <v>1.3834030997081839</v>
      </c>
      <c r="V38" s="1">
        <f t="shared" si="0"/>
        <v>0.4923193601798051</v>
      </c>
    </row>
    <row r="39" spans="2:27">
      <c r="U39" s="1">
        <f t="shared" si="1"/>
        <v>1.4435510605650614</v>
      </c>
      <c r="V39" s="1">
        <f t="shared" si="0"/>
        <v>0.33069971569153883</v>
      </c>
    </row>
    <row r="40" spans="2:27">
      <c r="U40" s="1">
        <f t="shared" si="1"/>
        <v>1.503699021421939</v>
      </c>
      <c r="V40" s="1">
        <f t="shared" si="0"/>
        <v>0.20964371055854106</v>
      </c>
    </row>
    <row r="41" spans="2:27">
      <c r="U41" s="1">
        <f t="shared" si="1"/>
        <v>1.5638469822788166</v>
      </c>
      <c r="V41" s="1">
        <f t="shared" si="0"/>
        <v>0.12542697936354921</v>
      </c>
    </row>
    <row r="42" spans="2:27">
      <c r="U42" s="1">
        <f t="shared" si="1"/>
        <v>1.6239949431356941</v>
      </c>
      <c r="V42" s="1">
        <f t="shared" si="0"/>
        <v>7.0820860308331679E-2</v>
      </c>
    </row>
    <row r="43" spans="2:27">
      <c r="U43" s="1">
        <f t="shared" si="1"/>
        <v>1.6841429039925717</v>
      </c>
      <c r="V43" s="1">
        <f t="shared" si="0"/>
        <v>3.7739187175571676E-2</v>
      </c>
    </row>
    <row r="44" spans="2:27" ht="20.25" customHeight="1">
      <c r="U44" s="1">
        <f t="shared" si="1"/>
        <v>1.7442908648494493</v>
      </c>
      <c r="V44" s="1">
        <f t="shared" si="0"/>
        <v>1.8979509975539276E-2</v>
      </c>
    </row>
    <row r="45" spans="2:27" ht="18">
      <c r="B45" s="28" t="s">
        <v>123</v>
      </c>
      <c r="U45" s="1">
        <f t="shared" si="1"/>
        <v>1.8044388257063269</v>
      </c>
      <c r="V45" s="1">
        <f t="shared" si="0"/>
        <v>9.0082111596319035E-3</v>
      </c>
    </row>
    <row r="46" spans="2:27">
      <c r="U46" s="1">
        <f t="shared" si="1"/>
        <v>1.8645867865632044</v>
      </c>
      <c r="V46" s="1">
        <f t="shared" si="0"/>
        <v>4.0350900346774578E-3</v>
      </c>
    </row>
    <row r="47" spans="2:27">
      <c r="U47" s="1">
        <f t="shared" si="1"/>
        <v>1.924734747420082</v>
      </c>
      <c r="V47" s="1">
        <f t="shared" si="0"/>
        <v>1.705803536648734E-3</v>
      </c>
    </row>
    <row r="60" spans="2:2">
      <c r="B60" s="1" t="s">
        <v>126</v>
      </c>
    </row>
    <row r="67" spans="2:7" ht="13">
      <c r="B67" s="9" t="s">
        <v>125</v>
      </c>
      <c r="G67" s="6"/>
    </row>
    <row r="68" spans="2:7">
      <c r="G68" s="6"/>
    </row>
    <row r="69" spans="2:7" ht="13">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69850</xdr:rowOff>
                  </from>
                  <to>
                    <xdr:col>11</xdr:col>
                    <xdr:colOff>508000</xdr:colOff>
                    <xdr:row>7</xdr:row>
                    <xdr:rowOff>107950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107950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52"/>
    <col min="27" max="27" width="20.453125" style="52" bestFit="1" customWidth="1"/>
    <col min="28" max="34" width="9.1796875" style="52"/>
    <col min="35" max="16384" width="9.1796875" style="1"/>
  </cols>
  <sheetData>
    <row r="1" spans="2:31" ht="25.5" thickBot="1">
      <c r="B1" s="17" t="s">
        <v>76</v>
      </c>
      <c r="G1" s="9" t="s">
        <v>122</v>
      </c>
      <c r="Z1" s="52" t="s">
        <v>33</v>
      </c>
    </row>
    <row r="2" spans="2:31" ht="13.5" thickBot="1">
      <c r="B2" s="1" t="s">
        <v>1</v>
      </c>
      <c r="C2" s="2">
        <v>0.8</v>
      </c>
      <c r="Y2" s="52" t="s">
        <v>32</v>
      </c>
      <c r="Z2" s="52">
        <f>(2*G9+1)/(G9+1)</f>
        <v>1</v>
      </c>
    </row>
    <row r="3" spans="2:31" ht="13.5" thickBot="1">
      <c r="C3" s="14"/>
      <c r="Y3" s="52" t="s">
        <v>235</v>
      </c>
      <c r="Z3" s="52">
        <v>0.75</v>
      </c>
    </row>
    <row r="4" spans="2:31" ht="13.5" thickBot="1">
      <c r="B4" s="8" t="s">
        <v>59</v>
      </c>
      <c r="C4" s="2">
        <v>0.05</v>
      </c>
      <c r="Y4" s="52" t="s">
        <v>31</v>
      </c>
      <c r="Z4" s="52">
        <v>0.5</v>
      </c>
    </row>
    <row r="5" spans="2:31" ht="16" thickBot="1">
      <c r="B5" s="1" t="s">
        <v>120</v>
      </c>
      <c r="C5" s="43">
        <v>0.65</v>
      </c>
      <c r="D5" s="1" t="s">
        <v>127</v>
      </c>
      <c r="U5" s="52" t="s">
        <v>56</v>
      </c>
      <c r="Y5" s="52">
        <v>3</v>
      </c>
    </row>
    <row r="6" spans="2:31" ht="16" thickBot="1">
      <c r="B6" s="1" t="s">
        <v>34</v>
      </c>
      <c r="C6" s="43">
        <v>0.9</v>
      </c>
      <c r="D6" s="1" t="str">
        <f>IF(C6=1,"","(to "&amp;ROUND(100/C6,1)&amp;"%)")&amp;IF(OR($C$6&lt;$C$7,$C$6&gt;$C$8)," WARNING: Ratio outside BE limits.","")</f>
        <v>(to 111.1%)</v>
      </c>
      <c r="U6" s="52">
        <v>1</v>
      </c>
      <c r="Y6" s="52">
        <f>INDEX(Z2:Z4,Y5,1)</f>
        <v>0.5</v>
      </c>
    </row>
    <row r="7" spans="2:31" ht="13.5" thickBot="1">
      <c r="B7" s="1" t="s">
        <v>9</v>
      </c>
      <c r="C7" s="13">
        <v>0.8</v>
      </c>
    </row>
    <row r="8" spans="2:31" ht="13.5" thickBot="1">
      <c r="B8" s="1" t="s">
        <v>10</v>
      </c>
      <c r="C8" s="13">
        <f>1/C7</f>
        <v>1.25</v>
      </c>
    </row>
    <row r="10" spans="2:31" ht="15.5">
      <c r="B10" s="8" t="s">
        <v>26</v>
      </c>
      <c r="C10" s="1">
        <f>SQRT(LN((C5)^2+1))</f>
        <v>0.59364626421662003</v>
      </c>
      <c r="V10" s="52" t="s">
        <v>212</v>
      </c>
      <c r="W10" s="52" t="s">
        <v>210</v>
      </c>
      <c r="X10" s="52" t="s">
        <v>213</v>
      </c>
      <c r="Y10" s="52" t="s">
        <v>211</v>
      </c>
      <c r="AA10" s="52" t="s">
        <v>224</v>
      </c>
      <c r="AB10" s="52" t="s">
        <v>225</v>
      </c>
    </row>
    <row r="11" spans="2:31" ht="13">
      <c r="B11" s="1" t="s">
        <v>0</v>
      </c>
      <c r="C11" s="7">
        <v>3</v>
      </c>
      <c r="U11" s="52" t="s">
        <v>206</v>
      </c>
      <c r="V11" s="53">
        <f>C6</f>
        <v>0.9</v>
      </c>
      <c r="W11" s="52">
        <f>$C$10</f>
        <v>0.59364626421662003</v>
      </c>
      <c r="X11" s="52">
        <f>W11/SQRT(C11)</f>
        <v>0.34274183044888129</v>
      </c>
      <c r="Y11" s="52">
        <f>TINV($C$4*2,$C$11-2)*X11</f>
        <v>2.1639867511391211</v>
      </c>
      <c r="AA11" s="54">
        <f>V11+4*W11</f>
        <v>3.27458505686648</v>
      </c>
      <c r="AB11" s="52">
        <f>AA11/33</f>
        <v>9.9229850208075149E-2</v>
      </c>
    </row>
    <row r="12" spans="2:31">
      <c r="B12" s="1" t="s">
        <v>2</v>
      </c>
      <c r="C12" s="1">
        <f>C11-2</f>
        <v>1</v>
      </c>
    </row>
    <row r="13" spans="2:31">
      <c r="B13" s="1" t="s">
        <v>8</v>
      </c>
      <c r="C13" s="1">
        <f>TINV(C4*2,C12)</f>
        <v>6.3137515146750438</v>
      </c>
      <c r="Y13" s="52" t="b">
        <v>0</v>
      </c>
      <c r="AC13" s="52" t="b">
        <v>1</v>
      </c>
    </row>
    <row r="14" spans="2:31" ht="13">
      <c r="B14" s="1" t="s">
        <v>3</v>
      </c>
      <c r="C14" s="1">
        <f>(SQRT(C11)*(LN(C6)-LN(C8)))/(SQRT(2*C10^2))</f>
        <v>-0.67773301291839627</v>
      </c>
      <c r="U14" s="52" t="s">
        <v>205</v>
      </c>
      <c r="V14" s="52" t="s">
        <v>227</v>
      </c>
      <c r="Y14" s="55" t="s">
        <v>220</v>
      </c>
      <c r="AC14" s="55" t="s">
        <v>222</v>
      </c>
    </row>
    <row r="15" spans="2:31">
      <c r="B15" s="1" t="s">
        <v>4</v>
      </c>
      <c r="C15" s="1">
        <f>(SQRT(C11)*(LN(C6)-LN(C7)))/(SQRT(2*C10^2))</f>
        <v>0.24299684433700114</v>
      </c>
      <c r="U15" s="52">
        <v>0</v>
      </c>
      <c r="V15" s="52">
        <f>_xlfn.NORM.DIST($U15,$V$11,$C$5,FALSE)</f>
        <v>0.23533729435330628</v>
      </c>
      <c r="Y15" s="52" t="s">
        <v>217</v>
      </c>
      <c r="Z15" s="52" t="s">
        <v>214</v>
      </c>
      <c r="AA15" s="52" t="s">
        <v>215</v>
      </c>
      <c r="AC15" s="52" t="s">
        <v>217</v>
      </c>
      <c r="AD15" s="52" t="s">
        <v>214</v>
      </c>
      <c r="AE15" s="52" t="s">
        <v>215</v>
      </c>
    </row>
    <row r="16" spans="2:31">
      <c r="B16" s="1" t="s">
        <v>7</v>
      </c>
      <c r="C16" s="1">
        <f>NCt(-C13,C12,C14)</f>
        <v>0.10307839717957634</v>
      </c>
      <c r="U16" s="52">
        <f>U15+$AB$11</f>
        <v>9.9229850208075149E-2</v>
      </c>
      <c r="V16" s="52">
        <f t="shared" ref="V16:V47" si="0">_xlfn.NORM.DIST($U16,$V$11,$C$5,FALSE)</f>
        <v>0.28736242915824389</v>
      </c>
      <c r="Y16" s="52" t="s">
        <v>216</v>
      </c>
      <c r="Z16" s="52">
        <f>$V$11-$W$11</f>
        <v>0.30635373578337999</v>
      </c>
      <c r="AA16" s="52">
        <v>0</v>
      </c>
      <c r="AC16" s="52" t="s">
        <v>216</v>
      </c>
      <c r="AD16" s="52">
        <f>$V$11-$Y$11</f>
        <v>-1.2639867511391212</v>
      </c>
      <c r="AE16" s="52">
        <v>0</v>
      </c>
    </row>
    <row r="17" spans="2:31">
      <c r="B17" s="1" t="s">
        <v>6</v>
      </c>
      <c r="C17" s="1">
        <f>NCt(C13,C12,C15)</f>
        <v>0.93339405326162772</v>
      </c>
      <c r="U17" s="52">
        <f t="shared" ref="U17:U47" si="1">U16+$AB$11</f>
        <v>0.1984597004161503</v>
      </c>
      <c r="V17" s="52">
        <f t="shared" si="0"/>
        <v>0.34280549683534484</v>
      </c>
      <c r="Y17" s="52" t="s">
        <v>218</v>
      </c>
      <c r="Z17" s="52">
        <f>Z16</f>
        <v>0.30635373578337999</v>
      </c>
      <c r="AA17" s="52">
        <f>IF(Y13,MAX($V$15:$V$47),0)</f>
        <v>0</v>
      </c>
      <c r="AC17" s="52" t="s">
        <v>218</v>
      </c>
      <c r="AD17" s="52">
        <f>AD16</f>
        <v>-1.2639867511391212</v>
      </c>
      <c r="AE17" s="52">
        <f>IF(AC13,MAX($V$15:$V$47),0)</f>
        <v>0.61372245947377413</v>
      </c>
    </row>
    <row r="18" spans="2:31">
      <c r="B18" s="1" t="s">
        <v>58</v>
      </c>
      <c r="C18" s="1">
        <f>C16-C17</f>
        <v>-0.83031565608205138</v>
      </c>
      <c r="E18" s="5"/>
      <c r="U18" s="52">
        <f t="shared" si="1"/>
        <v>0.29768955062422542</v>
      </c>
      <c r="V18" s="52">
        <f t="shared" si="0"/>
        <v>0.39952515522834975</v>
      </c>
      <c r="Y18" s="52" t="s">
        <v>219</v>
      </c>
      <c r="Z18" s="52" t="s">
        <v>214</v>
      </c>
      <c r="AA18" s="52" t="s">
        <v>215</v>
      </c>
      <c r="AC18" s="52" t="s">
        <v>219</v>
      </c>
      <c r="AD18" s="52" t="s">
        <v>214</v>
      </c>
      <c r="AE18" s="52" t="s">
        <v>215</v>
      </c>
    </row>
    <row r="19" spans="2:31">
      <c r="U19" s="52">
        <f t="shared" si="1"/>
        <v>0.3969194008323006</v>
      </c>
      <c r="V19" s="52">
        <f t="shared" si="0"/>
        <v>0.45490325198376713</v>
      </c>
      <c r="Y19" s="52" t="s">
        <v>216</v>
      </c>
      <c r="Z19" s="52">
        <f>$V$11+$W$11</f>
        <v>1.4936462642166202</v>
      </c>
      <c r="AA19" s="52">
        <v>0</v>
      </c>
      <c r="AC19" s="52" t="s">
        <v>216</v>
      </c>
      <c r="AD19" s="52">
        <f>$V$11+$Y$11</f>
        <v>3.063986751139121</v>
      </c>
      <c r="AE19" s="52">
        <v>0</v>
      </c>
    </row>
    <row r="20" spans="2:31">
      <c r="B20" s="1" t="s">
        <v>11</v>
      </c>
      <c r="C20" s="1">
        <f>CEILING(INDEX(Z2:Z4,Y5,1)*C11,1)</f>
        <v>2</v>
      </c>
      <c r="U20" s="52">
        <f t="shared" si="1"/>
        <v>0.49614925104037577</v>
      </c>
      <c r="V20" s="52">
        <f t="shared" si="0"/>
        <v>0.50602563077485663</v>
      </c>
      <c r="Y20" s="52" t="s">
        <v>218</v>
      </c>
      <c r="Z20" s="52">
        <f>Z19</f>
        <v>1.4936462642166202</v>
      </c>
      <c r="AA20" s="52">
        <f>AA17</f>
        <v>0</v>
      </c>
      <c r="AC20" s="52" t="s">
        <v>218</v>
      </c>
      <c r="AD20" s="52">
        <f>AD19</f>
        <v>3.063986751139121</v>
      </c>
      <c r="AE20" s="52">
        <f>AE17</f>
        <v>0.61372245947377413</v>
      </c>
    </row>
    <row r="21" spans="2:31">
      <c r="U21" s="52">
        <f t="shared" si="1"/>
        <v>0.59537910124845095</v>
      </c>
      <c r="V21" s="52">
        <f t="shared" si="0"/>
        <v>0.54992637471810812</v>
      </c>
    </row>
    <row r="22" spans="2:31" ht="13">
      <c r="U22" s="52">
        <f t="shared" si="1"/>
        <v>0.69460895145652612</v>
      </c>
      <c r="V22" s="52">
        <f t="shared" si="0"/>
        <v>0.58386863272477407</v>
      </c>
      <c r="Y22" s="55"/>
      <c r="AC22" s="55"/>
    </row>
    <row r="23" spans="2:31">
      <c r="U23" s="52">
        <f t="shared" si="1"/>
        <v>0.7938388016646013</v>
      </c>
      <c r="V23" s="52">
        <f t="shared" si="0"/>
        <v>0.60562570518659309</v>
      </c>
    </row>
    <row r="24" spans="2:31">
      <c r="U24" s="52">
        <f t="shared" si="1"/>
        <v>0.89306865187267648</v>
      </c>
      <c r="V24" s="52">
        <f t="shared" si="0"/>
        <v>0.61372245947377413</v>
      </c>
    </row>
    <row r="25" spans="2:31">
      <c r="U25" s="52">
        <f t="shared" si="1"/>
        <v>0.99229850208075165</v>
      </c>
      <c r="V25" s="52">
        <f t="shared" si="0"/>
        <v>0.60760074029019817</v>
      </c>
    </row>
    <row r="26" spans="2:31">
      <c r="U26" s="52">
        <f t="shared" si="1"/>
        <v>1.0915283522888268</v>
      </c>
      <c r="V26" s="52">
        <f t="shared" si="0"/>
        <v>0.5876830063555375</v>
      </c>
    </row>
    <row r="27" spans="2:31">
      <c r="U27" s="52">
        <f t="shared" si="1"/>
        <v>1.1907582024969019</v>
      </c>
      <c r="V27" s="52">
        <f t="shared" si="0"/>
        <v>0.55532411335267029</v>
      </c>
    </row>
    <row r="28" spans="2:31">
      <c r="U28" s="52">
        <f t="shared" si="1"/>
        <v>1.289988052704977</v>
      </c>
      <c r="V28" s="52">
        <f t="shared" si="0"/>
        <v>0.51265888884221822</v>
      </c>
    </row>
    <row r="29" spans="2:31">
      <c r="U29" s="52">
        <f t="shared" si="1"/>
        <v>1.389217902913052</v>
      </c>
      <c r="V29" s="52">
        <f t="shared" si="0"/>
        <v>0.46236932369525469</v>
      </c>
      <c r="Y29" s="52" t="b">
        <v>1</v>
      </c>
    </row>
    <row r="30" spans="2:31" ht="13">
      <c r="U30" s="52">
        <f t="shared" si="1"/>
        <v>1.4884477531211271</v>
      </c>
      <c r="V30" s="52">
        <f t="shared" si="0"/>
        <v>0.40740663195800214</v>
      </c>
      <c r="Y30" s="55" t="s">
        <v>228</v>
      </c>
    </row>
    <row r="31" spans="2:31">
      <c r="U31" s="52">
        <f t="shared" si="1"/>
        <v>1.5876776033292022</v>
      </c>
      <c r="V31" s="52">
        <f t="shared" si="0"/>
        <v>0.35070805182037268</v>
      </c>
      <c r="Y31" s="52" t="s">
        <v>217</v>
      </c>
      <c r="Z31" s="52" t="s">
        <v>214</v>
      </c>
      <c r="AA31" s="52" t="s">
        <v>215</v>
      </c>
    </row>
    <row r="32" spans="2:31">
      <c r="U32" s="52">
        <f t="shared" si="1"/>
        <v>1.6869074535372772</v>
      </c>
      <c r="V32" s="52">
        <f t="shared" si="0"/>
        <v>0.29494561250934742</v>
      </c>
      <c r="Y32" s="52" t="s">
        <v>216</v>
      </c>
      <c r="Z32" s="56">
        <f>C7</f>
        <v>0.8</v>
      </c>
      <c r="AA32" s="52">
        <v>0</v>
      </c>
    </row>
    <row r="33" spans="21:27">
      <c r="U33" s="52">
        <f t="shared" si="1"/>
        <v>1.7861373037453523</v>
      </c>
      <c r="V33" s="52">
        <f t="shared" si="0"/>
        <v>0.24233531319033688</v>
      </c>
      <c r="Y33" s="52" t="s">
        <v>218</v>
      </c>
      <c r="Z33" s="56">
        <f>Z32</f>
        <v>0.8</v>
      </c>
      <c r="AA33" s="52">
        <f>IF($Y$29,MAX($V$15:$W$47),0)</f>
        <v>0.61372245947377413</v>
      </c>
    </row>
    <row r="34" spans="21:27">
      <c r="U34" s="52">
        <f t="shared" si="1"/>
        <v>1.8853671539534274</v>
      </c>
      <c r="V34" s="52">
        <f t="shared" si="0"/>
        <v>0.1945225836599368</v>
      </c>
      <c r="Y34" s="52" t="s">
        <v>219</v>
      </c>
      <c r="Z34" s="52" t="s">
        <v>214</v>
      </c>
      <c r="AA34" s="52" t="s">
        <v>215</v>
      </c>
    </row>
    <row r="35" spans="21:27">
      <c r="U35" s="52">
        <f t="shared" si="1"/>
        <v>1.9845970041615024</v>
      </c>
      <c r="V35" s="52">
        <f t="shared" si="0"/>
        <v>0.15254638314764188</v>
      </c>
      <c r="Y35" s="52" t="s">
        <v>216</v>
      </c>
      <c r="Z35" s="56">
        <f>C8</f>
        <v>1.25</v>
      </c>
      <c r="AA35" s="52">
        <v>0</v>
      </c>
    </row>
    <row r="36" spans="21:27">
      <c r="U36" s="52">
        <f t="shared" si="1"/>
        <v>2.0838268543695775</v>
      </c>
      <c r="V36" s="52">
        <f t="shared" si="0"/>
        <v>0.11687250742502221</v>
      </c>
      <c r="Y36" s="52" t="s">
        <v>218</v>
      </c>
      <c r="Z36" s="56">
        <f>Z35</f>
        <v>1.25</v>
      </c>
      <c r="AA36" s="52">
        <f>AA33</f>
        <v>0.61372245947377413</v>
      </c>
    </row>
    <row r="37" spans="21:27">
      <c r="U37" s="52">
        <f t="shared" si="1"/>
        <v>2.1830567045776528</v>
      </c>
      <c r="V37" s="52">
        <f t="shared" si="0"/>
        <v>8.7478508365891355E-2</v>
      </c>
    </row>
    <row r="38" spans="21:27">
      <c r="U38" s="52">
        <f t="shared" si="1"/>
        <v>2.2822865547857281</v>
      </c>
      <c r="V38" s="52">
        <f t="shared" si="0"/>
        <v>6.3968908046208445E-2</v>
      </c>
    </row>
    <row r="39" spans="21:27">
      <c r="U39" s="52">
        <f t="shared" si="1"/>
        <v>2.3815164049938033</v>
      </c>
      <c r="V39" s="52">
        <f t="shared" si="0"/>
        <v>4.569988070902295E-2</v>
      </c>
    </row>
    <row r="40" spans="21:27">
      <c r="U40" s="52">
        <f t="shared" si="1"/>
        <v>2.4807462552018786</v>
      </c>
      <c r="V40" s="52">
        <f t="shared" si="0"/>
        <v>3.1896259526106731E-2</v>
      </c>
    </row>
    <row r="41" spans="21:27">
      <c r="U41" s="52">
        <f t="shared" si="1"/>
        <v>2.5799761054099539</v>
      </c>
      <c r="V41" s="52">
        <f t="shared" si="0"/>
        <v>2.1749185983899813E-2</v>
      </c>
    </row>
    <row r="42" spans="21:27">
      <c r="U42" s="52">
        <f t="shared" si="1"/>
        <v>2.6792059556180292</v>
      </c>
      <c r="V42" s="52">
        <f t="shared" si="0"/>
        <v>1.4488546488791608E-2</v>
      </c>
    </row>
    <row r="43" spans="21:27">
      <c r="U43" s="52">
        <f t="shared" si="1"/>
        <v>2.7784358058261045</v>
      </c>
      <c r="V43" s="52">
        <f t="shared" si="0"/>
        <v>9.4294245755793919E-3</v>
      </c>
    </row>
    <row r="44" spans="21:27" ht="20.25" customHeight="1">
      <c r="U44" s="52">
        <f t="shared" si="1"/>
        <v>2.8776656560341798</v>
      </c>
      <c r="V44" s="52">
        <f t="shared" si="0"/>
        <v>5.9954822866968805E-3</v>
      </c>
    </row>
    <row r="45" spans="21:27">
      <c r="U45" s="52">
        <f t="shared" si="1"/>
        <v>2.9768955062422551</v>
      </c>
      <c r="V45" s="52">
        <f t="shared" si="0"/>
        <v>3.7242739410159697E-3</v>
      </c>
    </row>
    <row r="46" spans="21:27">
      <c r="U46" s="52">
        <f t="shared" si="1"/>
        <v>3.0761253564503304</v>
      </c>
      <c r="V46" s="52">
        <f t="shared" si="0"/>
        <v>2.260152134061862E-3</v>
      </c>
    </row>
    <row r="47" spans="21:27">
      <c r="U47" s="52">
        <f t="shared" si="1"/>
        <v>3.1753552066584056</v>
      </c>
      <c r="V47" s="52">
        <f t="shared" si="0"/>
        <v>1.3400231116534327E-3</v>
      </c>
    </row>
    <row r="52" spans="2:2" ht="18">
      <c r="B52" s="28" t="s">
        <v>123</v>
      </c>
    </row>
    <row r="63" spans="2:2" ht="13">
      <c r="B63" s="9" t="s">
        <v>125</v>
      </c>
    </row>
    <row r="67" spans="2:7" ht="13">
      <c r="B67" s="9"/>
      <c r="G67" s="6"/>
    </row>
    <row r="68" spans="2:7">
      <c r="G68" s="6"/>
    </row>
    <row r="69" spans="2:7" ht="13">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107950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488950</xdr:colOff>
                    <xdr:row>23</xdr:row>
                    <xdr:rowOff>0</xdr:rowOff>
                  </from>
                  <to>
                    <xdr:col>5</xdr:col>
                    <xdr:colOff>107950</xdr:colOff>
                    <xdr:row>24</xdr:row>
                    <xdr:rowOff>88900</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184150</xdr:colOff>
                    <xdr:row>23</xdr:row>
                    <xdr:rowOff>0</xdr:rowOff>
                  </from>
                  <to>
                    <xdr:col>9</xdr:col>
                    <xdr:colOff>107950</xdr:colOff>
                    <xdr:row>24</xdr:row>
                    <xdr:rowOff>88900</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69850</xdr:colOff>
                    <xdr:row>23</xdr:row>
                    <xdr:rowOff>0</xdr:rowOff>
                  </from>
                  <to>
                    <xdr:col>3</xdr:col>
                    <xdr:colOff>412750</xdr:colOff>
                    <xdr:row>24</xdr:row>
                    <xdr:rowOff>88900</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336550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336550</xdr:colOff>
                    <xdr:row>7</xdr:row>
                    <xdr:rowOff>127000</xdr:rowOff>
                  </from>
                  <to>
                    <xdr:col>11</xdr:col>
                    <xdr:colOff>488950</xdr:colOff>
                    <xdr:row>9</xdr:row>
                    <xdr:rowOff>31750</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336550</xdr:colOff>
                    <xdr:row>9</xdr:row>
                    <xdr:rowOff>31750</xdr:rowOff>
                  </from>
                  <to>
                    <xdr:col>11</xdr:col>
                    <xdr:colOff>488950</xdr:colOff>
                    <xdr:row>10</xdr:row>
                    <xdr:rowOff>31750</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412750</xdr:colOff>
                    <xdr:row>2</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194</v>
      </c>
    </row>
    <row r="2" spans="2:15" ht="13"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168</v>
      </c>
    </row>
    <row r="7" spans="2:15" ht="15.5">
      <c r="B7" s="40" t="s">
        <v>169</v>
      </c>
    </row>
    <row r="8" spans="2:15" ht="15.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138</v>
      </c>
      <c r="C21" s="9"/>
      <c r="D21" s="15"/>
      <c r="E21" s="15"/>
      <c r="F21" s="15"/>
      <c r="G21" s="15"/>
      <c r="H21" s="15"/>
      <c r="I21" s="15"/>
      <c r="J21" s="15"/>
      <c r="K21" s="15"/>
      <c r="L21" s="15"/>
      <c r="M21" s="15"/>
      <c r="N21" s="15"/>
      <c r="O21" s="15"/>
    </row>
    <row r="22" spans="2:16" ht="13">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7.5">
      <c r="B40" s="36" t="s">
        <v>132</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138</v>
      </c>
      <c r="C42" s="9"/>
      <c r="D42" s="15"/>
      <c r="E42" s="15"/>
      <c r="F42" s="15"/>
      <c r="G42" s="15"/>
      <c r="H42" s="15"/>
      <c r="I42" s="15"/>
      <c r="J42" s="15"/>
      <c r="K42" s="15"/>
      <c r="L42" s="15"/>
      <c r="M42" s="15"/>
      <c r="N42" s="15"/>
      <c r="O42" s="15"/>
    </row>
    <row r="43" spans="2:21" ht="13">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ht="13">
      <c r="B54" s="15" t="s">
        <v>162</v>
      </c>
      <c r="C54" s="1">
        <f>SQRT((2*C53)/C52)</f>
        <v>8.474358197972498E-2</v>
      </c>
      <c r="I54" s="9"/>
      <c r="K54" s="15"/>
      <c r="L54" s="15"/>
      <c r="M54" s="15"/>
      <c r="N54" s="15"/>
      <c r="O54" s="15"/>
      <c r="P54" s="15"/>
      <c r="Q54" s="15"/>
      <c r="R54" s="15"/>
      <c r="S54" s="15"/>
      <c r="T54" s="15"/>
      <c r="U54" s="15"/>
    </row>
    <row r="55" spans="2:21" ht="13">
      <c r="B55" s="15" t="s">
        <v>158</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7.5">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31750</xdr:colOff>
                <xdr:row>30</xdr:row>
                <xdr:rowOff>38100</xdr:rowOff>
              </from>
              <to>
                <xdr:col>5</xdr:col>
                <xdr:colOff>114300</xdr:colOff>
                <xdr:row>33</xdr:row>
                <xdr:rowOff>146050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122</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ht="13">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122</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ht="13">
      <c r="C19" s="9"/>
      <c r="D19" s="9"/>
    </row>
    <row r="20" spans="2:5">
      <c r="B20" s="1" t="s">
        <v>11</v>
      </c>
      <c r="C20" s="1">
        <f>CEILING(C11,1)</f>
        <v>3</v>
      </c>
    </row>
    <row r="26" spans="2:5" ht="18">
      <c r="B26" s="28" t="s">
        <v>123</v>
      </c>
    </row>
    <row r="27" spans="2:5" ht="20.25" customHeight="1"/>
    <row r="35" spans="2:2" ht="13">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116</v>
      </c>
    </row>
    <row r="2" spans="2:5" ht="13.5" thickBot="1">
      <c r="C2" s="14"/>
      <c r="E2" s="9" t="s">
        <v>122</v>
      </c>
    </row>
    <row r="3" spans="2:5" ht="13.5" thickBot="1">
      <c r="B3" s="1" t="s">
        <v>1</v>
      </c>
      <c r="C3" s="2">
        <v>0.8</v>
      </c>
    </row>
    <row r="4" spans="2:5" ht="13.5" thickBot="1">
      <c r="B4" s="8" t="s">
        <v>59</v>
      </c>
      <c r="C4" s="2">
        <v>0.05</v>
      </c>
      <c r="D4" s="1" t="s">
        <v>20</v>
      </c>
    </row>
    <row r="5" spans="2:5" ht="16" thickBot="1">
      <c r="B5" s="1" t="s">
        <v>82</v>
      </c>
      <c r="C5" s="18">
        <v>0.1</v>
      </c>
      <c r="D5" s="1" t="s">
        <v>83</v>
      </c>
    </row>
    <row r="6" spans="2:5" ht="16" thickBot="1">
      <c r="B6" s="1" t="s">
        <v>85</v>
      </c>
      <c r="C6" s="18">
        <v>0.3</v>
      </c>
      <c r="D6" s="1" t="s">
        <v>87</v>
      </c>
    </row>
    <row r="7" spans="2:5" ht="13" thickBot="1">
      <c r="C7" s="4"/>
    </row>
    <row r="8" spans="2:5" ht="13" thickBot="1">
      <c r="B8" s="12" t="s">
        <v>17</v>
      </c>
      <c r="C8" s="19">
        <f>C6-C5</f>
        <v>0.19999999999999998</v>
      </c>
      <c r="D8" s="1" t="s">
        <v>84</v>
      </c>
    </row>
    <row r="10" spans="2:5" ht="15.5">
      <c r="B10" s="1" t="s">
        <v>111</v>
      </c>
      <c r="C10" s="1">
        <v>5</v>
      </c>
      <c r="D10" s="1" t="s">
        <v>86</v>
      </c>
    </row>
    <row r="11" spans="2:5">
      <c r="B11" s="1" t="s">
        <v>0</v>
      </c>
      <c r="C11" s="7">
        <v>3</v>
      </c>
    </row>
    <row r="18" spans="2:5">
      <c r="B18" s="1" t="s">
        <v>58</v>
      </c>
      <c r="C18" s="1">
        <v>0.80651155791193363</v>
      </c>
      <c r="E18" s="5"/>
    </row>
    <row r="19" spans="2:5" ht="13">
      <c r="C19" s="16"/>
      <c r="D19" s="16"/>
      <c r="E19" s="16"/>
    </row>
    <row r="20" spans="2:5">
      <c r="B20" s="1" t="s">
        <v>11</v>
      </c>
      <c r="C20" s="1">
        <f>CEILING(C11,1)</f>
        <v>3</v>
      </c>
      <c r="D20" s="1" t="s">
        <v>129</v>
      </c>
    </row>
    <row r="21" spans="2:5">
      <c r="B21" s="1" t="s">
        <v>112</v>
      </c>
      <c r="C21" s="1">
        <f>C10</f>
        <v>5</v>
      </c>
      <c r="D21" s="1" t="s">
        <v>114</v>
      </c>
    </row>
    <row r="23" spans="2:5" ht="13">
      <c r="D23" s="9" t="s">
        <v>121</v>
      </c>
    </row>
    <row r="25" spans="2:5" ht="20.25" customHeight="1">
      <c r="B25" s="1" t="s">
        <v>113</v>
      </c>
    </row>
    <row r="26" spans="2:5">
      <c r="B26" s="1" t="s">
        <v>88</v>
      </c>
    </row>
    <row r="28" spans="2:5" ht="15.5">
      <c r="B28" s="1" t="s">
        <v>115</v>
      </c>
    </row>
    <row r="29" spans="2:5" ht="13">
      <c r="D29" s="9"/>
    </row>
    <row r="30" spans="2:5" ht="18">
      <c r="B30" s="28" t="s">
        <v>123</v>
      </c>
    </row>
    <row r="39" spans="2:7" ht="13">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107950</xdr:colOff>
                    <xdr:row>21</xdr:row>
                    <xdr:rowOff>76200</xdr:rowOff>
                  </from>
                  <to>
                    <xdr:col>2</xdr:col>
                    <xdr:colOff>527050</xdr:colOff>
                    <xdr:row>23</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90</v>
      </c>
    </row>
    <row r="3" spans="2:4" ht="18.75" customHeight="1" thickBot="1">
      <c r="B3" s="21" t="s">
        <v>91</v>
      </c>
    </row>
    <row r="4" spans="2:4" ht="13">
      <c r="B4" s="1" t="s">
        <v>92</v>
      </c>
      <c r="C4" s="22">
        <v>1.0308417465824675</v>
      </c>
      <c r="D4" s="1" t="s">
        <v>93</v>
      </c>
    </row>
    <row r="5" spans="2:4" ht="13">
      <c r="B5" s="1" t="s">
        <v>94</v>
      </c>
      <c r="C5" s="23">
        <v>0.92586500000000005</v>
      </c>
      <c r="D5" s="1" t="s">
        <v>95</v>
      </c>
    </row>
    <row r="6" spans="2:4" ht="13">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
      <c r="B18" s="20" t="s">
        <v>109</v>
      </c>
      <c r="C18" s="26">
        <f>(C15+C16)/2</f>
        <v>48.233977696776819</v>
      </c>
      <c r="D18" s="20" t="s">
        <v>110</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2022-03-16T02:29:57Z</dcterms:modified>
  <cp:category>Sample Size Estimation</cp:category>
</cp:coreProperties>
</file>