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autoCompressPictures="0" defaultThemeVersion="124226"/>
  <mc:AlternateContent xmlns:mc="http://schemas.openxmlformats.org/markup-compatibility/2006">
    <mc:Choice Requires="x15">
      <x15ac:absPath xmlns:x15ac="http://schemas.microsoft.com/office/spreadsheetml/2010/11/ac" url="C:\Users\dndub\Downloads\"/>
    </mc:Choice>
  </mc:AlternateContent>
  <xr:revisionPtr revIDLastSave="0" documentId="13_ncr:1_{30A3EEB7-3DD2-48EF-80E7-E8CE7AA066D5}" xr6:coauthVersionLast="47" xr6:coauthVersionMax="47" xr10:uidLastSave="{00000000-0000-0000-0000-000000000000}"/>
  <bookViews>
    <workbookView xWindow="-110" yWindow="-110" windowWidth="19420" windowHeight="1030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CVtot" sheetId="32" state="hidden" r:id="rId2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4" i="24" l="1"/>
  <c r="F15" i="24"/>
  <c r="C12" i="24"/>
  <c r="F13" i="24"/>
  <c r="F16" i="24"/>
  <c r="F17" i="24"/>
  <c r="F18" i="24"/>
  <c r="F21" i="24"/>
  <c r="F12" i="24"/>
  <c r="C13" i="24"/>
  <c r="C14" i="24"/>
  <c r="C16" i="24"/>
  <c r="C15" i="32"/>
  <c r="C16" i="32"/>
  <c r="C13" i="32"/>
  <c r="C14" i="32"/>
  <c r="C17" i="32"/>
  <c r="C18" i="32"/>
  <c r="C19" i="32"/>
  <c r="C21" i="32"/>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8" i="24"/>
  <c r="C15" i="24"/>
  <c r="C17" i="24"/>
  <c r="C19" i="24"/>
  <c r="C21" i="24"/>
  <c r="AD16" i="1"/>
  <c r="AD17" i="1"/>
  <c r="AD19" i="1"/>
  <c r="AD20" i="1"/>
  <c r="X12" i="8"/>
  <c r="Y12" i="8"/>
  <c r="Y11" i="8"/>
  <c r="C24" i="29"/>
  <c r="D28" i="29"/>
  <c r="D29" i="29"/>
  <c r="C33" i="29"/>
  <c r="G36" i="30"/>
  <c r="G34" i="30"/>
  <c r="G37" i="30"/>
  <c r="G35" i="30"/>
  <c r="D40" i="30"/>
  <c r="E44" i="30"/>
  <c r="D48" i="30"/>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1"/>
  <c r="C17" i="13"/>
  <c r="C17" i="7"/>
  <c r="C17" i="12"/>
  <c r="C17" i="8"/>
  <c r="C16" i="11"/>
  <c r="C16" i="27"/>
  <c r="C17" i="28"/>
  <c r="C17" i="14"/>
  <c r="C17" i="27"/>
  <c r="C17" i="11"/>
  <c r="C16" i="28"/>
  <c r="C16" i="12"/>
  <c r="C16" i="1"/>
  <c r="C18" i="12" l="1"/>
  <c r="C18" i="28"/>
  <c r="C18" i="13"/>
  <c r="C18" i="27"/>
  <c r="C18" i="11"/>
  <c r="C18" i="1"/>
  <c r="C18" i="14"/>
  <c r="C18" i="8"/>
  <c r="C1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<sst xmlns="http://schemas.openxmlformats.org/spreadsheetml/2006/main" count="1158" uniqueCount="332">
  <si>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</si>
  <si>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</si>
  <si>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</si>
  <si>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</si>
  <si>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</si>
  <si>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</si>
  <si>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</si>
  <si>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</si>
  <si>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</si>
  <si>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</si>
  <si>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</si>
  <si>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</si>
  <si>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</si>
  <si>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</si>
  <si>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</si>
  <si>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</si>
  <si>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</si>
  <si>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</si>
  <si>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</si>
  <si>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</si>
  <si>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</si>
  <si>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</si>
  <si>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</si>
  <si>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</si>
  <si>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</si>
  <si>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</si>
  <si>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</si>
  <si>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</si>
  <si>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</si>
  <si>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</si>
  <si>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</si>
  <si>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</si>
  <si>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</si>
  <si>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</si>
  <si>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</si>
  <si>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</si>
  <si>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</si>
  <si>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</si>
  <si>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</si>
  <si>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</si>
  <si>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</si>
  <si>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</si>
  <si>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</si>
  <si>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</si>
  <si>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</si>
  <si>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</si>
  <si>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</si>
  <si>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</si>
  <si>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</si>
  <si>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</si>
  <si>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</si>
  <si>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</si>
  <si>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</si>
  <si>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</si>
  <si>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</si>
  <si>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</si>
  <si>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</si>
  <si>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</si>
  <si>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</si>
  <si>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</si>
  <si>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</si>
  <si>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</si>
  <si>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</si>
  <si>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</si>
  <si>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</si>
  <si>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</si>
  <si>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</si>
  <si>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</si>
  <si>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</si>
  <si>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</si>
  <si>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</si>
  <si>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</si>
  <si>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</si>
  <si>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</si>
  <si>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</si>
  <si>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</si>
  <si>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</si>
  <si>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</si>
  <si>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</si>
  <si>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</si>
  <si>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</si>
  <si>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</si>
  <si>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</si>
  <si>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</si>
  <si>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</si>
  <si>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</si>
  <si>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</si>
  <si>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</si>
  <si>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</si>
  <si>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</si>
  <si>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</si>
  <si>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</si>
  <si>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</si>
  <si>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</si>
  <si>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</si>
  <si>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</si>
  <si>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</si>
  <si>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</si>
  <si>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</si>
  <si>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</si>
  <si>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</si>
  <si>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</si>
  <si>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</si>
  <si>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</si>
  <si>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</si>
  <si>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</si>
  <si>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</si>
  <si>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</si>
  <si>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</si>
  <si>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</si>
  <si>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</si>
  <si>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</si>
  <si>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</si>
  <si>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</si>
  <si>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</si>
  <si>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</si>
  <si>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</si>
  <si>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</si>
  <si>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</si>
  <si>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</si>
  <si>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</si>
  <si>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</si>
  <si>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</si>
  <si>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</si>
  <si>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</si>
  <si>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</si>
  <si>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</si>
  <si>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</si>
  <si>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</si>
  <si>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</si>
  <si>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</si>
  <si>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</si>
  <si>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</si>
  <si>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</si>
  <si>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</si>
  <si>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</si>
  <si>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</si>
  <si>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</si>
  <si>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</si>
  <si>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</si>
  <si>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</si>
  <si>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</si>
  <si>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</si>
  <si>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</si>
  <si>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</si>
  <si>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</si>
  <si>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</si>
  <si>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</si>
  <si>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</si>
  <si>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</si>
  <si>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</si>
  <si>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</si>
  <si>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</si>
  <si>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</si>
  <si>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</si>
  <si>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</si>
  <si>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</si>
  <si>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</si>
  <si>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</si>
  <si>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</si>
  <si>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</si>
  <si>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</si>
  <si>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</si>
  <si>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</si>
  <si>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</si>
  <si>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</si>
  <si>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</si>
  <si>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</si>
  <si>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</si>
  <si>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</si>
  <si>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</si>
  <si>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</si>
  <si>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</si>
  <si>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</si>
  <si>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</si>
  <si>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</si>
  <si>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</si>
  <si>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</si>
  <si>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</si>
  <si>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</si>
  <si>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</si>
  <si>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</si>
  <si>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</si>
  <si>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</si>
  <si>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</si>
  <si>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</si>
  <si>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</si>
  <si>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</si>
  <si>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</si>
  <si>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</si>
  <si>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</si>
  <si>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</si>
  <si>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</si>
  <si>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</si>
  <si>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</si>
  <si>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</si>
  <si>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</si>
  <si>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</si>
  <si>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</si>
  <si>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</si>
  <si>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</si>
  <si>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</si>
  <si>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</si>
  <si>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</si>
  <si>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</si>
  <si>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</si>
  <si>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</si>
  <si>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</si>
  <si>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</si>
  <si>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</si>
  <si>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</si>
  <si>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</si>
  <si>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</si>
  <si>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</si>
  <si>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</si>
  <si>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</si>
  <si>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</si>
  <si>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</si>
  <si>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</si>
  <si>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</si>
  <si>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</si>
  <si>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</si>
  <si>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</si>
  <si>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</si>
  <si>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</si>
  <si>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</si>
  <si>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</si>
  <si>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</si>
  <si>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</si>
  <si>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</si>
  <si>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</si>
  <si>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</si>
  <si>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</si>
  <si>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</si>
  <si>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</si>
  <si>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</si>
  <si>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</si>
  <si>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</si>
  <si>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</si>
  <si>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</si>
  <si>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</si>
  <si>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</si>
  <si>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</si>
  <si>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</si>
  <si>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</si>
  <si>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</si>
  <si>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</si>
  <si>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</si>
  <si>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</si>
  <si>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</si>
  <si>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</si>
  <si>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</si>
  <si>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</si>
  <si>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</si>
  <si>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</si>
  <si>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</si>
  <si>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</si>
  <si>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</si>
  <si>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</si>
  <si>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</si>
  <si>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</si>
  <si>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</si>
  <si>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</si>
  <si>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</si>
  <si>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</si>
  <si>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</si>
  <si>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</si>
  <si>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</si>
  <si>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</si>
  <si>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</si>
  <si>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</si>
  <si>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</si>
  <si>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</si>
  <si>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</si>
  <si>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</si>
  <si>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</si>
  <si>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</si>
  <si>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</si>
  <si>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</si>
  <si>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</si>
  <si>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</si>
  <si>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</si>
  <si>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</si>
  <si>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</si>
  <si>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</si>
  <si>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</si>
  <si>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</si>
  <si>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</si>
  <si>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</si>
  <si>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</si>
  <si>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</si>
  <si>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</si>
  <si>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</si>
  <si>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</si>
  <si>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</si>
  <si>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</si>
  <si>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</si>
  <si>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</si>
  <si>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</si>
  <si>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</si>
  <si>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</si>
  <si>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</si>
  <si>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</si>
  <si>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</si>
  <si>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</si>
  <si>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</si>
  <si>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</si>
  <si>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</si>
  <si>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</si>
  <si>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</si>
  <si>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</si>
  <si>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</si>
  <si>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</si>
  <si>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</si>
  <si>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</si>
  <si>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Total Variability Calculator</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</si>
  <si>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</si>
  <si>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</si>
  <si>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</si>
  <si>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</si>
  <si>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</si>
  <si>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</si>
  <si>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</si>
  <si>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</si>
  <si>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</si>
  <si>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</si>
  <si>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</si>
  <si>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</si>
  <si>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</si>
  <si>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Version 3.0</t>
  </si>
  <si>
    <t>© David Dubins, 2007-2024 (d.dubins@utoronto.ca)</t>
  </si>
  <si>
    <t>Schütz, Helmut. "Biostatistics - 
Sample Size Estimation
for BE Studies". Workshop | Bucarest, 19 March 2013, available at: https://bebac.at/lectures/Bucharest2013WS1.pdf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</si>
</sst>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34</xdr:row>
      <xdr:rowOff>120650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8312150" y="1244600"/>
          <a:ext cx="4958181" cy="46672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election activeCell="C9" sqref="C9"/>
    </sheetView>
  </sheetViews>
  <sheetFormatPr defaultColWidth="9.1796875" defaultRowHeight="12.5"/>
  <cols>
    <col min="1" max="1" width="5.1796875" style="64" customWidth="1"/>
    <col min="2" max="2" width="10.453125" style="64" customWidth="1"/>
    <col min="3" max="16384" width="9.1796875" style="64"/>
  </cols>
  <sheetData>
    <row r="2" spans="2:9" ht="20">
      <c r="C2" s="65" t="s">
        <v>239</v>
      </c>
      <c r="I2" s="66" t="s">
        <v>329</v>
      </c>
    </row>
    <row r="3" spans="2:9" ht="20">
      <c r="C3" s="65" t="s">
        <v>240</v>
      </c>
    </row>
    <row r="4" spans="2:9">
      <c r="B4" s="67" t="s">
        <v>79</v>
      </c>
    </row>
    <row r="6" spans="2:9">
      <c r="B6" s="68" t="s">
        <v>330</v>
      </c>
    </row>
    <row r="8" spans="2:9" ht="13">
      <c r="B8" s="69"/>
    </row>
    <row r="9" spans="2:9">
      <c r="B9" s="70"/>
    </row>
    <row r="10" spans="2:9">
      <c r="B10" s="71"/>
    </row>
    <row r="11" spans="2:9">
      <c r="B11" s="71"/>
    </row>
    <row r="12" spans="2:9">
      <c r="B12" s="71"/>
    </row>
    <row r="28" spans="2:9" ht="13">
      <c r="B28" s="72" t="s">
        <v>88</v>
      </c>
    </row>
    <row r="29" spans="2:9">
      <c r="B29" s="73" t="s">
        <v>195</v>
      </c>
    </row>
    <row r="30" spans="2:9" ht="22.5" customHeight="1">
      <c r="B30" s="141" t="s">
        <v>129</v>
      </c>
      <c r="C30" s="141"/>
      <c r="D30" s="141"/>
      <c r="E30" s="141"/>
      <c r="F30" s="141"/>
      <c r="G30" s="141"/>
      <c r="H30" s="141"/>
      <c r="I30" s="141"/>
    </row>
    <row r="31" spans="2:9">
      <c r="B31" s="74" t="s">
        <v>143</v>
      </c>
    </row>
    <row r="32" spans="2:9">
      <c r="B32" s="74" t="s">
        <v>146</v>
      </c>
    </row>
    <row r="33" spans="2:2">
      <c r="B33" s="74" t="s">
        <v>136</v>
      </c>
    </row>
    <row r="34" spans="2:2">
      <c r="B34" s="74" t="s">
        <v>135</v>
      </c>
    </row>
    <row r="35" spans="2:2">
      <c r="B35" s="74" t="s">
        <v>140</v>
      </c>
    </row>
    <row r="36" spans="2:2">
      <c r="B36" s="74" t="s">
        <v>177</v>
      </c>
    </row>
    <row r="37" spans="2:2">
      <c r="B37" s="74" t="s">
        <v>198</v>
      </c>
    </row>
    <row r="38" spans="2:2">
      <c r="B38" s="74" t="s">
        <v>241</v>
      </c>
    </row>
    <row r="39" spans="2:2">
      <c r="B39" s="73" t="s">
        <v>331</v>
      </c>
    </row>
    <row r="41" spans="2:2">
      <c r="B41" s="73" t="s">
        <v>200</v>
      </c>
    </row>
    <row r="42" spans="2:2">
      <c r="B42" s="73" t="s">
        <v>201</v>
      </c>
    </row>
    <row r="43" spans="2:2">
      <c r="B43" s="73" t="s">
        <v>202</v>
      </c>
    </row>
    <row r="44" spans="2:2">
      <c r="B44" s="73" t="s">
        <v>130</v>
      </c>
    </row>
    <row r="45" spans="2:2">
      <c r="B45" s="73" t="s">
        <v>203</v>
      </c>
    </row>
    <row r="46" spans="2:2">
      <c r="B46" s="74" t="s">
        <v>194</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121</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117</v>
      </c>
      <c r="C8" s="11">
        <f>C6/C5</f>
        <v>0.2</v>
      </c>
    </row>
    <row r="10" spans="2:31">
      <c r="B10" s="8" t="s">
        <v>18</v>
      </c>
      <c r="C10" s="1">
        <f>C5</f>
        <v>40</v>
      </c>
      <c r="V10" s="50" t="s">
        <v>211</v>
      </c>
      <c r="W10" s="50" t="s">
        <v>209</v>
      </c>
      <c r="X10" s="50" t="s">
        <v>212</v>
      </c>
      <c r="Y10" s="50" t="s">
        <v>210</v>
      </c>
      <c r="AA10" s="50" t="s">
        <v>223</v>
      </c>
      <c r="AB10" s="50" t="s">
        <v>224</v>
      </c>
    </row>
    <row r="11" spans="2:31" ht="15.5">
      <c r="B11" s="1" t="s">
        <v>59</v>
      </c>
      <c r="C11" s="7">
        <v>3</v>
      </c>
      <c r="U11" s="50" t="s">
        <v>205</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206</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204</v>
      </c>
      <c r="V14" s="50" t="s">
        <v>207</v>
      </c>
      <c r="W14" s="50" t="s">
        <v>208</v>
      </c>
      <c r="Y14" s="53" t="s">
        <v>219</v>
      </c>
      <c r="AC14" s="53" t="s">
        <v>221</v>
      </c>
    </row>
    <row r="15" spans="2:31">
      <c r="U15" s="50">
        <v>0</v>
      </c>
      <c r="V15" s="50">
        <f>_xlfn.NORM.DIST($U15,$V$11,$C$5,FALSE)</f>
        <v>3.3457556441221339E-6</v>
      </c>
      <c r="W15" s="50">
        <f>_xlfn.NORM.DIST($U15,$V$12,$C$5,FALSE)</f>
        <v>1.4735766939134965E-6</v>
      </c>
      <c r="Y15" s="50" t="s">
        <v>216</v>
      </c>
      <c r="Z15" s="50" t="s">
        <v>213</v>
      </c>
      <c r="AA15" s="50" t="s">
        <v>214</v>
      </c>
      <c r="AC15" s="50" t="s">
        <v>216</v>
      </c>
      <c r="AD15" s="50" t="s">
        <v>213</v>
      </c>
      <c r="AE15" s="50" t="s">
        <v>214</v>
      </c>
    </row>
    <row r="16" spans="2:31">
      <c r="U16" s="50">
        <f>U15+$AB$11</f>
        <v>9.9393939393939394</v>
      </c>
      <c r="V16" s="50">
        <f t="shared" ref="V16:V47" si="0">_xlfn.NORM.DIST($U16,$V$11,$C$5,FALSE)</f>
        <v>8.7649394011783917E-6</v>
      </c>
      <c r="W16" s="50">
        <f t="shared" ref="W16:W47" si="1">_xlfn.NORM.DIST($U16,$V$12,$C$5,FALSE)</f>
        <v>4.0570518897450162E-6</v>
      </c>
      <c r="Y16" s="50" t="s">
        <v>215</v>
      </c>
      <c r="Z16" s="50">
        <f>$V$11-$W$11</f>
        <v>120</v>
      </c>
      <c r="AA16" s="50">
        <v>0</v>
      </c>
      <c r="AC16" s="50" t="s">
        <v>215</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217</v>
      </c>
      <c r="Z17" s="50">
        <f>Z16</f>
        <v>120</v>
      </c>
      <c r="AA17" s="50">
        <f>IF(Y13,MAX($V$15:$V$47),0)</f>
        <v>9.9706267351264838E-3</v>
      </c>
      <c r="AC17" s="50" t="s">
        <v>217</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218</v>
      </c>
      <c r="Z18" s="50" t="s">
        <v>213</v>
      </c>
      <c r="AA18" s="50" t="s">
        <v>214</v>
      </c>
      <c r="AC18" s="50" t="s">
        <v>218</v>
      </c>
      <c r="AD18" s="50" t="s">
        <v>213</v>
      </c>
      <c r="AE18" s="50" t="s">
        <v>214</v>
      </c>
    </row>
    <row r="19" spans="2:31" ht="15">
      <c r="C19" s="16" t="s">
        <v>62</v>
      </c>
      <c r="D19" s="16" t="s">
        <v>63</v>
      </c>
      <c r="E19" s="16" t="s">
        <v>65</v>
      </c>
      <c r="U19" s="50">
        <f t="shared" si="2"/>
        <v>39.757575757575758</v>
      </c>
      <c r="V19" s="50">
        <f t="shared" si="0"/>
        <v>1.0879793853904708E-4</v>
      </c>
      <c r="W19" s="50">
        <f t="shared" si="1"/>
        <v>5.8456346720510549E-5</v>
      </c>
      <c r="Y19" s="50" t="s">
        <v>215</v>
      </c>
      <c r="Z19" s="50">
        <f>$V$11+$W$11</f>
        <v>200</v>
      </c>
      <c r="AA19" s="50">
        <v>0</v>
      </c>
      <c r="AC19" s="50" t="s">
        <v>215</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217</v>
      </c>
      <c r="Z20" s="50">
        <f>Z19</f>
        <v>200</v>
      </c>
      <c r="AA20" s="50">
        <f>AA17</f>
        <v>9.9706267351264838E-3</v>
      </c>
      <c r="AC20" s="50" t="s">
        <v>217</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220</v>
      </c>
      <c r="AC22" s="53" t="s">
        <v>222</v>
      </c>
    </row>
    <row r="23" spans="2:31">
      <c r="U23" s="50">
        <f t="shared" si="2"/>
        <v>79.515151515151516</v>
      </c>
      <c r="V23" s="50">
        <f t="shared" si="0"/>
        <v>1.3173490285471054E-3</v>
      </c>
      <c r="W23" s="50">
        <f t="shared" si="1"/>
        <v>8.6346420391826431E-4</v>
      </c>
      <c r="Y23" s="50" t="s">
        <v>216</v>
      </c>
      <c r="Z23" s="50" t="s">
        <v>213</v>
      </c>
      <c r="AA23" s="50" t="s">
        <v>214</v>
      </c>
      <c r="AC23" s="50" t="s">
        <v>216</v>
      </c>
      <c r="AD23" s="50" t="s">
        <v>213</v>
      </c>
      <c r="AE23" s="50" t="s">
        <v>214</v>
      </c>
    </row>
    <row r="24" spans="2:31">
      <c r="U24" s="50">
        <f t="shared" si="2"/>
        <v>89.454545454545453</v>
      </c>
      <c r="V24" s="50">
        <f t="shared" si="0"/>
        <v>2.1058742047565713E-3</v>
      </c>
      <c r="W24" s="50">
        <f t="shared" si="1"/>
        <v>1.4506379241390895E-3</v>
      </c>
      <c r="Y24" s="50" t="s">
        <v>215</v>
      </c>
      <c r="Z24" s="50">
        <f>$V$12-$W$12</f>
        <v>128</v>
      </c>
      <c r="AA24" s="50">
        <v>0</v>
      </c>
      <c r="AC24" s="50" t="s">
        <v>215</v>
      </c>
      <c r="AD24" s="50">
        <f>$V$12-$Y$12</f>
        <v>100.565821566118</v>
      </c>
      <c r="AE24" s="50">
        <v>0</v>
      </c>
    </row>
    <row r="25" spans="2:31" ht="20.25" customHeight="1">
      <c r="B25" s="43" t="s">
        <v>228</v>
      </c>
      <c r="C25" s="1">
        <f>16*C5^2/C6^2</f>
        <v>400</v>
      </c>
      <c r="D25" s="43" t="s">
        <v>229</v>
      </c>
      <c r="U25" s="50">
        <f t="shared" si="2"/>
        <v>99.393939393939391</v>
      </c>
      <c r="V25" s="50">
        <f t="shared" si="0"/>
        <v>3.164817002251043E-3</v>
      </c>
      <c r="W25" s="50">
        <f t="shared" si="1"/>
        <v>2.2911753328812823E-3</v>
      </c>
      <c r="Y25" s="50" t="s">
        <v>217</v>
      </c>
      <c r="Z25" s="50">
        <f>Z24</f>
        <v>128</v>
      </c>
      <c r="AA25" s="50">
        <f>IF(Y13,MAX($W$15:$W$47),0)</f>
        <v>9.9706267351264838E-3</v>
      </c>
      <c r="AC25" s="50" t="s">
        <v>217</v>
      </c>
      <c r="AD25" s="50">
        <f>AD24</f>
        <v>100.565821566118</v>
      </c>
      <c r="AE25" s="50">
        <f>IF(AC13,MAX($W$15:$W$47),0)</f>
        <v>0</v>
      </c>
    </row>
    <row r="26" spans="2:31">
      <c r="U26" s="50">
        <f t="shared" si="2"/>
        <v>109.33333333333333</v>
      </c>
      <c r="V26" s="50">
        <f t="shared" si="0"/>
        <v>4.4714604123635123E-3</v>
      </c>
      <c r="W26" s="50">
        <f t="shared" si="1"/>
        <v>3.4020620603069508E-3</v>
      </c>
      <c r="Y26" s="50" t="s">
        <v>218</v>
      </c>
      <c r="Z26" s="50" t="s">
        <v>213</v>
      </c>
      <c r="AA26" s="50" t="s">
        <v>214</v>
      </c>
      <c r="AC26" s="50" t="s">
        <v>218</v>
      </c>
      <c r="AD26" s="50" t="s">
        <v>213</v>
      </c>
      <c r="AE26" s="50" t="s">
        <v>214</v>
      </c>
    </row>
    <row r="27" spans="2:31">
      <c r="U27" s="50">
        <f t="shared" si="2"/>
        <v>119.27272727272727</v>
      </c>
      <c r="V27" s="50">
        <f t="shared" si="0"/>
        <v>5.9392934840752573E-3</v>
      </c>
      <c r="W27" s="50">
        <f t="shared" si="1"/>
        <v>4.749093798530557E-3</v>
      </c>
      <c r="Y27" s="50" t="s">
        <v>215</v>
      </c>
      <c r="Z27" s="50">
        <f>$V$12+$W$12</f>
        <v>208</v>
      </c>
      <c r="AA27" s="50">
        <v>0</v>
      </c>
      <c r="AC27" s="50" t="s">
        <v>215</v>
      </c>
      <c r="AD27" s="50">
        <f>$V$12+$Y$12</f>
        <v>235.43417843388198</v>
      </c>
      <c r="AE27" s="50">
        <v>0</v>
      </c>
    </row>
    <row r="28" spans="2:31">
      <c r="U28" s="50">
        <f t="shared" si="2"/>
        <v>129.21212121212122</v>
      </c>
      <c r="V28" s="50">
        <f t="shared" si="0"/>
        <v>7.4165988722577278E-3</v>
      </c>
      <c r="W28" s="50">
        <f t="shared" si="1"/>
        <v>6.2325227407400525E-3</v>
      </c>
      <c r="Y28" s="50" t="s">
        <v>217</v>
      </c>
      <c r="Z28" s="50">
        <f>Z27</f>
        <v>208</v>
      </c>
      <c r="AA28" s="50">
        <f>AA25</f>
        <v>9.9706267351264838E-3</v>
      </c>
      <c r="AC28" s="50" t="s">
        <v>217</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225</v>
      </c>
    </row>
    <row r="31" spans="2:31">
      <c r="U31" s="50">
        <f t="shared" si="2"/>
        <v>159.03030303030303</v>
      </c>
      <c r="V31" s="50">
        <f t="shared" si="0"/>
        <v>9.9706267351264838E-3</v>
      </c>
      <c r="W31" s="50">
        <f t="shared" si="1"/>
        <v>9.7259245972099086E-3</v>
      </c>
      <c r="Y31" s="50" t="s">
        <v>216</v>
      </c>
      <c r="Z31" s="50" t="s">
        <v>213</v>
      </c>
      <c r="AA31" s="50" t="s">
        <v>214</v>
      </c>
    </row>
    <row r="32" spans="2:31">
      <c r="U32" s="50">
        <f t="shared" si="2"/>
        <v>168.96969696969697</v>
      </c>
      <c r="V32" s="50">
        <f t="shared" si="0"/>
        <v>9.7259245972099086E-3</v>
      </c>
      <c r="W32" s="50">
        <f t="shared" si="1"/>
        <v>9.9706267351264838E-3</v>
      </c>
      <c r="Y32" s="50" t="s">
        <v>215</v>
      </c>
      <c r="Z32" s="50">
        <f>$V$12-$C$6</f>
        <v>160</v>
      </c>
      <c r="AA32" s="50">
        <v>0</v>
      </c>
    </row>
    <row r="33" spans="2:27">
      <c r="U33" s="50">
        <f t="shared" si="2"/>
        <v>178.90909090909091</v>
      </c>
      <c r="V33" s="50">
        <f t="shared" si="0"/>
        <v>8.9191598458717939E-3</v>
      </c>
      <c r="W33" s="50">
        <f t="shared" si="1"/>
        <v>9.6094521114314744E-3</v>
      </c>
      <c r="Y33" s="50" t="s">
        <v>217</v>
      </c>
      <c r="Z33" s="50">
        <f>Z32</f>
        <v>160</v>
      </c>
      <c r="AA33" s="50">
        <f>IF($Y$29,MAX($V$15:$W$47),0)</f>
        <v>9.9706267351264838E-3</v>
      </c>
    </row>
    <row r="34" spans="2:27">
      <c r="U34" s="50">
        <f t="shared" si="2"/>
        <v>188.84848484848484</v>
      </c>
      <c r="V34" s="50">
        <f t="shared" si="0"/>
        <v>7.6895620381677134E-3</v>
      </c>
      <c r="W34" s="50">
        <f t="shared" si="1"/>
        <v>8.7068167558675656E-3</v>
      </c>
      <c r="Y34" s="50" t="s">
        <v>218</v>
      </c>
      <c r="Z34" s="50" t="s">
        <v>213</v>
      </c>
      <c r="AA34" s="50" t="s">
        <v>214</v>
      </c>
    </row>
    <row r="35" spans="2:27">
      <c r="U35" s="50">
        <f t="shared" si="2"/>
        <v>198.78787878787878</v>
      </c>
      <c r="V35" s="50">
        <f t="shared" si="0"/>
        <v>6.2325227407400525E-3</v>
      </c>
      <c r="W35" s="50">
        <f t="shared" si="1"/>
        <v>7.4165988722577278E-3</v>
      </c>
      <c r="Y35" s="50" t="s">
        <v>215</v>
      </c>
      <c r="Z35" s="50">
        <f>$V$12</f>
        <v>168</v>
      </c>
      <c r="AA35" s="50">
        <v>0</v>
      </c>
    </row>
    <row r="36" spans="2:27" ht="13">
      <c r="D36" s="9" t="s">
        <v>80</v>
      </c>
      <c r="U36" s="50">
        <f t="shared" si="2"/>
        <v>208.72727272727272</v>
      </c>
      <c r="V36" s="50">
        <f t="shared" si="0"/>
        <v>4.7490937985305588E-3</v>
      </c>
      <c r="W36" s="50">
        <f t="shared" si="1"/>
        <v>5.939293484075259E-3</v>
      </c>
      <c r="Y36" s="50" t="s">
        <v>217</v>
      </c>
      <c r="Z36" s="50">
        <f>Z35</f>
        <v>168</v>
      </c>
      <c r="AA36" s="50">
        <f>AA33</f>
        <v>9.9706267351264838E-3</v>
      </c>
    </row>
    <row r="37" spans="2:27" ht="18">
      <c r="B37" s="27" t="s">
        <v>122</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124</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121</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116</v>
      </c>
      <c r="U5" s="1" t="s">
        <v>55</v>
      </c>
    </row>
    <row r="6" spans="2:31" ht="16" thickBot="1">
      <c r="B6" s="1" t="s">
        <v>17</v>
      </c>
      <c r="C6" s="3">
        <v>10</v>
      </c>
      <c r="D6" s="1" t="s">
        <v>24</v>
      </c>
      <c r="U6" s="1">
        <v>1</v>
      </c>
    </row>
    <row r="7" spans="2:31" ht="13" thickBot="1">
      <c r="C7" s="4"/>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206</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204</v>
      </c>
      <c r="V14" s="43" t="s">
        <v>207</v>
      </c>
      <c r="W14" s="43" t="s">
        <v>208</v>
      </c>
      <c r="Y14" s="9" t="s">
        <v>219</v>
      </c>
      <c r="AC14" s="9" t="s">
        <v>221</v>
      </c>
    </row>
    <row r="15" spans="2:31">
      <c r="U15" s="1">
        <v>0</v>
      </c>
      <c r="V15" s="1">
        <f>_xlfn.NORM.DIST($U15,$V$11,$C$5,FALSE)</f>
        <v>6.6915112882442679E-6</v>
      </c>
      <c r="W15" s="1">
        <f>_xlfn.NORM.DIST($U15,$V$12,$C$5,FALSE)</f>
        <v>7.9918705534527388E-7</v>
      </c>
      <c r="Y15" s="43" t="s">
        <v>216</v>
      </c>
      <c r="Z15" s="43" t="s">
        <v>213</v>
      </c>
      <c r="AA15" s="43" t="s">
        <v>214</v>
      </c>
      <c r="AC15" s="43" t="s">
        <v>216</v>
      </c>
      <c r="AD15" s="43" t="s">
        <v>213</v>
      </c>
      <c r="AE15" s="43" t="s">
        <v>214</v>
      </c>
    </row>
    <row r="16" spans="2:31">
      <c r="U16" s="1">
        <f>U15+$AB$11</f>
        <v>5.1515151515151514</v>
      </c>
      <c r="V16" s="1">
        <f t="shared" ref="V16:V47" si="0">_xlfn.NORM.DIST($U16,$V$11,$C$5,FALSE)</f>
        <v>1.8137291925126829E-5</v>
      </c>
      <c r="W16" s="1">
        <f t="shared" ref="W16:W47" si="1">_xlfn.NORM.DIST($U16,$V$12,$C$5,FALSE)</f>
        <v>2.4639309576665516E-6</v>
      </c>
      <c r="Y16" s="43" t="s">
        <v>215</v>
      </c>
      <c r="Z16" s="1">
        <f>$V$11-$W$11</f>
        <v>60</v>
      </c>
      <c r="AA16" s="1">
        <v>0</v>
      </c>
      <c r="AC16" s="43" t="s">
        <v>215</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217</v>
      </c>
      <c r="Z17" s="1">
        <f>Z16</f>
        <v>60</v>
      </c>
      <c r="AA17" s="1">
        <f>IF(Y13,MAX($V$15:$V$47),0)</f>
        <v>1.980111566953164E-2</v>
      </c>
      <c r="AC17" s="43" t="s">
        <v>217</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218</v>
      </c>
      <c r="Z18" s="43" t="s">
        <v>213</v>
      </c>
      <c r="AA18" s="43" t="s">
        <v>214</v>
      </c>
      <c r="AC18" s="43" t="s">
        <v>218</v>
      </c>
      <c r="AD18" s="43" t="s">
        <v>213</v>
      </c>
      <c r="AE18" s="43" t="s">
        <v>214</v>
      </c>
    </row>
    <row r="19" spans="2:31" ht="13">
      <c r="C19" s="9"/>
      <c r="D19" s="9"/>
      <c r="U19" s="1">
        <f t="shared" si="2"/>
        <v>20.606060606060606</v>
      </c>
      <c r="V19" s="1">
        <f t="shared" si="0"/>
        <v>2.4256984882431001E-4</v>
      </c>
      <c r="W19" s="1">
        <f t="shared" si="1"/>
        <v>4.8494055355597541E-5</v>
      </c>
      <c r="Y19" s="43" t="s">
        <v>215</v>
      </c>
      <c r="Z19" s="1">
        <f>$V$11+$W$11</f>
        <v>100</v>
      </c>
      <c r="AA19" s="1">
        <v>0</v>
      </c>
      <c r="AC19" s="43" t="s">
        <v>215</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217</v>
      </c>
      <c r="Z20" s="1">
        <f>Z19</f>
        <v>100</v>
      </c>
      <c r="AA20" s="1">
        <f>AA17</f>
        <v>1.980111566953164E-2</v>
      </c>
      <c r="AC20" s="43" t="s">
        <v>217</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220</v>
      </c>
      <c r="AC22" s="9" t="s">
        <v>222</v>
      </c>
    </row>
    <row r="23" spans="2:31">
      <c r="U23" s="1">
        <f t="shared" si="2"/>
        <v>41.212121212121211</v>
      </c>
      <c r="V23" s="1">
        <f t="shared" si="0"/>
        <v>3.0418322453447957E-3</v>
      </c>
      <c r="W23" s="1">
        <f t="shared" si="1"/>
        <v>1.0179217781743333E-3</v>
      </c>
      <c r="Y23" s="43" t="s">
        <v>216</v>
      </c>
      <c r="Z23" s="43" t="s">
        <v>213</v>
      </c>
      <c r="AA23" s="43" t="s">
        <v>214</v>
      </c>
      <c r="AC23" s="43" t="s">
        <v>216</v>
      </c>
      <c r="AD23" s="43" t="s">
        <v>213</v>
      </c>
      <c r="AE23" s="43" t="s">
        <v>214</v>
      </c>
    </row>
    <row r="24" spans="2:31">
      <c r="U24" s="1">
        <f t="shared" si="2"/>
        <v>46.36363636363636</v>
      </c>
      <c r="V24" s="1">
        <f t="shared" si="0"/>
        <v>4.8492704641696274E-3</v>
      </c>
      <c r="W24" s="1">
        <f t="shared" si="1"/>
        <v>1.8458118041464293E-3</v>
      </c>
      <c r="Y24" s="43" t="s">
        <v>215</v>
      </c>
      <c r="Z24" s="1">
        <f>$V$12-$W$12</f>
        <v>70</v>
      </c>
      <c r="AA24" s="1">
        <v>0</v>
      </c>
      <c r="AC24" s="43" t="s">
        <v>215</v>
      </c>
      <c r="AD24" s="1">
        <f>$V$12-$Y$12</f>
        <v>17.095077268119113</v>
      </c>
      <c r="AE24" s="1">
        <v>0</v>
      </c>
    </row>
    <row r="25" spans="2:31">
      <c r="U25" s="1">
        <f t="shared" si="2"/>
        <v>51.515151515151508</v>
      </c>
      <c r="V25" s="1">
        <f t="shared" si="0"/>
        <v>7.2344275216876253E-3</v>
      </c>
      <c r="W25" s="1">
        <f t="shared" si="1"/>
        <v>3.1321824144568463E-3</v>
      </c>
      <c r="Y25" s="43" t="s">
        <v>217</v>
      </c>
      <c r="Z25" s="1">
        <f>Z24</f>
        <v>70</v>
      </c>
      <c r="AA25" s="1">
        <f>IF(Y13,MAX($W$15:$W$47),0)</f>
        <v>1.980111566953164E-2</v>
      </c>
      <c r="AC25" s="43" t="s">
        <v>217</v>
      </c>
      <c r="AD25" s="1">
        <f>AD24</f>
        <v>17.095077268119113</v>
      </c>
      <c r="AE25" s="1">
        <f>IF(AC13,MAX($W$15:$W$47),0)</f>
        <v>0</v>
      </c>
    </row>
    <row r="26" spans="2:31">
      <c r="U26" s="1">
        <f t="shared" si="2"/>
        <v>56.666666666666657</v>
      </c>
      <c r="V26" s="1">
        <f t="shared" si="0"/>
        <v>1.0099934277702938E-2</v>
      </c>
      <c r="W26" s="1">
        <f t="shared" si="1"/>
        <v>4.97385693963743E-3</v>
      </c>
      <c r="Y26" s="43" t="s">
        <v>218</v>
      </c>
      <c r="Z26" s="43" t="s">
        <v>213</v>
      </c>
      <c r="AA26" s="43" t="s">
        <v>214</v>
      </c>
      <c r="AC26" s="43" t="s">
        <v>218</v>
      </c>
      <c r="AD26" s="43" t="s">
        <v>213</v>
      </c>
      <c r="AE26" s="43" t="s">
        <v>214</v>
      </c>
    </row>
    <row r="27" spans="2:31" ht="20.25" customHeight="1">
      <c r="U27" s="1">
        <f t="shared" si="2"/>
        <v>61.818181818181806</v>
      </c>
      <c r="V27" s="1">
        <f t="shared" si="0"/>
        <v>1.3195308262186492E-2</v>
      </c>
      <c r="W27" s="1">
        <f t="shared" si="1"/>
        <v>7.391390501822824E-3</v>
      </c>
      <c r="Y27" s="43" t="s">
        <v>215</v>
      </c>
      <c r="Z27" s="1">
        <f>$V$12+$W$12</f>
        <v>110</v>
      </c>
      <c r="AA27" s="1">
        <v>0</v>
      </c>
      <c r="AC27" s="43" t="s">
        <v>215</v>
      </c>
      <c r="AD27" s="1">
        <f>$V$12+$Y$12</f>
        <v>162.9049227318809</v>
      </c>
      <c r="AE27" s="1">
        <v>0</v>
      </c>
    </row>
    <row r="28" spans="2:31">
      <c r="U28" s="1">
        <f t="shared" si="2"/>
        <v>66.969696969696955</v>
      </c>
      <c r="V28" s="1">
        <f t="shared" si="0"/>
        <v>1.6132703352552596E-2</v>
      </c>
      <c r="W28" s="1">
        <f t="shared" si="1"/>
        <v>1.0278875841821104E-2</v>
      </c>
      <c r="Y28" s="43" t="s">
        <v>217</v>
      </c>
      <c r="Z28" s="1">
        <f>Z27</f>
        <v>110</v>
      </c>
      <c r="AA28" s="1">
        <f>AA25</f>
        <v>1.980111566953164E-2</v>
      </c>
      <c r="AC28" s="43" t="s">
        <v>217</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225</v>
      </c>
    </row>
    <row r="31" spans="2:31">
      <c r="U31" s="1">
        <f t="shared" si="2"/>
        <v>82.424242424242422</v>
      </c>
      <c r="V31" s="1">
        <f t="shared" si="0"/>
        <v>1.980111566953164E-2</v>
      </c>
      <c r="W31" s="1">
        <f t="shared" si="1"/>
        <v>1.8566230084060359E-2</v>
      </c>
      <c r="Y31" s="43" t="s">
        <v>216</v>
      </c>
      <c r="Z31" s="43" t="s">
        <v>213</v>
      </c>
      <c r="AA31" s="43" t="s">
        <v>214</v>
      </c>
    </row>
    <row r="32" spans="2:31">
      <c r="U32" s="1">
        <f t="shared" si="2"/>
        <v>87.575757575757578</v>
      </c>
      <c r="V32" s="1">
        <f t="shared" si="0"/>
        <v>1.8566230084060359E-2</v>
      </c>
      <c r="W32" s="1">
        <f t="shared" si="1"/>
        <v>1.980111566953164E-2</v>
      </c>
      <c r="Y32" s="43" t="s">
        <v>215</v>
      </c>
      <c r="Z32" s="1">
        <f>V11</f>
        <v>80</v>
      </c>
      <c r="AA32" s="1">
        <v>0</v>
      </c>
    </row>
    <row r="33" spans="2:27">
      <c r="U33" s="1">
        <f t="shared" si="2"/>
        <v>92.727272727272734</v>
      </c>
      <c r="V33" s="1">
        <f t="shared" si="0"/>
        <v>1.62908749718845E-2</v>
      </c>
      <c r="W33" s="1">
        <f t="shared" si="1"/>
        <v>1.9762514802646215E-2</v>
      </c>
      <c r="Y33" s="43" t="s">
        <v>217</v>
      </c>
      <c r="Z33" s="1">
        <f>Z32</f>
        <v>80</v>
      </c>
      <c r="AA33" s="1">
        <f>IF($Y$29,MAX($V$15:$W$47),0)</f>
        <v>1.980111566953164E-2</v>
      </c>
    </row>
    <row r="34" spans="2:27" ht="18">
      <c r="B34" s="27" t="s">
        <v>122</v>
      </c>
      <c r="D34" s="9" t="s">
        <v>80</v>
      </c>
      <c r="U34" s="1">
        <f t="shared" si="2"/>
        <v>97.87878787878789</v>
      </c>
      <c r="V34" s="1">
        <f t="shared" si="0"/>
        <v>1.3376783801223832E-2</v>
      </c>
      <c r="W34" s="1">
        <f t="shared" si="1"/>
        <v>1.8457860980984869E-2</v>
      </c>
      <c r="Y34" s="43" t="s">
        <v>218</v>
      </c>
      <c r="Z34" s="43" t="s">
        <v>213</v>
      </c>
      <c r="AA34" s="43" t="s">
        <v>214</v>
      </c>
    </row>
    <row r="35" spans="2:27">
      <c r="U35" s="1">
        <f t="shared" si="2"/>
        <v>103.03030303030305</v>
      </c>
      <c r="V35" s="1">
        <f t="shared" si="0"/>
        <v>1.0278875841821104E-2</v>
      </c>
      <c r="W35" s="1">
        <f t="shared" si="1"/>
        <v>1.6132703352552596E-2</v>
      </c>
      <c r="Y35" s="43" t="s">
        <v>215</v>
      </c>
      <c r="Z35" s="1">
        <f>V12</f>
        <v>90</v>
      </c>
      <c r="AA35" s="1">
        <v>0</v>
      </c>
    </row>
    <row r="36" spans="2:27">
      <c r="U36" s="1">
        <f t="shared" si="2"/>
        <v>108.1818181818182</v>
      </c>
      <c r="V36" s="1">
        <f t="shared" si="0"/>
        <v>7.3913905018228197E-3</v>
      </c>
      <c r="W36" s="1">
        <f t="shared" si="1"/>
        <v>1.3195308262186491E-2</v>
      </c>
      <c r="Y36" s="43" t="s">
        <v>217</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124</v>
      </c>
      <c r="U45" s="1">
        <f t="shared" si="2"/>
        <v>154.54545454545459</v>
      </c>
      <c r="V45" s="1">
        <f t="shared" si="0"/>
        <v>1.919325201047218E-5</v>
      </c>
      <c r="W45" s="1">
        <f t="shared" si="1"/>
        <v>1.092015353404756E-4</v>
      </c>
    </row>
    <row r="46" spans="2:27" ht="13">
      <c r="B46" s="9" t="s">
        <v>123</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121</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230</v>
      </c>
    </row>
    <row r="8" spans="2:31" ht="13" thickBot="1">
      <c r="B8" s="12" t="s">
        <v>117</v>
      </c>
      <c r="C8" s="11">
        <f>C6/C5</f>
        <v>0.2</v>
      </c>
    </row>
    <row r="10" spans="2:31" ht="13" thickBot="1">
      <c r="B10" s="8" t="s">
        <v>18</v>
      </c>
      <c r="C10" s="1">
        <f>C5</f>
        <v>50</v>
      </c>
      <c r="V10" s="43" t="s">
        <v>211</v>
      </c>
      <c r="W10" s="43" t="s">
        <v>209</v>
      </c>
      <c r="X10" s="43" t="s">
        <v>212</v>
      </c>
      <c r="Y10" s="43" t="s">
        <v>210</v>
      </c>
      <c r="AA10" s="43" t="s">
        <v>223</v>
      </c>
      <c r="AB10" s="43" t="s">
        <v>224</v>
      </c>
    </row>
    <row r="11" spans="2:31" ht="13.5" thickBot="1">
      <c r="B11" s="1" t="s">
        <v>16</v>
      </c>
      <c r="C11" s="7">
        <v>3</v>
      </c>
      <c r="U11" s="43" t="s">
        <v>205</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206</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204</v>
      </c>
      <c r="V14" s="43" t="s">
        <v>207</v>
      </c>
      <c r="W14" s="43" t="s">
        <v>208</v>
      </c>
      <c r="Y14" s="9" t="s">
        <v>219</v>
      </c>
      <c r="AC14" s="9" t="s">
        <v>221</v>
      </c>
    </row>
    <row r="15" spans="2:31">
      <c r="B15" s="1" t="s">
        <v>4</v>
      </c>
      <c r="C15" s="1">
        <f>(C7+C6)*SQRT(C3*C11)/SQRT((C3+1)*C10^2)</f>
        <v>0.24494897427831777</v>
      </c>
      <c r="U15" s="1">
        <v>0</v>
      </c>
      <c r="V15" s="1">
        <f>_xlfn.NORM.DIST($U15,$V$11,$C$5,FALSE)</f>
        <v>2.6766045152977074E-6</v>
      </c>
      <c r="W15" s="1">
        <f>_xlfn.NORM.DIST($U15,$V$12,$C$5,FALSE)</f>
        <v>2.6766045152977074E-6</v>
      </c>
      <c r="Y15" s="43" t="s">
        <v>216</v>
      </c>
      <c r="Z15" s="43" t="s">
        <v>213</v>
      </c>
      <c r="AA15" s="43" t="s">
        <v>214</v>
      </c>
      <c r="AC15" s="43" t="s">
        <v>216</v>
      </c>
      <c r="AD15" s="43" t="s">
        <v>213</v>
      </c>
      <c r="AE15" s="43" t="s">
        <v>214</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215</v>
      </c>
      <c r="Z16" s="1">
        <f>$V$11-$W$11</f>
        <v>150</v>
      </c>
      <c r="AA16" s="1">
        <v>0</v>
      </c>
      <c r="AC16" s="43" t="s">
        <v>215</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217</v>
      </c>
      <c r="Z17" s="1">
        <f>Z16</f>
        <v>150</v>
      </c>
      <c r="AA17" s="1">
        <f>IF(Y13,MAX($V$15:$V$47),0)</f>
        <v>7.9204462678126551E-3</v>
      </c>
      <c r="AC17" s="43" t="s">
        <v>217</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218</v>
      </c>
      <c r="Z18" s="43" t="s">
        <v>213</v>
      </c>
      <c r="AA18" s="43" t="s">
        <v>214</v>
      </c>
      <c r="AC18" s="43" t="s">
        <v>218</v>
      </c>
      <c r="AD18" s="43" t="s">
        <v>213</v>
      </c>
      <c r="AE18" s="43" t="s">
        <v>214</v>
      </c>
    </row>
    <row r="19" spans="2:31" ht="15">
      <c r="C19" s="16" t="s">
        <v>62</v>
      </c>
      <c r="D19" s="16" t="s">
        <v>63</v>
      </c>
      <c r="E19" s="16" t="s">
        <v>65</v>
      </c>
      <c r="U19" s="1">
        <f t="shared" si="2"/>
        <v>48.484848484848484</v>
      </c>
      <c r="V19" s="1">
        <f t="shared" si="0"/>
        <v>8.0897327717729644E-5</v>
      </c>
      <c r="W19" s="1">
        <f t="shared" si="1"/>
        <v>8.0897327717729644E-5</v>
      </c>
      <c r="Y19" s="43" t="s">
        <v>215</v>
      </c>
      <c r="Z19" s="1">
        <f>$V$11+$W$11</f>
        <v>250</v>
      </c>
      <c r="AA19" s="1">
        <v>0</v>
      </c>
      <c r="AC19" s="43" t="s">
        <v>215</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217</v>
      </c>
      <c r="Z20" s="1">
        <f>Z19</f>
        <v>250</v>
      </c>
      <c r="AA20" s="1">
        <f>AA17</f>
        <v>7.9204462678126551E-3</v>
      </c>
      <c r="AC20" s="43" t="s">
        <v>217</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220</v>
      </c>
      <c r="AC22" s="9" t="s">
        <v>222</v>
      </c>
    </row>
    <row r="23" spans="2:31">
      <c r="U23" s="1">
        <f t="shared" si="2"/>
        <v>96.969696969696983</v>
      </c>
      <c r="V23" s="1">
        <f t="shared" si="0"/>
        <v>9.5479852613707073E-4</v>
      </c>
      <c r="W23" s="1">
        <f t="shared" si="1"/>
        <v>9.5479852613707073E-4</v>
      </c>
      <c r="Y23" s="43" t="s">
        <v>216</v>
      </c>
      <c r="Z23" s="43" t="s">
        <v>213</v>
      </c>
      <c r="AA23" s="43" t="s">
        <v>214</v>
      </c>
      <c r="AC23" s="43" t="s">
        <v>216</v>
      </c>
      <c r="AD23" s="43" t="s">
        <v>213</v>
      </c>
      <c r="AE23" s="43" t="s">
        <v>214</v>
      </c>
    </row>
    <row r="24" spans="2:31">
      <c r="U24" s="1">
        <f t="shared" si="2"/>
        <v>109.09090909090911</v>
      </c>
      <c r="V24" s="1">
        <f t="shared" si="0"/>
        <v>1.5279105957013359E-3</v>
      </c>
      <c r="W24" s="1">
        <f t="shared" si="1"/>
        <v>1.5279105957013359E-3</v>
      </c>
      <c r="Y24" s="43" t="s">
        <v>215</v>
      </c>
      <c r="Z24" s="1">
        <f>$V$12-$W$12</f>
        <v>150</v>
      </c>
      <c r="AA24" s="1">
        <v>0</v>
      </c>
      <c r="AC24" s="43" t="s">
        <v>215</v>
      </c>
      <c r="AD24" s="1">
        <f>$V$12-$Y$12</f>
        <v>-166.79653624044829</v>
      </c>
      <c r="AE24" s="1">
        <v>0</v>
      </c>
    </row>
    <row r="25" spans="2:31">
      <c r="U25" s="1">
        <f t="shared" si="2"/>
        <v>121.21212121212123</v>
      </c>
      <c r="V25" s="1">
        <f t="shared" si="0"/>
        <v>2.3054774036885169E-3</v>
      </c>
      <c r="W25" s="1">
        <f t="shared" si="1"/>
        <v>2.3054774036885169E-3</v>
      </c>
      <c r="Y25" s="43" t="s">
        <v>217</v>
      </c>
      <c r="Z25" s="1">
        <f>Z24</f>
        <v>150</v>
      </c>
      <c r="AA25" s="1">
        <f>IF(Y13,MAX($W$15:$W$47),0)</f>
        <v>7.9204462678126551E-3</v>
      </c>
      <c r="AC25" s="43" t="s">
        <v>217</v>
      </c>
      <c r="AD25" s="1">
        <f>AD24</f>
        <v>-166.79653624044829</v>
      </c>
      <c r="AE25" s="1">
        <f>IF(AC13,MAX($W$15:$W$47),0)</f>
        <v>0</v>
      </c>
    </row>
    <row r="26" spans="2:31">
      <c r="U26" s="1">
        <f t="shared" si="2"/>
        <v>133.33333333333334</v>
      </c>
      <c r="V26" s="1">
        <f t="shared" si="0"/>
        <v>3.2802014935198738E-3</v>
      </c>
      <c r="W26" s="1">
        <f t="shared" si="1"/>
        <v>3.2802014935198738E-3</v>
      </c>
      <c r="Y26" s="43" t="s">
        <v>218</v>
      </c>
      <c r="Z26" s="43" t="s">
        <v>213</v>
      </c>
      <c r="AA26" s="43" t="s">
        <v>214</v>
      </c>
      <c r="AC26" s="43" t="s">
        <v>218</v>
      </c>
      <c r="AD26" s="43" t="s">
        <v>213</v>
      </c>
      <c r="AE26" s="43" t="s">
        <v>214</v>
      </c>
    </row>
    <row r="27" spans="2:31" ht="20.25" customHeight="1">
      <c r="U27" s="1">
        <f t="shared" si="2"/>
        <v>145.45454545454547</v>
      </c>
      <c r="V27" s="1">
        <f t="shared" si="0"/>
        <v>4.4006507073998157E-3</v>
      </c>
      <c r="W27" s="1">
        <f t="shared" si="1"/>
        <v>4.4006507073998157E-3</v>
      </c>
      <c r="Y27" s="43" t="s">
        <v>215</v>
      </c>
      <c r="Z27" s="1">
        <f>$V$12+$W$12</f>
        <v>250</v>
      </c>
      <c r="AA27" s="1">
        <v>0</v>
      </c>
      <c r="AC27" s="43" t="s">
        <v>215</v>
      </c>
      <c r="AD27" s="1">
        <f>$V$12+$Y$12</f>
        <v>566.79653624044829</v>
      </c>
      <c r="AE27" s="1">
        <v>0</v>
      </c>
    </row>
    <row r="28" spans="2:31" ht="20.25" customHeight="1">
      <c r="U28" s="1">
        <f t="shared" si="2"/>
        <v>157.57575757575759</v>
      </c>
      <c r="V28" s="1">
        <f t="shared" si="0"/>
        <v>5.5668561622342575E-3</v>
      </c>
      <c r="W28" s="1">
        <f t="shared" si="1"/>
        <v>5.5668561622342575E-3</v>
      </c>
      <c r="Y28" s="43" t="s">
        <v>217</v>
      </c>
      <c r="Z28" s="1">
        <f>Z27</f>
        <v>250</v>
      </c>
      <c r="AA28" s="1">
        <f>AA25</f>
        <v>7.9204462678126551E-3</v>
      </c>
      <c r="AC28" s="43" t="s">
        <v>217</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225</v>
      </c>
      <c r="AC30" s="46"/>
    </row>
    <row r="31" spans="2:31" ht="20.25" customHeight="1">
      <c r="U31" s="1">
        <f t="shared" si="2"/>
        <v>193.93939393939397</v>
      </c>
      <c r="V31" s="1">
        <f t="shared" si="0"/>
        <v>7.9204462678126551E-3</v>
      </c>
      <c r="W31" s="1">
        <f t="shared" si="1"/>
        <v>7.9204462678126551E-3</v>
      </c>
      <c r="Y31" s="43" t="s">
        <v>216</v>
      </c>
      <c r="Z31" s="43" t="s">
        <v>213</v>
      </c>
      <c r="AA31" s="43" t="s">
        <v>214</v>
      </c>
      <c r="AC31" s="43"/>
      <c r="AD31" s="43"/>
      <c r="AE31" s="43"/>
    </row>
    <row r="32" spans="2:31" ht="20.25" customHeight="1">
      <c r="U32" s="1">
        <f t="shared" si="2"/>
        <v>206.06060606060609</v>
      </c>
      <c r="V32" s="1">
        <f t="shared" si="0"/>
        <v>7.9204462678126551E-3</v>
      </c>
      <c r="W32" s="1">
        <f t="shared" si="1"/>
        <v>7.9204462678126551E-3</v>
      </c>
      <c r="Y32" s="43" t="s">
        <v>215</v>
      </c>
      <c r="Z32" s="1">
        <f>AVERAGE($V$11,$V$12)-($C$6/2)</f>
        <v>195</v>
      </c>
      <c r="AA32" s="1">
        <v>0</v>
      </c>
      <c r="AC32" s="43"/>
    </row>
    <row r="33" spans="2:31" ht="20.25" customHeight="1">
      <c r="U33" s="1">
        <f t="shared" si="2"/>
        <v>218.18181818181822</v>
      </c>
      <c r="V33" s="1">
        <f t="shared" si="0"/>
        <v>7.4683794750795745E-3</v>
      </c>
      <c r="W33" s="1">
        <f t="shared" si="1"/>
        <v>7.4683794750795745E-3</v>
      </c>
      <c r="Y33" s="43" t="s">
        <v>217</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218</v>
      </c>
      <c r="Z34" s="43" t="s">
        <v>213</v>
      </c>
      <c r="AA34" s="43" t="s">
        <v>214</v>
      </c>
      <c r="AC34" s="43"/>
      <c r="AD34" s="43"/>
      <c r="AE34" s="43"/>
    </row>
    <row r="35" spans="2:31" ht="20.25" customHeight="1">
      <c r="U35" s="1">
        <f t="shared" si="2"/>
        <v>242.42424242424246</v>
      </c>
      <c r="V35" s="1">
        <f t="shared" si="0"/>
        <v>5.5668561622342523E-3</v>
      </c>
      <c r="W35" s="1">
        <f t="shared" si="1"/>
        <v>5.5668561622342523E-3</v>
      </c>
      <c r="Y35" s="43" t="s">
        <v>215</v>
      </c>
      <c r="Z35" s="1">
        <f>AVERAGE($V$11,$V$12)+($C$6/2)</f>
        <v>205</v>
      </c>
      <c r="AA35" s="1">
        <v>0</v>
      </c>
      <c r="AC35" s="43"/>
    </row>
    <row r="36" spans="2:31" ht="20.25" customHeight="1">
      <c r="U36" s="1">
        <f t="shared" si="2"/>
        <v>254.54545454545459</v>
      </c>
      <c r="V36" s="1">
        <f t="shared" si="0"/>
        <v>4.4006507073998096E-3</v>
      </c>
      <c r="W36" s="1">
        <f t="shared" si="1"/>
        <v>4.4006507073998096E-3</v>
      </c>
      <c r="Y36" s="43" t="s">
        <v>217</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122</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121</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118</v>
      </c>
      <c r="C8" s="11">
        <f>C6/C10</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206</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204</v>
      </c>
      <c r="V14" s="43" t="s">
        <v>207</v>
      </c>
      <c r="W14" s="43" t="s">
        <v>208</v>
      </c>
      <c r="Y14" s="9" t="s">
        <v>219</v>
      </c>
      <c r="AC14" s="9" t="s">
        <v>221</v>
      </c>
    </row>
    <row r="15" spans="2:31">
      <c r="B15" s="1" t="s">
        <v>4</v>
      </c>
      <c r="C15" s="1">
        <f>(C7+C6)*SQRT(C11)/SQRT(2*C10^2)</f>
        <v>0.73484692283495345</v>
      </c>
      <c r="U15" s="1">
        <v>0</v>
      </c>
      <c r="V15" s="1">
        <f>_xlfn.NORM.DIST($U15,$V$11,$C$5,FALSE)</f>
        <v>6.6915112882442679E-6</v>
      </c>
      <c r="W15" s="1">
        <f>_xlfn.NORM.DIST($U15,$V$12,$C$5,FALSE)</f>
        <v>4.4630828588566459E-6</v>
      </c>
      <c r="Y15" s="43" t="s">
        <v>216</v>
      </c>
      <c r="Z15" s="43" t="s">
        <v>213</v>
      </c>
      <c r="AA15" s="43" t="s">
        <v>214</v>
      </c>
      <c r="AC15" s="43" t="s">
        <v>216</v>
      </c>
      <c r="AD15" s="43" t="s">
        <v>213</v>
      </c>
      <c r="AE15" s="43" t="s">
        <v>214</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215</v>
      </c>
      <c r="Z16" s="1">
        <f>$V$11-$W$11</f>
        <v>60</v>
      </c>
      <c r="AA16" s="1">
        <v>0</v>
      </c>
      <c r="AC16" s="43" t="s">
        <v>215</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217</v>
      </c>
      <c r="Z17" s="1">
        <f>Z16</f>
        <v>60</v>
      </c>
      <c r="AA17" s="1">
        <f>IF(Y13,MAX($V$15:$V$47),0)</f>
        <v>1.9894431016018829E-2</v>
      </c>
      <c r="AC17" s="43" t="s">
        <v>217</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218</v>
      </c>
      <c r="Z18" s="43" t="s">
        <v>213</v>
      </c>
      <c r="AA18" s="43" t="s">
        <v>214</v>
      </c>
      <c r="AC18" s="43" t="s">
        <v>218</v>
      </c>
      <c r="AD18" s="43" t="s">
        <v>213</v>
      </c>
      <c r="AE18" s="43" t="s">
        <v>214</v>
      </c>
    </row>
    <row r="19" spans="2:31" ht="13">
      <c r="C19" s="9"/>
      <c r="D19" s="9"/>
      <c r="U19" s="1">
        <f t="shared" si="2"/>
        <v>19.636363636363637</v>
      </c>
      <c r="V19" s="1">
        <f t="shared" si="0"/>
        <v>2.0979461060970466E-4</v>
      </c>
      <c r="W19" s="1">
        <f t="shared" si="1"/>
        <v>1.5436359491898969E-4</v>
      </c>
      <c r="Y19" s="43" t="s">
        <v>215</v>
      </c>
      <c r="Z19" s="1">
        <f>$V$11+$W$11</f>
        <v>100</v>
      </c>
      <c r="AA19" s="1">
        <v>0</v>
      </c>
      <c r="AC19" s="43" t="s">
        <v>215</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217</v>
      </c>
      <c r="Z20" s="1">
        <f>Z19</f>
        <v>100</v>
      </c>
      <c r="AA20" s="1">
        <f>AA17</f>
        <v>1.9894431016018829E-2</v>
      </c>
      <c r="AC20" s="43" t="s">
        <v>217</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220</v>
      </c>
      <c r="AC22" s="9" t="s">
        <v>222</v>
      </c>
    </row>
    <row r="23" spans="2:31">
      <c r="U23" s="1">
        <f t="shared" si="2"/>
        <v>39.272727272727273</v>
      </c>
      <c r="V23" s="1">
        <f t="shared" si="0"/>
        <v>2.5085277881360035E-3</v>
      </c>
      <c r="W23" s="1">
        <f t="shared" si="1"/>
        <v>2.0361477785416481E-3</v>
      </c>
      <c r="Y23" s="43" t="s">
        <v>216</v>
      </c>
      <c r="Z23" s="43" t="s">
        <v>213</v>
      </c>
      <c r="AA23" s="43" t="s">
        <v>214</v>
      </c>
      <c r="AC23" s="43" t="s">
        <v>216</v>
      </c>
      <c r="AD23" s="43" t="s">
        <v>213</v>
      </c>
      <c r="AE23" s="43" t="s">
        <v>214</v>
      </c>
    </row>
    <row r="24" spans="2:31">
      <c r="U24" s="1">
        <f t="shared" si="2"/>
        <v>44.18181818181818</v>
      </c>
      <c r="V24" s="1">
        <f t="shared" si="0"/>
        <v>4.0124690951094319E-3</v>
      </c>
      <c r="W24" s="1">
        <f t="shared" si="1"/>
        <v>3.3378132506082709E-3</v>
      </c>
      <c r="Y24" s="43" t="s">
        <v>215</v>
      </c>
      <c r="Z24" s="1">
        <f>$V$12-$W$12</f>
        <v>62</v>
      </c>
      <c r="AA24" s="1">
        <v>0</v>
      </c>
      <c r="AC24" s="43" t="s">
        <v>215</v>
      </c>
      <c r="AD24" s="1">
        <f>$V$12-$Y$12</f>
        <v>-64.718614496179299</v>
      </c>
      <c r="AE24" s="1">
        <v>0</v>
      </c>
    </row>
    <row r="25" spans="2:31">
      <c r="U25" s="1">
        <f t="shared" si="2"/>
        <v>49.090909090909086</v>
      </c>
      <c r="V25" s="1">
        <f t="shared" si="0"/>
        <v>6.0428127835749435E-3</v>
      </c>
      <c r="W25" s="1">
        <f t="shared" si="1"/>
        <v>5.1516865249837916E-3</v>
      </c>
      <c r="Y25" s="43" t="s">
        <v>217</v>
      </c>
      <c r="Z25" s="1">
        <f>Z24</f>
        <v>62</v>
      </c>
      <c r="AA25" s="1">
        <f>IF(Y13,MAX($W$15:$W$47),0)</f>
        <v>1.9894431016018833E-2</v>
      </c>
      <c r="AC25" s="43" t="s">
        <v>217</v>
      </c>
      <c r="AD25" s="1">
        <f>AD24</f>
        <v>-64.718614496179299</v>
      </c>
      <c r="AE25" s="1">
        <f>IF(AC13,MAX($W$15:$W$47),0)</f>
        <v>0</v>
      </c>
    </row>
    <row r="26" spans="2:31">
      <c r="U26" s="1">
        <f t="shared" si="2"/>
        <v>53.999999999999993</v>
      </c>
      <c r="V26" s="1">
        <f t="shared" si="0"/>
        <v>8.5684296023903657E-3</v>
      </c>
      <c r="W26" s="1">
        <f t="shared" si="1"/>
        <v>7.4863732817872387E-3</v>
      </c>
      <c r="Y26" s="43" t="s">
        <v>218</v>
      </c>
      <c r="Z26" s="43" t="s">
        <v>213</v>
      </c>
      <c r="AA26" s="43" t="s">
        <v>214</v>
      </c>
      <c r="AC26" s="43" t="s">
        <v>218</v>
      </c>
      <c r="AD26" s="43" t="s">
        <v>213</v>
      </c>
      <c r="AE26" s="43" t="s">
        <v>214</v>
      </c>
    </row>
    <row r="27" spans="2:31">
      <c r="U27" s="1">
        <f t="shared" si="2"/>
        <v>58.909090909090899</v>
      </c>
      <c r="V27" s="1">
        <f t="shared" si="0"/>
        <v>1.1439261324980412E-2</v>
      </c>
      <c r="W27" s="1">
        <f t="shared" si="1"/>
        <v>1.0243023799262131E-2</v>
      </c>
      <c r="Y27" s="43" t="s">
        <v>215</v>
      </c>
      <c r="Z27" s="1">
        <f>$V$12+$W$12</f>
        <v>102</v>
      </c>
      <c r="AA27" s="1">
        <v>0</v>
      </c>
      <c r="AC27" s="43" t="s">
        <v>215</v>
      </c>
      <c r="AD27" s="1">
        <f>$V$12+$Y$12</f>
        <v>228.7186144961793</v>
      </c>
      <c r="AE27" s="1">
        <v>0</v>
      </c>
    </row>
    <row r="28" spans="2:31">
      <c r="U28" s="1">
        <f t="shared" si="2"/>
        <v>63.818181818181806</v>
      </c>
      <c r="V28" s="1">
        <f t="shared" si="0"/>
        <v>1.4379023204720835E-2</v>
      </c>
      <c r="W28" s="1">
        <f t="shared" si="1"/>
        <v>1.3195308262186492E-2</v>
      </c>
      <c r="Y28" s="43" t="s">
        <v>217</v>
      </c>
      <c r="Z28" s="1">
        <f>Z27</f>
        <v>102</v>
      </c>
      <c r="AA28" s="1">
        <f>AA25</f>
        <v>1.9894431016018833E-2</v>
      </c>
      <c r="AC28" s="43" t="s">
        <v>217</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225</v>
      </c>
    </row>
    <row r="31" spans="2:31">
      <c r="U31" s="1">
        <f t="shared" si="2"/>
        <v>78.545454545454533</v>
      </c>
      <c r="V31" s="1">
        <f t="shared" si="0"/>
        <v>1.9894431016018829E-2</v>
      </c>
      <c r="W31" s="1">
        <f t="shared" si="1"/>
        <v>1.9651764227432034E-2</v>
      </c>
      <c r="Y31" s="43" t="s">
        <v>216</v>
      </c>
      <c r="Z31" s="43" t="s">
        <v>213</v>
      </c>
      <c r="AA31" s="43" t="s">
        <v>214</v>
      </c>
    </row>
    <row r="32" spans="2:31">
      <c r="U32" s="1">
        <f t="shared" si="2"/>
        <v>83.454545454545439</v>
      </c>
      <c r="V32" s="1">
        <f t="shared" si="0"/>
        <v>1.9651764227432034E-2</v>
      </c>
      <c r="W32" s="1">
        <f t="shared" si="1"/>
        <v>1.9894431016018833E-2</v>
      </c>
      <c r="Y32" s="43" t="s">
        <v>215</v>
      </c>
      <c r="Z32" s="1">
        <f>AVERAGE($V$11,$V$12)-($C$6/2)</f>
        <v>76</v>
      </c>
      <c r="AA32" s="1">
        <v>0</v>
      </c>
    </row>
    <row r="33" spans="2:27">
      <c r="U33" s="1">
        <f t="shared" si="2"/>
        <v>88.363636363636346</v>
      </c>
      <c r="V33" s="1">
        <f t="shared" si="0"/>
        <v>1.8277055140371014E-2</v>
      </c>
      <c r="W33" s="1">
        <f t="shared" si="1"/>
        <v>1.8962524515457924E-2</v>
      </c>
      <c r="Y33" s="43" t="s">
        <v>217</v>
      </c>
      <c r="Z33" s="1">
        <f>Z32</f>
        <v>76</v>
      </c>
      <c r="AA33" s="1">
        <f>IF($Y$29,MAX($V$15:$W$47),0)</f>
        <v>1.9894431016018833E-2</v>
      </c>
    </row>
    <row r="34" spans="2:27">
      <c r="U34" s="1">
        <f t="shared" si="2"/>
        <v>93.272727272727252</v>
      </c>
      <c r="V34" s="1">
        <f t="shared" si="0"/>
        <v>1.6004626883487763E-2</v>
      </c>
      <c r="W34" s="1">
        <f t="shared" si="1"/>
        <v>1.7017487588748555E-2</v>
      </c>
      <c r="Y34" s="43" t="s">
        <v>218</v>
      </c>
      <c r="Z34" s="43" t="s">
        <v>213</v>
      </c>
      <c r="AA34" s="43" t="s">
        <v>214</v>
      </c>
    </row>
    <row r="35" spans="2:27">
      <c r="U35" s="1">
        <f t="shared" si="2"/>
        <v>98.181818181818159</v>
      </c>
      <c r="V35" s="1">
        <f t="shared" si="0"/>
        <v>1.3195308262186515E-2</v>
      </c>
      <c r="W35" s="1">
        <f t="shared" si="1"/>
        <v>1.4379023204720856E-2</v>
      </c>
      <c r="Y35" s="43" t="s">
        <v>215</v>
      </c>
      <c r="Z35" s="1">
        <f>AVERAGE($V$11,$V$12)+($C$6/2)</f>
        <v>86</v>
      </c>
      <c r="AA35" s="1">
        <v>0</v>
      </c>
    </row>
    <row r="36" spans="2:27">
      <c r="U36" s="1">
        <f t="shared" si="2"/>
        <v>103.09090909090907</v>
      </c>
      <c r="V36" s="1">
        <f t="shared" si="0"/>
        <v>1.024302379926215E-2</v>
      </c>
      <c r="W36" s="1">
        <f t="shared" si="1"/>
        <v>1.1439261324980434E-2</v>
      </c>
      <c r="Y36" s="43" t="s">
        <v>217</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122</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124</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121</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3" thickBot="1">
      <c r="B8" s="12" t="s">
        <v>117</v>
      </c>
      <c r="C8" s="11">
        <f>C6/C5</f>
        <v>0.25</v>
      </c>
    </row>
    <row r="10" spans="2:31" ht="13" thickBot="1">
      <c r="B10" s="8" t="s">
        <v>18</v>
      </c>
      <c r="C10" s="1">
        <f>C5</f>
        <v>40</v>
      </c>
      <c r="V10" s="43" t="s">
        <v>211</v>
      </c>
      <c r="W10" s="43" t="s">
        <v>209</v>
      </c>
      <c r="X10" s="43" t="s">
        <v>212</v>
      </c>
      <c r="Y10" s="43" t="s">
        <v>210</v>
      </c>
      <c r="AA10" s="43" t="s">
        <v>223</v>
      </c>
      <c r="AB10" s="43" t="s">
        <v>224</v>
      </c>
    </row>
    <row r="11" spans="2:31" ht="13.5" thickBot="1">
      <c r="B11" s="1" t="s">
        <v>16</v>
      </c>
      <c r="C11" s="7">
        <v>3</v>
      </c>
      <c r="U11" s="43" t="s">
        <v>205</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206</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204</v>
      </c>
      <c r="V14" s="43" t="s">
        <v>207</v>
      </c>
      <c r="W14" s="43" t="s">
        <v>208</v>
      </c>
      <c r="Y14" s="9" t="s">
        <v>219</v>
      </c>
      <c r="AC14" s="9" t="s">
        <v>221</v>
      </c>
    </row>
    <row r="15" spans="2:31">
      <c r="U15" s="1">
        <v>0</v>
      </c>
      <c r="V15" s="1">
        <f>_xlfn.NORM.DIST($U15,$V$11,$C$5,FALSE)</f>
        <v>3.3457556441221339E-6</v>
      </c>
      <c r="W15" s="1">
        <f>_xlfn.NORM.DIST($U15,$V$12,$C$5,FALSE)</f>
        <v>4.0814102191560501E-6</v>
      </c>
      <c r="Y15" s="43" t="s">
        <v>216</v>
      </c>
      <c r="Z15" s="43" t="s">
        <v>213</v>
      </c>
      <c r="AA15" s="43" t="s">
        <v>214</v>
      </c>
      <c r="AC15" s="43" t="s">
        <v>216</v>
      </c>
      <c r="AD15" s="43" t="s">
        <v>213</v>
      </c>
      <c r="AE15" s="43" t="s">
        <v>214</v>
      </c>
    </row>
    <row r="16" spans="2:31">
      <c r="U16" s="1">
        <f>U15+$AB$11</f>
        <v>9.6363636363636367</v>
      </c>
      <c r="V16" s="1">
        <f t="shared" ref="V16:V47" si="0">_xlfn.NORM.DIST($U16,$V$11,$C$5,FALSE)</f>
        <v>8.5190969142286929E-6</v>
      </c>
      <c r="W16" s="1">
        <f t="shared" ref="W16:W47" si="1">_xlfn.NORM.DIST($U16,$V$12,$C$5,FALSE)</f>
        <v>1.0267821561026E-5</v>
      </c>
      <c r="Y16" s="43" t="s">
        <v>215</v>
      </c>
      <c r="Z16" s="1">
        <f>$V$11-$W$11</f>
        <v>120</v>
      </c>
      <c r="AA16" s="1">
        <v>0</v>
      </c>
      <c r="AC16" s="43" t="s">
        <v>215</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217</v>
      </c>
      <c r="Z17" s="1">
        <f>Z16</f>
        <v>120</v>
      </c>
      <c r="AA17" s="1">
        <f>IF(Y13,MAX($V$15:$V$47),0)</f>
        <v>9.928222971854481E-3</v>
      </c>
      <c r="AC17" s="43" t="s">
        <v>217</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218</v>
      </c>
      <c r="Z18" s="43" t="s">
        <v>213</v>
      </c>
      <c r="AA18" s="43" t="s">
        <v>214</v>
      </c>
      <c r="AC18" s="43" t="s">
        <v>218</v>
      </c>
      <c r="AD18" s="43" t="s">
        <v>213</v>
      </c>
      <c r="AE18" s="43" t="s">
        <v>214</v>
      </c>
    </row>
    <row r="19" spans="2:31" ht="15">
      <c r="C19" s="16" t="s">
        <v>62</v>
      </c>
      <c r="D19" s="16" t="s">
        <v>63</v>
      </c>
      <c r="E19" s="16" t="s">
        <v>65</v>
      </c>
      <c r="U19" s="1">
        <f t="shared" si="2"/>
        <v>38.545454545454547</v>
      </c>
      <c r="V19" s="1">
        <f t="shared" si="0"/>
        <v>9.9279638982201362E-5</v>
      </c>
      <c r="W19" s="1">
        <f t="shared" si="1"/>
        <v>1.1541204057253558E-4</v>
      </c>
      <c r="Y19" s="43" t="s">
        <v>215</v>
      </c>
      <c r="Z19" s="1">
        <f>$V$11+$W$11</f>
        <v>200</v>
      </c>
      <c r="AA19" s="1">
        <v>0</v>
      </c>
      <c r="AC19" s="43" t="s">
        <v>215</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217</v>
      </c>
      <c r="Z20" s="1">
        <f>Z19</f>
        <v>200</v>
      </c>
      <c r="AA20" s="1">
        <f>AA17</f>
        <v>9.928222971854481E-3</v>
      </c>
      <c r="AC20" s="43" t="s">
        <v>217</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220</v>
      </c>
      <c r="AC22" s="9" t="s">
        <v>222</v>
      </c>
    </row>
    <row r="23" spans="2:31">
      <c r="U23" s="1">
        <f t="shared" si="2"/>
        <v>77.090909090909108</v>
      </c>
      <c r="V23" s="1">
        <f t="shared" si="0"/>
        <v>1.1639717952255752E-3</v>
      </c>
      <c r="W23" s="1">
        <f t="shared" si="1"/>
        <v>1.2894612322899819E-3</v>
      </c>
      <c r="Y23" s="43" t="s">
        <v>216</v>
      </c>
      <c r="Z23" s="43" t="s">
        <v>213</v>
      </c>
      <c r="AA23" s="43" t="s">
        <v>214</v>
      </c>
      <c r="AC23" s="43" t="s">
        <v>216</v>
      </c>
      <c r="AD23" s="43" t="s">
        <v>213</v>
      </c>
      <c r="AE23" s="43" t="s">
        <v>214</v>
      </c>
    </row>
    <row r="24" spans="2:31">
      <c r="U24" s="1">
        <f t="shared" si="2"/>
        <v>86.727272727272748</v>
      </c>
      <c r="V24" s="1">
        <f t="shared" si="0"/>
        <v>1.8629446220754387E-3</v>
      </c>
      <c r="W24" s="1">
        <f t="shared" si="1"/>
        <v>2.0390811202563343E-3</v>
      </c>
      <c r="Y24" s="43" t="s">
        <v>215</v>
      </c>
      <c r="Z24" s="1">
        <f>$V$12-$W$12</f>
        <v>118</v>
      </c>
      <c r="AA24" s="1">
        <v>0</v>
      </c>
      <c r="AC24" s="43" t="s">
        <v>215</v>
      </c>
      <c r="AD24" s="1">
        <f>$V$12-$Y$12</f>
        <v>-135.4372289923586</v>
      </c>
      <c r="AE24" s="1">
        <v>0</v>
      </c>
    </row>
    <row r="25" spans="2:31">
      <c r="U25" s="1">
        <f t="shared" si="2"/>
        <v>96.363636363636388</v>
      </c>
      <c r="V25" s="1">
        <f t="shared" si="0"/>
        <v>2.8135342236326626E-3</v>
      </c>
      <c r="W25" s="1">
        <f t="shared" si="1"/>
        <v>3.0426744393168446E-3</v>
      </c>
      <c r="Y25" s="43" t="s">
        <v>217</v>
      </c>
      <c r="Z25" s="1">
        <f>Z24</f>
        <v>118</v>
      </c>
      <c r="AA25" s="1">
        <f>IF(Y13,MAX($W$15:$W$47),0)</f>
        <v>9.928222971854481E-3</v>
      </c>
      <c r="AC25" s="43" t="s">
        <v>217</v>
      </c>
      <c r="AD25" s="1">
        <f>AD24</f>
        <v>-135.4372289923586</v>
      </c>
      <c r="AE25" s="1">
        <f>IF(AC13,MAX($W$15:$W$47),0)</f>
        <v>0</v>
      </c>
    </row>
    <row r="26" spans="2:31">
      <c r="U26" s="1">
        <f t="shared" si="2"/>
        <v>106.00000000000003</v>
      </c>
      <c r="V26" s="1">
        <f t="shared" si="0"/>
        <v>4.0095831835479942E-3</v>
      </c>
      <c r="W26" s="1">
        <f t="shared" si="1"/>
        <v>4.2842148011951872E-3</v>
      </c>
      <c r="Y26" s="43" t="s">
        <v>218</v>
      </c>
      <c r="Z26" s="43" t="s">
        <v>213</v>
      </c>
      <c r="AA26" s="43" t="s">
        <v>214</v>
      </c>
      <c r="AC26" s="43" t="s">
        <v>218</v>
      </c>
      <c r="AD26" s="43" t="s">
        <v>213</v>
      </c>
      <c r="AE26" s="43" t="s">
        <v>214</v>
      </c>
    </row>
    <row r="27" spans="2:31">
      <c r="U27" s="1">
        <f t="shared" si="2"/>
        <v>115.63636363636367</v>
      </c>
      <c r="V27" s="1">
        <f t="shared" si="0"/>
        <v>5.3918899813496695E-3</v>
      </c>
      <c r="W27" s="1">
        <f t="shared" si="1"/>
        <v>5.6922210507011541E-3</v>
      </c>
      <c r="Y27" s="43" t="s">
        <v>215</v>
      </c>
      <c r="Z27" s="1">
        <f>$V$12+$W$12</f>
        <v>198</v>
      </c>
      <c r="AA27" s="1">
        <v>0</v>
      </c>
      <c r="AC27" s="43" t="s">
        <v>215</v>
      </c>
      <c r="AD27" s="1">
        <f>$V$12+$Y$12</f>
        <v>451.4372289923586</v>
      </c>
      <c r="AE27" s="1">
        <v>0</v>
      </c>
    </row>
    <row r="28" spans="2:31">
      <c r="U28" s="1">
        <f t="shared" si="2"/>
        <v>125.27272727272731</v>
      </c>
      <c r="V28" s="1">
        <f t="shared" si="0"/>
        <v>6.8419135888044902E-3</v>
      </c>
      <c r="W28" s="1">
        <f t="shared" si="1"/>
        <v>7.1365291724601312E-3</v>
      </c>
      <c r="Y28" s="43" t="s">
        <v>217</v>
      </c>
      <c r="Z28" s="1">
        <f>Z27</f>
        <v>198</v>
      </c>
      <c r="AA28" s="1">
        <f>AA25</f>
        <v>9.928222971854481E-3</v>
      </c>
      <c r="AC28" s="43" t="s">
        <v>217</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225</v>
      </c>
    </row>
    <row r="31" spans="2:31">
      <c r="U31" s="1">
        <f t="shared" si="2"/>
        <v>154.18181818181819</v>
      </c>
      <c r="V31" s="1">
        <f t="shared" si="0"/>
        <v>9.8686076960690251E-3</v>
      </c>
      <c r="W31" s="1">
        <f t="shared" si="1"/>
        <v>9.928222971854481E-3</v>
      </c>
      <c r="Y31" s="43" t="s">
        <v>216</v>
      </c>
      <c r="Z31" s="43" t="s">
        <v>213</v>
      </c>
      <c r="AA31" s="43" t="s">
        <v>214</v>
      </c>
    </row>
    <row r="32" spans="2:31">
      <c r="U32" s="1">
        <f t="shared" si="2"/>
        <v>163.81818181818181</v>
      </c>
      <c r="V32" s="1">
        <f t="shared" si="0"/>
        <v>9.928222971854481E-3</v>
      </c>
      <c r="W32" s="1">
        <f t="shared" si="1"/>
        <v>9.8686076960690251E-3</v>
      </c>
      <c r="Y32" s="43" t="s">
        <v>215</v>
      </c>
      <c r="Z32" s="1">
        <f>$V$12-$C$6</f>
        <v>148</v>
      </c>
      <c r="AA32" s="1">
        <v>0</v>
      </c>
    </row>
    <row r="33" spans="2:27">
      <c r="U33" s="1">
        <f t="shared" si="2"/>
        <v>173.45454545454544</v>
      </c>
      <c r="V33" s="1">
        <f t="shared" si="0"/>
        <v>9.4250123504863344E-3</v>
      </c>
      <c r="W33" s="1">
        <f t="shared" si="1"/>
        <v>9.2562487307598553E-3</v>
      </c>
      <c r="Y33" s="43" t="s">
        <v>217</v>
      </c>
      <c r="Z33" s="1">
        <f>Z32</f>
        <v>148</v>
      </c>
      <c r="AA33" s="1">
        <f>IF($Y$29,MAX($V$15:$W$47),0)</f>
        <v>9.928222971854481E-3</v>
      </c>
    </row>
    <row r="34" spans="2:27">
      <c r="U34" s="1">
        <f t="shared" si="2"/>
        <v>183.09090909090907</v>
      </c>
      <c r="V34" s="1">
        <f t="shared" si="0"/>
        <v>8.442811682249288E-3</v>
      </c>
      <c r="W34" s="1">
        <f t="shared" si="1"/>
        <v>8.1923578849734564E-3</v>
      </c>
      <c r="Y34" s="43" t="s">
        <v>218</v>
      </c>
      <c r="Z34" s="43" t="s">
        <v>213</v>
      </c>
      <c r="AA34" s="43" t="s">
        <v>214</v>
      </c>
    </row>
    <row r="35" spans="2:27">
      <c r="U35" s="1">
        <f t="shared" si="2"/>
        <v>192.72727272727269</v>
      </c>
      <c r="V35" s="1">
        <f t="shared" si="0"/>
        <v>7.1365291724601312E-3</v>
      </c>
      <c r="W35" s="1">
        <f t="shared" si="1"/>
        <v>6.8419135888044902E-3</v>
      </c>
      <c r="Y35" s="43" t="s">
        <v>215</v>
      </c>
      <c r="Z35" s="1">
        <f>$V$12+$C$6</f>
        <v>168</v>
      </c>
      <c r="AA35" s="1">
        <v>0</v>
      </c>
    </row>
    <row r="36" spans="2:27" ht="20.25" customHeight="1">
      <c r="U36" s="1">
        <f t="shared" si="2"/>
        <v>202.36363636363632</v>
      </c>
      <c r="V36" s="1">
        <f t="shared" si="0"/>
        <v>5.692221050701155E-3</v>
      </c>
      <c r="W36" s="1">
        <f t="shared" si="1"/>
        <v>5.3918899813496703E-3</v>
      </c>
      <c r="Y36" s="43" t="s">
        <v>217</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122</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121</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16</v>
      </c>
      <c r="C11" s="7">
        <v>3</v>
      </c>
      <c r="U11" s="43" t="s">
        <v>205</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206</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204</v>
      </c>
      <c r="V14" s="43" t="s">
        <v>207</v>
      </c>
      <c r="W14" s="43" t="s">
        <v>208</v>
      </c>
      <c r="Y14" s="9" t="s">
        <v>219</v>
      </c>
      <c r="AC14" s="9" t="s">
        <v>221</v>
      </c>
    </row>
    <row r="15" spans="2:31">
      <c r="U15" s="1">
        <v>0</v>
      </c>
      <c r="V15" s="1">
        <f>_xlfn.NORM.DIST($U15,$V$11,$C$5,FALSE)</f>
        <v>6.6915112882442679E-6</v>
      </c>
      <c r="W15" s="1">
        <f>_xlfn.NORM.DIST($U15,$V$12,$C$5,FALSE)</f>
        <v>9.9327735696386359E-6</v>
      </c>
      <c r="Y15" s="43" t="s">
        <v>216</v>
      </c>
      <c r="Z15" s="43" t="s">
        <v>213</v>
      </c>
      <c r="AA15" s="43" t="s">
        <v>214</v>
      </c>
      <c r="AC15" s="43" t="s">
        <v>216</v>
      </c>
      <c r="AD15" s="43" t="s">
        <v>213</v>
      </c>
      <c r="AE15" s="43" t="s">
        <v>214</v>
      </c>
    </row>
    <row r="16" spans="2:31">
      <c r="U16" s="1">
        <f>U15+$AB$11</f>
        <v>4.7878787878787881</v>
      </c>
      <c r="V16" s="1">
        <f t="shared" ref="V16:V47" si="0">_xlfn.NORM.DIST($U16,$V$11,$C$5,FALSE)</f>
        <v>1.6941407610670937E-5</v>
      </c>
      <c r="W16" s="1">
        <f t="shared" ref="W16:W47" si="1">_xlfn.NORM.DIST($U16,$V$12,$C$5,FALSE)</f>
        <v>2.4552689145403102E-5</v>
      </c>
      <c r="Y16" s="43" t="s">
        <v>215</v>
      </c>
      <c r="Z16" s="1">
        <f>$V$11-$W$11</f>
        <v>60</v>
      </c>
      <c r="AA16" s="1">
        <v>0</v>
      </c>
      <c r="AC16" s="43" t="s">
        <v>215</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217</v>
      </c>
      <c r="Z17" s="1">
        <f>Z16</f>
        <v>60</v>
      </c>
      <c r="AA17" s="1">
        <f>IF(Y13,MAX($V$15:$V$47),0)</f>
        <v>1.9898724584214315E-2</v>
      </c>
      <c r="AC17" s="43" t="s">
        <v>217</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218</v>
      </c>
      <c r="Z18" s="43" t="s">
        <v>213</v>
      </c>
      <c r="AA18" s="43" t="s">
        <v>214</v>
      </c>
      <c r="AC18" s="43" t="s">
        <v>218</v>
      </c>
      <c r="AD18" s="43" t="s">
        <v>213</v>
      </c>
      <c r="AE18" s="43" t="s">
        <v>214</v>
      </c>
    </row>
    <row r="19" spans="2:31" ht="13">
      <c r="C19" s="9"/>
      <c r="D19" s="9"/>
      <c r="U19" s="1">
        <f t="shared" si="2"/>
        <v>19.151515151515152</v>
      </c>
      <c r="V19" s="1">
        <f t="shared" si="0"/>
        <v>1.9493518442765021E-4</v>
      </c>
      <c r="W19" s="1">
        <f t="shared" si="1"/>
        <v>2.6293570641790979E-4</v>
      </c>
      <c r="Y19" s="43" t="s">
        <v>215</v>
      </c>
      <c r="Z19" s="1">
        <f>$V$11+$W$11</f>
        <v>100</v>
      </c>
      <c r="AA19" s="1">
        <v>0</v>
      </c>
      <c r="AC19" s="43" t="s">
        <v>215</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217</v>
      </c>
      <c r="Z20" s="1">
        <f>Z19</f>
        <v>100</v>
      </c>
      <c r="AA20" s="1">
        <f>AA17</f>
        <v>1.9898724584214315E-2</v>
      </c>
      <c r="AC20" s="43" t="s">
        <v>217</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220</v>
      </c>
      <c r="AC22" s="9" t="s">
        <v>222</v>
      </c>
    </row>
    <row r="23" spans="2:31">
      <c r="U23" s="1">
        <f t="shared" si="2"/>
        <v>38.303030303030305</v>
      </c>
      <c r="V23" s="1">
        <f t="shared" si="0"/>
        <v>2.2700182471111548E-3</v>
      </c>
      <c r="W23" s="1">
        <f t="shared" si="1"/>
        <v>2.7822855168983234E-3</v>
      </c>
      <c r="Y23" s="43" t="s">
        <v>216</v>
      </c>
      <c r="Z23" s="43" t="s">
        <v>213</v>
      </c>
      <c r="AA23" s="43" t="s">
        <v>214</v>
      </c>
      <c r="AC23" s="43" t="s">
        <v>216</v>
      </c>
      <c r="AD23" s="43" t="s">
        <v>213</v>
      </c>
      <c r="AE23" s="43" t="s">
        <v>214</v>
      </c>
    </row>
    <row r="24" spans="2:31">
      <c r="U24" s="1">
        <f t="shared" si="2"/>
        <v>43.090909090909093</v>
      </c>
      <c r="V24" s="1">
        <f t="shared" si="0"/>
        <v>3.6336339386543325E-3</v>
      </c>
      <c r="W24" s="1">
        <f t="shared" si="1"/>
        <v>4.3482727057223506E-3</v>
      </c>
      <c r="Y24" s="43" t="s">
        <v>215</v>
      </c>
      <c r="Z24" s="1">
        <f>$V$12-$W$12</f>
        <v>58</v>
      </c>
      <c r="AA24" s="1">
        <v>0</v>
      </c>
      <c r="AC24" s="43" t="s">
        <v>215</v>
      </c>
      <c r="AD24" s="1">
        <f>$V$12-$Y$12</f>
        <v>-68.718614496179299</v>
      </c>
      <c r="AE24" s="1">
        <v>0</v>
      </c>
    </row>
    <row r="25" spans="2:31">
      <c r="U25" s="1">
        <f t="shared" si="2"/>
        <v>47.878787878787882</v>
      </c>
      <c r="V25" s="1">
        <f t="shared" si="0"/>
        <v>5.4924209732535069E-3</v>
      </c>
      <c r="W25" s="1">
        <f t="shared" si="1"/>
        <v>6.4171570829679144E-3</v>
      </c>
      <c r="Y25" s="43" t="s">
        <v>217</v>
      </c>
      <c r="Z25" s="1">
        <f>Z24</f>
        <v>58</v>
      </c>
      <c r="AA25" s="1">
        <f>IF(Y13,MAX($W$15:$W$47),0)</f>
        <v>1.9898724584214312E-2</v>
      </c>
      <c r="AC25" s="43" t="s">
        <v>217</v>
      </c>
      <c r="AD25" s="1">
        <f>AD24</f>
        <v>-68.718614496179299</v>
      </c>
      <c r="AE25" s="1">
        <f>IF(AC13,MAX($W$15:$W$47),0)</f>
        <v>0</v>
      </c>
    </row>
    <row r="26" spans="2:31">
      <c r="U26" s="1">
        <f t="shared" si="2"/>
        <v>52.666666666666671</v>
      </c>
      <c r="V26" s="1">
        <f t="shared" si="0"/>
        <v>7.8396609192754318E-3</v>
      </c>
      <c r="W26" s="1">
        <f t="shared" si="1"/>
        <v>8.9429208247270298E-3</v>
      </c>
      <c r="Y26" s="43" t="s">
        <v>218</v>
      </c>
      <c r="Z26" s="43" t="s">
        <v>213</v>
      </c>
      <c r="AA26" s="43" t="s">
        <v>214</v>
      </c>
      <c r="AC26" s="43" t="s">
        <v>218</v>
      </c>
      <c r="AD26" s="43" t="s">
        <v>213</v>
      </c>
      <c r="AE26" s="43" t="s">
        <v>214</v>
      </c>
    </row>
    <row r="27" spans="2:31">
      <c r="U27" s="1">
        <f t="shared" si="2"/>
        <v>57.45454545454546</v>
      </c>
      <c r="V27" s="1">
        <f t="shared" si="0"/>
        <v>1.0566753093708884E-2</v>
      </c>
      <c r="W27" s="1">
        <f t="shared" si="1"/>
        <v>1.1768657388551491E-2</v>
      </c>
      <c r="Y27" s="43" t="s">
        <v>215</v>
      </c>
      <c r="Z27" s="1">
        <f>$V$12+$W$12</f>
        <v>98</v>
      </c>
      <c r="AA27" s="1">
        <v>0</v>
      </c>
      <c r="AC27" s="43" t="s">
        <v>215</v>
      </c>
      <c r="AD27" s="1">
        <f>$V$12+$Y$12</f>
        <v>224.7186144961793</v>
      </c>
      <c r="AE27" s="1">
        <v>0</v>
      </c>
    </row>
    <row r="28" spans="2:31">
      <c r="U28" s="1">
        <f t="shared" si="2"/>
        <v>62.242424242424249</v>
      </c>
      <c r="V28" s="1">
        <f t="shared" si="0"/>
        <v>1.344920640875991E-2</v>
      </c>
      <c r="W28" s="1">
        <f t="shared" si="1"/>
        <v>1.4624642962929819E-2</v>
      </c>
      <c r="Y28" s="43" t="s">
        <v>217</v>
      </c>
      <c r="Z28" s="1">
        <f>Z27</f>
        <v>98</v>
      </c>
      <c r="AA28" s="1">
        <f>AA25</f>
        <v>1.9898724584214312E-2</v>
      </c>
      <c r="AC28" s="43" t="s">
        <v>217</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225</v>
      </c>
    </row>
    <row r="31" spans="2:31">
      <c r="U31" s="1">
        <f t="shared" si="2"/>
        <v>76.606060606060595</v>
      </c>
      <c r="V31" s="1">
        <f t="shared" si="0"/>
        <v>1.9661962691716266E-2</v>
      </c>
      <c r="W31" s="1">
        <f t="shared" si="1"/>
        <v>1.9898724584214312E-2</v>
      </c>
      <c r="Y31" s="43" t="s">
        <v>216</v>
      </c>
      <c r="Z31" s="43" t="s">
        <v>213</v>
      </c>
      <c r="AA31" s="43" t="s">
        <v>214</v>
      </c>
    </row>
    <row r="32" spans="2:31">
      <c r="U32" s="1">
        <f t="shared" si="2"/>
        <v>81.393939393939377</v>
      </c>
      <c r="V32" s="1">
        <f t="shared" si="0"/>
        <v>1.9898724584214315E-2</v>
      </c>
      <c r="W32" s="1">
        <f t="shared" si="1"/>
        <v>1.9661962691716269E-2</v>
      </c>
      <c r="Y32" s="43" t="s">
        <v>215</v>
      </c>
      <c r="Z32" s="1">
        <f>$V$12-$C$6</f>
        <v>68</v>
      </c>
      <c r="AA32" s="1">
        <v>0</v>
      </c>
    </row>
    <row r="33" spans="2:27">
      <c r="U33" s="1">
        <f t="shared" si="2"/>
        <v>86.181818181818159</v>
      </c>
      <c r="V33" s="1">
        <f t="shared" si="0"/>
        <v>1.9016668369460466E-2</v>
      </c>
      <c r="W33" s="1">
        <f t="shared" si="1"/>
        <v>1.8345912291388617E-2</v>
      </c>
      <c r="Y33" s="43" t="s">
        <v>217</v>
      </c>
      <c r="Z33" s="1">
        <f>Z32</f>
        <v>68</v>
      </c>
      <c r="AA33" s="1">
        <f>IF($Y$29,MAX($V$15:$W$47),0)</f>
        <v>1.9898724584214315E-2</v>
      </c>
    </row>
    <row r="34" spans="2:27">
      <c r="U34" s="1">
        <f t="shared" si="2"/>
        <v>90.96969696969694</v>
      </c>
      <c r="V34" s="1">
        <f t="shared" si="0"/>
        <v>1.7161468335135838E-2</v>
      </c>
      <c r="W34" s="1">
        <f t="shared" si="1"/>
        <v>1.6164511205090777E-2</v>
      </c>
      <c r="Y34" s="43" t="s">
        <v>218</v>
      </c>
      <c r="Z34" s="43" t="s">
        <v>213</v>
      </c>
      <c r="AA34" s="43" t="s">
        <v>214</v>
      </c>
    </row>
    <row r="35" spans="2:27">
      <c r="U35" s="1">
        <f t="shared" si="2"/>
        <v>95.757575757575722</v>
      </c>
      <c r="V35" s="1">
        <f t="shared" si="0"/>
        <v>1.4624642962929837E-2</v>
      </c>
      <c r="W35" s="1">
        <f t="shared" si="1"/>
        <v>1.3449206408759923E-2</v>
      </c>
      <c r="Y35" s="43" t="s">
        <v>215</v>
      </c>
      <c r="Z35" s="1">
        <f>$V$12+$C$6</f>
        <v>88</v>
      </c>
      <c r="AA35" s="1">
        <v>0</v>
      </c>
    </row>
    <row r="36" spans="2:27">
      <c r="U36" s="1">
        <f t="shared" si="2"/>
        <v>100.5454545454545</v>
      </c>
      <c r="V36" s="1">
        <f t="shared" si="0"/>
        <v>1.176865738855151E-2</v>
      </c>
      <c r="W36" s="1">
        <f t="shared" si="1"/>
        <v>1.0566753093708905E-2</v>
      </c>
      <c r="Y36" s="43" t="s">
        <v>217</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122</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124</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121</v>
      </c>
    </row>
    <row r="2" spans="2:31" ht="13.5" thickBot="1">
      <c r="B2" s="1" t="s">
        <v>1</v>
      </c>
      <c r="C2" s="2">
        <v>0.8</v>
      </c>
    </row>
    <row r="3" spans="2:31" ht="13.5" thickBot="1">
      <c r="B3" s="1" t="s">
        <v>232</v>
      </c>
      <c r="C3" s="48">
        <v>1</v>
      </c>
      <c r="D3" s="1" t="s">
        <v>233</v>
      </c>
    </row>
    <row r="4" spans="2:31" ht="13.5" thickBot="1">
      <c r="B4" s="8" t="s">
        <v>58</v>
      </c>
      <c r="C4" s="2">
        <v>0.05</v>
      </c>
    </row>
    <row r="5" spans="2:31" ht="13.5" thickBot="1">
      <c r="B5" s="43" t="s">
        <v>235</v>
      </c>
      <c r="C5" s="42">
        <v>0.8</v>
      </c>
      <c r="D5" s="75" t="s">
        <v>245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211</v>
      </c>
      <c r="W10" s="43" t="s">
        <v>209</v>
      </c>
      <c r="X10" s="43" t="s">
        <v>212</v>
      </c>
      <c r="Y10" s="43" t="s">
        <v>210</v>
      </c>
      <c r="AA10" s="43" t="s">
        <v>223</v>
      </c>
      <c r="AB10" s="43" t="s">
        <v>224</v>
      </c>
    </row>
    <row r="11" spans="2:31" ht="16" thickBot="1">
      <c r="B11" s="1" t="s">
        <v>34</v>
      </c>
      <c r="C11" s="7">
        <v>3</v>
      </c>
      <c r="U11" s="43" t="s">
        <v>205</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204</v>
      </c>
      <c r="V14" s="43" t="s">
        <v>226</v>
      </c>
      <c r="W14" s="43"/>
      <c r="Y14" s="9" t="s">
        <v>219</v>
      </c>
      <c r="AC14" s="9" t="s">
        <v>221</v>
      </c>
    </row>
    <row r="15" spans="2:31">
      <c r="B15" s="1" t="s">
        <v>4</v>
      </c>
      <c r="C15" s="1">
        <f>SQRT(C3*C11)*(LN(C6)-LN(C7))/SQRT((C3+1)*C10^2)</f>
        <v>0.29924472929335222</v>
      </c>
      <c r="N15" s="43" t="s">
        <v>242</v>
      </c>
      <c r="U15" s="1">
        <v>0</v>
      </c>
      <c r="V15" s="1">
        <f>_xlfn.NORM.DIST($U15,$V$11,$C$5,FALSE)</f>
        <v>0.24638175239823415</v>
      </c>
      <c r="Y15" s="43" t="s">
        <v>216</v>
      </c>
      <c r="Z15" s="43" t="s">
        <v>213</v>
      </c>
      <c r="AA15" s="43" t="s">
        <v>214</v>
      </c>
      <c r="AC15" s="43" t="s">
        <v>216</v>
      </c>
      <c r="AD15" s="43" t="s">
        <v>213</v>
      </c>
      <c r="AE15" s="43" t="s">
        <v>214</v>
      </c>
    </row>
    <row r="16" spans="2:31">
      <c r="B16" s="1" t="s">
        <v>7</v>
      </c>
      <c r="C16" s="1">
        <f>NCt(-C13,C12,C14)</f>
        <v>0.10711223508099388</v>
      </c>
      <c r="N16" s="43" t="s">
        <v>243</v>
      </c>
      <c r="U16" s="1">
        <f>U15+$AB$11</f>
        <v>0.11404199506892949</v>
      </c>
      <c r="V16" s="1">
        <f t="shared" ref="V16:V47" si="0">_xlfn.NORM.DIST($U16,$V$11,$C$5,FALSE)</f>
        <v>0.2888774794762195</v>
      </c>
      <c r="Y16" s="43" t="s">
        <v>215</v>
      </c>
      <c r="Z16" s="1">
        <f>$V$11-$W$11</f>
        <v>0.24665354068133172</v>
      </c>
      <c r="AA16" s="1">
        <v>0</v>
      </c>
      <c r="AC16" s="43" t="s">
        <v>215</v>
      </c>
      <c r="AD16" s="1">
        <f>$V$11-$Y$11</f>
        <v>-1.6138709635184754</v>
      </c>
      <c r="AE16" s="1">
        <v>0</v>
      </c>
    </row>
    <row r="17" spans="2:31" ht="13.5" thickBot="1">
      <c r="B17" s="1" t="s">
        <v>6</v>
      </c>
      <c r="C17" s="1">
        <f>NCt(C13,C12,C15)</f>
        <v>0.91805097802087354</v>
      </c>
      <c r="N17" s="55" t="s">
        <v>244</v>
      </c>
      <c r="O17" s="56"/>
      <c r="P17" s="57"/>
      <c r="U17" s="1">
        <f t="shared" ref="U17:U47" si="1">U16+$AB$11</f>
        <v>0.22808399013785899</v>
      </c>
      <c r="V17" s="1">
        <f t="shared" si="0"/>
        <v>0.33188944549186422</v>
      </c>
      <c r="Y17" s="43" t="s">
        <v>217</v>
      </c>
      <c r="Z17" s="1">
        <f>Z16</f>
        <v>0.24665354068133172</v>
      </c>
      <c r="AA17" s="1">
        <f>IF(Y13,MAX($V$15:$V$47),0)</f>
        <v>0</v>
      </c>
      <c r="AC17" s="43" t="s">
        <v>217</v>
      </c>
      <c r="AD17" s="1">
        <f>AD16</f>
        <v>-1.6138709635184754</v>
      </c>
      <c r="AE17" s="1">
        <f>IF(AC13,MAX($V$15:$V$47),0)</f>
        <v>0.49812548917176475</v>
      </c>
    </row>
    <row r="18" spans="2:31" ht="13.5" thickBot="1">
      <c r="B18" s="1" t="s">
        <v>57</v>
      </c>
      <c r="C18" s="1">
        <f>C16-C17</f>
        <v>-0.81093874293987966</v>
      </c>
      <c r="E18" s="5"/>
      <c r="N18" s="58" t="s">
        <v>236</v>
      </c>
      <c r="O18" s="63">
        <v>0.3</v>
      </c>
      <c r="P18" s="59"/>
      <c r="U18" s="1">
        <f t="shared" si="1"/>
        <v>0.3421259852067885</v>
      </c>
      <c r="V18" s="1">
        <f t="shared" si="0"/>
        <v>0.37363521879612333</v>
      </c>
      <c r="Y18" s="43" t="s">
        <v>218</v>
      </c>
      <c r="Z18" s="43" t="s">
        <v>213</v>
      </c>
      <c r="AA18" s="43" t="s">
        <v>214</v>
      </c>
      <c r="AC18" s="43" t="s">
        <v>218</v>
      </c>
      <c r="AD18" s="43"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c r="Y19" s="43" t="s">
        <v>215</v>
      </c>
      <c r="Z19" s="1">
        <f>$V$11+$W$11</f>
        <v>1.6533464593186682</v>
      </c>
      <c r="AA19" s="1">
        <v>0</v>
      </c>
      <c r="AC19" s="43" t="s">
        <v>215</v>
      </c>
      <c r="AD19" s="1">
        <f>$V$11+$Y$11</f>
        <v>3.5138709635184755</v>
      </c>
      <c r="AE19" s="1">
        <v>0</v>
      </c>
    </row>
    <row r="20" spans="2:31" ht="13">
      <c r="B20" s="1" t="s">
        <v>11</v>
      </c>
      <c r="C20" s="1">
        <f>CEILING(C11,1)</f>
        <v>3</v>
      </c>
      <c r="D20" s="1">
        <f>C20*C3</f>
        <v>3</v>
      </c>
      <c r="E20" s="1">
        <f>C20+D20</f>
        <v>6</v>
      </c>
      <c r="N20" s="60" t="s">
        <v>238</v>
      </c>
      <c r="O20" s="61">
        <f>SQRT(EXP(AVERAGE(LN(O18^2+1),LN(O19^2+1)))-1)</f>
        <v>0.25437478714780926</v>
      </c>
      <c r="P20" s="62"/>
      <c r="U20" s="1">
        <f t="shared" si="1"/>
        <v>0.57020997534464746</v>
      </c>
      <c r="V20" s="1">
        <f t="shared" si="0"/>
        <v>0.44553349777912132</v>
      </c>
      <c r="Y20" s="43" t="s">
        <v>217</v>
      </c>
      <c r="Z20" s="1">
        <f>Z19</f>
        <v>1.6533464593186682</v>
      </c>
      <c r="AA20" s="1">
        <f>AA17</f>
        <v>0</v>
      </c>
      <c r="AC20" s="43" t="s">
        <v>217</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227</v>
      </c>
    </row>
    <row r="31" spans="2:31">
      <c r="U31" s="1">
        <f t="shared" si="1"/>
        <v>1.8246719211028724</v>
      </c>
      <c r="V31" s="1">
        <f t="shared" si="0"/>
        <v>0.27431147398263156</v>
      </c>
      <c r="Y31" s="43" t="s">
        <v>216</v>
      </c>
      <c r="Z31" s="43" t="s">
        <v>213</v>
      </c>
      <c r="AA31" s="43" t="s">
        <v>214</v>
      </c>
    </row>
    <row r="32" spans="2:31">
      <c r="U32" s="1">
        <f t="shared" si="1"/>
        <v>1.9387139161718019</v>
      </c>
      <c r="V32" s="1">
        <f t="shared" si="0"/>
        <v>0.23235010113869112</v>
      </c>
      <c r="Y32" s="43" t="s">
        <v>215</v>
      </c>
      <c r="Z32" s="31">
        <f>C7</f>
        <v>0.8</v>
      </c>
      <c r="AA32" s="1">
        <v>0</v>
      </c>
    </row>
    <row r="33" spans="2:27">
      <c r="U33" s="1">
        <f t="shared" si="1"/>
        <v>2.0527559112407312</v>
      </c>
      <c r="V33" s="1">
        <f t="shared" si="0"/>
        <v>0.19284854521492664</v>
      </c>
      <c r="Y33" s="43" t="s">
        <v>217</v>
      </c>
      <c r="Z33" s="31">
        <f>Z32</f>
        <v>0.8</v>
      </c>
      <c r="AA33" s="1">
        <f>IF($Y$29,MAX($V$15:$W$47),0)</f>
        <v>0.49812548917176475</v>
      </c>
    </row>
    <row r="34" spans="2:27">
      <c r="U34" s="1">
        <f t="shared" si="1"/>
        <v>2.1667979063096605</v>
      </c>
      <c r="V34" s="1">
        <f t="shared" si="0"/>
        <v>0.15684276045422713</v>
      </c>
      <c r="Y34" s="43" t="s">
        <v>218</v>
      </c>
      <c r="Z34" s="43" t="s">
        <v>213</v>
      </c>
      <c r="AA34" s="43" t="s">
        <v>214</v>
      </c>
    </row>
    <row r="35" spans="2:27">
      <c r="U35" s="1">
        <f t="shared" si="1"/>
        <v>2.2808399013785898</v>
      </c>
      <c r="V35" s="1">
        <f t="shared" si="0"/>
        <v>0.12499343312455446</v>
      </c>
      <c r="Y35" s="43" t="s">
        <v>215</v>
      </c>
      <c r="Z35" s="31">
        <f>C8</f>
        <v>1.25</v>
      </c>
      <c r="AA35" s="1">
        <v>0</v>
      </c>
    </row>
    <row r="36" spans="2:27">
      <c r="U36" s="1">
        <f t="shared" si="1"/>
        <v>2.3948818964475191</v>
      </c>
      <c r="V36" s="1">
        <f t="shared" si="0"/>
        <v>9.7607800230644914E-2</v>
      </c>
      <c r="Y36" s="43" t="s">
        <v>217</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122</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124</v>
      </c>
    </row>
    <row r="61" spans="2:2" ht="13">
      <c r="B61" s="9" t="s">
        <v>234</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121</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119</v>
      </c>
      <c r="C5" s="42">
        <v>0.25</v>
      </c>
      <c r="D5" s="1" t="s">
        <v>126</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211</v>
      </c>
      <c r="W10" s="43" t="s">
        <v>209</v>
      </c>
      <c r="X10" s="43" t="s">
        <v>212</v>
      </c>
      <c r="Y10" s="43" t="s">
        <v>210</v>
      </c>
      <c r="AA10" s="43" t="s">
        <v>223</v>
      </c>
      <c r="AB10" s="43" t="s">
        <v>224</v>
      </c>
    </row>
    <row r="11" spans="2:31" ht="13.5" thickBot="1">
      <c r="B11" s="1" t="s">
        <v>0</v>
      </c>
      <c r="C11" s="7">
        <v>3</v>
      </c>
      <c r="U11" s="43" t="s">
        <v>205</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204</v>
      </c>
      <c r="V14" s="43" t="s">
        <v>226</v>
      </c>
      <c r="W14" s="43"/>
      <c r="Y14" s="9" t="s">
        <v>219</v>
      </c>
      <c r="AC14" s="9" t="s">
        <v>221</v>
      </c>
    </row>
    <row r="15" spans="2:31">
      <c r="B15" s="1" t="s">
        <v>4</v>
      </c>
      <c r="C15" s="1">
        <f>(SQRT(C11)*(LN(C6)-LN(C7)))/(SQRT(2*C10^2))</f>
        <v>0.85481334599313763</v>
      </c>
      <c r="U15" s="1">
        <v>0</v>
      </c>
      <c r="V15" s="1">
        <f>_xlfn.NORM.DIST($U15,$V$11,$C$5,FALSE)</f>
        <v>1.1677877031658411E-3</v>
      </c>
      <c r="Y15" s="43" t="s">
        <v>216</v>
      </c>
      <c r="Z15" s="43" t="s">
        <v>213</v>
      </c>
      <c r="AA15" s="43" t="s">
        <v>214</v>
      </c>
      <c r="AC15" s="43" t="s">
        <v>216</v>
      </c>
      <c r="AD15" s="43" t="s">
        <v>213</v>
      </c>
      <c r="AE15" s="43" t="s">
        <v>214</v>
      </c>
    </row>
    <row r="16" spans="2:31">
      <c r="B16" s="1" t="s">
        <v>7</v>
      </c>
      <c r="C16" s="1">
        <f>NCt(-C13,C12,C14)</f>
        <v>0.17408384664483201</v>
      </c>
      <c r="U16" s="1">
        <f>U15+$AB$11</f>
        <v>5.8632809341726023E-2</v>
      </c>
      <c r="V16" s="1">
        <f t="shared" ref="V16:V47" si="0">_xlfn.NORM.DIST($U16,$V$11,$C$5,FALSE)</f>
        <v>2.7699447059280034E-3</v>
      </c>
      <c r="Y16" s="43" t="s">
        <v>215</v>
      </c>
      <c r="Z16" s="1">
        <f>$V$11-$W$11</f>
        <v>0.70377932293076018</v>
      </c>
      <c r="AA16" s="1">
        <v>0</v>
      </c>
      <c r="AC16" s="43" t="s">
        <v>215</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217</v>
      </c>
      <c r="Z17" s="1">
        <f>Z16</f>
        <v>0.70377932293076018</v>
      </c>
      <c r="AA17" s="1">
        <f>IF(Y13,MAX($V$15:$V$47),0)</f>
        <v>0</v>
      </c>
      <c r="AC17" s="43" t="s">
        <v>217</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218</v>
      </c>
      <c r="Z18" s="43" t="s">
        <v>213</v>
      </c>
      <c r="AA18" s="43" t="s">
        <v>214</v>
      </c>
      <c r="AC18" s="43" t="s">
        <v>218</v>
      </c>
      <c r="AD18" s="43" t="s">
        <v>213</v>
      </c>
      <c r="AE18" s="43" t="s">
        <v>214</v>
      </c>
    </row>
    <row r="19" spans="2:31">
      <c r="U19" s="1">
        <f t="shared" si="1"/>
        <v>0.23453123736690409</v>
      </c>
      <c r="V19" s="1">
        <f t="shared" si="0"/>
        <v>2.6574356367658435E-2</v>
      </c>
      <c r="Y19" s="43" t="s">
        <v>215</v>
      </c>
      <c r="Z19" s="1">
        <f>$V$11+$W$11</f>
        <v>1.1962206770692396</v>
      </c>
      <c r="AA19" s="1">
        <v>0</v>
      </c>
      <c r="AC19" s="43" t="s">
        <v>215</v>
      </c>
      <c r="AD19" s="1">
        <f>$V$11+$Y$11</f>
        <v>1.847534971836216</v>
      </c>
      <c r="AE19" s="1">
        <v>0</v>
      </c>
    </row>
    <row r="20" spans="2:31">
      <c r="B20" s="1" t="s">
        <v>11</v>
      </c>
      <c r="C20" s="1">
        <f>CEILING(C11,1)</f>
        <v>3</v>
      </c>
      <c r="U20" s="1">
        <f t="shared" si="1"/>
        <v>0.29316404670863011</v>
      </c>
      <c r="V20" s="1">
        <f t="shared" si="0"/>
        <v>5.0584406183643189E-2</v>
      </c>
      <c r="Y20" s="43" t="s">
        <v>217</v>
      </c>
      <c r="Z20" s="1">
        <f>Z19</f>
        <v>1.1962206770692396</v>
      </c>
      <c r="AA20" s="1">
        <f>AA17</f>
        <v>0</v>
      </c>
      <c r="AC20" s="43" t="s">
        <v>217</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227</v>
      </c>
    </row>
    <row r="31" spans="2:31">
      <c r="U31" s="1">
        <f t="shared" si="1"/>
        <v>0.93812494946761615</v>
      </c>
      <c r="V31" s="1">
        <f t="shared" si="0"/>
        <v>1.5939698943202625</v>
      </c>
      <c r="Y31" s="43" t="s">
        <v>216</v>
      </c>
      <c r="Z31" s="43" t="s">
        <v>213</v>
      </c>
      <c r="AA31" s="43" t="s">
        <v>214</v>
      </c>
    </row>
    <row r="32" spans="2:31">
      <c r="U32" s="1">
        <f t="shared" si="1"/>
        <v>0.99675775880934214</v>
      </c>
      <c r="V32" s="1">
        <f t="shared" si="0"/>
        <v>1.5681012990763428</v>
      </c>
      <c r="Y32" s="43" t="s">
        <v>215</v>
      </c>
      <c r="Z32" s="31">
        <f>C7</f>
        <v>0.8</v>
      </c>
      <c r="AA32" s="1">
        <v>0</v>
      </c>
    </row>
    <row r="33" spans="2:27">
      <c r="U33" s="1">
        <f t="shared" si="1"/>
        <v>1.0553905681510682</v>
      </c>
      <c r="V33" s="1">
        <f t="shared" si="0"/>
        <v>1.4600905481436155</v>
      </c>
      <c r="Y33" s="43" t="s">
        <v>217</v>
      </c>
      <c r="Z33" s="31">
        <f>Z32</f>
        <v>0.8</v>
      </c>
      <c r="AA33" s="1">
        <f>IF($Y$29,MAX($V$15:$W$47),0)</f>
        <v>1.5939698943202625</v>
      </c>
    </row>
    <row r="34" spans="2:27">
      <c r="U34" s="1">
        <f t="shared" si="1"/>
        <v>1.1140233774927943</v>
      </c>
      <c r="V34" s="1">
        <f t="shared" si="0"/>
        <v>1.2867587775324509</v>
      </c>
      <c r="Y34" s="43" t="s">
        <v>218</v>
      </c>
      <c r="Z34" s="43" t="s">
        <v>213</v>
      </c>
      <c r="AA34" s="43" t="s">
        <v>214</v>
      </c>
    </row>
    <row r="35" spans="2:27">
      <c r="U35" s="1">
        <f t="shared" si="1"/>
        <v>1.1726561868345204</v>
      </c>
      <c r="V35" s="1">
        <f t="shared" si="0"/>
        <v>1.0733124429725074</v>
      </c>
      <c r="Y35" s="43" t="s">
        <v>215</v>
      </c>
      <c r="Z35" s="31">
        <f>C8</f>
        <v>1.25</v>
      </c>
      <c r="AA35" s="1">
        <v>0</v>
      </c>
    </row>
    <row r="36" spans="2:27">
      <c r="U36" s="1">
        <f t="shared" si="1"/>
        <v>1.2312889961762465</v>
      </c>
      <c r="V36" s="1">
        <f t="shared" si="0"/>
        <v>0.84735786302017235</v>
      </c>
      <c r="Y36" s="43" t="s">
        <v>217</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122</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125</v>
      </c>
    </row>
    <row r="67" spans="2:7" ht="13">
      <c r="B67" s="9" t="s">
        <v>124</v>
      </c>
      <c r="G67" s="6"/>
    </row>
    <row r="68" spans="2:7">
      <c r="G68" s="6"/>
    </row>
    <row r="69" spans="2:7" ht="13">
      <c r="B69" s="9" t="s">
        <v>234</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32"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121</v>
      </c>
      <c r="Z1" s="50" t="s">
        <v>32</v>
      </c>
    </row>
    <row r="2" spans="2:31" ht="13.5" thickBot="1">
      <c r="B2" s="1" t="s">
        <v>1</v>
      </c>
      <c r="C2" s="2">
        <v>0.8</v>
      </c>
      <c r="Y2" s="50" t="s">
        <v>31</v>
      </c>
      <c r="Z2" s="50">
        <f>(2*G9+1)/(G9+1)</f>
        <v>1</v>
      </c>
    </row>
    <row r="3" spans="2:31" ht="13.5" thickBot="1">
      <c r="C3" s="14"/>
      <c r="Y3" s="50" t="s">
        <v>310</v>
      </c>
      <c r="Z3" s="50">
        <v>0.75</v>
      </c>
    </row>
    <row r="4" spans="2:31" ht="13.5" thickBot="1">
      <c r="B4" s="8" t="s">
        <v>58</v>
      </c>
      <c r="C4" s="2">
        <v>0.05</v>
      </c>
      <c r="Y4" s="50" t="s">
        <v>311</v>
      </c>
      <c r="Z4" s="50">
        <v>0.5</v>
      </c>
    </row>
    <row r="5" spans="2:31" ht="16" thickBot="1">
      <c r="B5" s="1" t="s">
        <v>119</v>
      </c>
      <c r="C5" s="42">
        <v>0.65</v>
      </c>
      <c r="D5" s="1" t="s">
        <v>126</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211</v>
      </c>
      <c r="W10" s="50" t="s">
        <v>209</v>
      </c>
      <c r="X10" s="50" t="s">
        <v>212</v>
      </c>
      <c r="Y10" s="50" t="s">
        <v>210</v>
      </c>
      <c r="AA10" s="50" t="s">
        <v>223</v>
      </c>
      <c r="AB10" s="50" t="s">
        <v>224</v>
      </c>
    </row>
    <row r="11" spans="2:31" ht="13">
      <c r="B11" s="1" t="s">
        <v>0</v>
      </c>
      <c r="C11" s="7">
        <v>3</v>
      </c>
      <c r="U11" s="50" t="s">
        <v>205</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204</v>
      </c>
      <c r="V14" s="50" t="s">
        <v>226</v>
      </c>
      <c r="Y14" s="53" t="s">
        <v>219</v>
      </c>
      <c r="AC14" s="53" t="s">
        <v>221</v>
      </c>
    </row>
    <row r="15" spans="2:31">
      <c r="B15" s="1" t="s">
        <v>4</v>
      </c>
      <c r="C15" s="1">
        <f>(SQRT(C11)*(LN(C6)-LN(C7)))/(SQRT(2*C10^2))</f>
        <v>0.24299684433700114</v>
      </c>
      <c r="U15" s="50">
        <v>0</v>
      </c>
      <c r="V15" s="50">
        <f>_xlfn.NORM.DIST($U15,$V$11,$C$5,FALSE)</f>
        <v>0.23533729435330628</v>
      </c>
      <c r="Y15" s="50" t="s">
        <v>216</v>
      </c>
      <c r="Z15" s="50" t="s">
        <v>213</v>
      </c>
      <c r="AA15" s="50" t="s">
        <v>214</v>
      </c>
      <c r="AC15" s="50" t="s">
        <v>216</v>
      </c>
      <c r="AD15" s="50" t="s">
        <v>213</v>
      </c>
      <c r="AE15" s="50" t="s">
        <v>214</v>
      </c>
    </row>
    <row r="16" spans="2:31">
      <c r="B16" s="1" t="s">
        <v>7</v>
      </c>
      <c r="C16" s="1">
        <f>NCt(-C13,C12,C14)</f>
        <v>0.10307839717957634</v>
      </c>
      <c r="U16" s="50">
        <f>U15+$AB$11</f>
        <v>9.9229850208075149E-2</v>
      </c>
      <c r="V16" s="50">
        <f t="shared" ref="V16:V47" si="0">_xlfn.NORM.DIST($U16,$V$11,$C$5,FALSE)</f>
        <v>0.28736242915824389</v>
      </c>
      <c r="Y16" s="50" t="s">
        <v>215</v>
      </c>
      <c r="Z16" s="50">
        <f>$V$11-$W$11</f>
        <v>0.30635373578337999</v>
      </c>
      <c r="AA16" s="50">
        <v>0</v>
      </c>
      <c r="AC16" s="50" t="s">
        <v>215</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217</v>
      </c>
      <c r="Z17" s="50">
        <f>Z16</f>
        <v>0.30635373578337999</v>
      </c>
      <c r="AA17" s="50">
        <f>IF(Y13,MAX($V$15:$V$47),0)</f>
        <v>0</v>
      </c>
      <c r="AC17" s="50" t="s">
        <v>217</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218</v>
      </c>
      <c r="Z18" s="50" t="s">
        <v>213</v>
      </c>
      <c r="AA18" s="50" t="s">
        <v>214</v>
      </c>
      <c r="AC18" s="50" t="s">
        <v>218</v>
      </c>
      <c r="AD18" s="50" t="s">
        <v>213</v>
      </c>
      <c r="AE18" s="50" t="s">
        <v>214</v>
      </c>
    </row>
    <row r="19" spans="2:31">
      <c r="U19" s="50">
        <f t="shared" si="1"/>
        <v>0.3969194008323006</v>
      </c>
      <c r="V19" s="50">
        <f t="shared" si="0"/>
        <v>0.45490325198376713</v>
      </c>
      <c r="Y19" s="50" t="s">
        <v>215</v>
      </c>
      <c r="Z19" s="50">
        <f>$V$11+$W$11</f>
        <v>1.4936462642166202</v>
      </c>
      <c r="AA19" s="50">
        <v>0</v>
      </c>
      <c r="AC19" s="50" t="s">
        <v>215</v>
      </c>
      <c r="AD19" s="50">
        <f>$V$11+$Y$11</f>
        <v>3.063986751139121</v>
      </c>
      <c r="AE19" s="50">
        <v>0</v>
      </c>
    </row>
    <row r="20" spans="2:31">
      <c r="B20" s="1" t="s">
        <v>11</v>
      </c>
      <c r="C20" s="1">
        <f>CEILING(INDEX(Z2:Z4,Y5,1)*C11,1)</f>
        <v>3</v>
      </c>
      <c r="U20" s="50">
        <f t="shared" si="1"/>
        <v>0.49614925104037577</v>
      </c>
      <c r="V20" s="50">
        <f t="shared" si="0"/>
        <v>0.50602563077485663</v>
      </c>
      <c r="Y20" s="50" t="s">
        <v>217</v>
      </c>
      <c r="Z20" s="50">
        <f>Z19</f>
        <v>1.4936462642166202</v>
      </c>
      <c r="AA20" s="50">
        <f>AA17</f>
        <v>0</v>
      </c>
      <c r="AC20" s="50" t="s">
        <v>217</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227</v>
      </c>
    </row>
    <row r="31" spans="2:31">
      <c r="U31" s="50">
        <f t="shared" si="1"/>
        <v>1.5876776033292022</v>
      </c>
      <c r="V31" s="50">
        <f t="shared" si="0"/>
        <v>0.35070805182037268</v>
      </c>
      <c r="Y31" s="50" t="s">
        <v>216</v>
      </c>
      <c r="Z31" s="50" t="s">
        <v>213</v>
      </c>
      <c r="AA31" s="50" t="s">
        <v>214</v>
      </c>
    </row>
    <row r="32" spans="2:31">
      <c r="U32" s="50">
        <f t="shared" si="1"/>
        <v>1.6869074535372772</v>
      </c>
      <c r="V32" s="50">
        <f t="shared" si="0"/>
        <v>0.29494561250934742</v>
      </c>
      <c r="Y32" s="50" t="s">
        <v>215</v>
      </c>
      <c r="Z32" s="54">
        <f>C7</f>
        <v>0.8</v>
      </c>
      <c r="AA32" s="50">
        <v>0</v>
      </c>
    </row>
    <row r="33" spans="21:27">
      <c r="U33" s="50">
        <f t="shared" si="1"/>
        <v>1.7861373037453523</v>
      </c>
      <c r="V33" s="50">
        <f t="shared" si="0"/>
        <v>0.24233531319033688</v>
      </c>
      <c r="Y33" s="50" t="s">
        <v>217</v>
      </c>
      <c r="Z33" s="54">
        <f>Z32</f>
        <v>0.8</v>
      </c>
      <c r="AA33" s="50">
        <f>IF($Y$29,MAX($V$15:$W$47),0)</f>
        <v>0.61372245947377413</v>
      </c>
    </row>
    <row r="34" spans="21:27">
      <c r="U34" s="50">
        <f t="shared" si="1"/>
        <v>1.8853671539534274</v>
      </c>
      <c r="V34" s="50">
        <f t="shared" si="0"/>
        <v>0.1945225836599368</v>
      </c>
      <c r="Y34" s="50" t="s">
        <v>218</v>
      </c>
      <c r="Z34" s="50" t="s">
        <v>213</v>
      </c>
      <c r="AA34" s="50" t="s">
        <v>214</v>
      </c>
    </row>
    <row r="35" spans="21:27">
      <c r="U35" s="50">
        <f t="shared" si="1"/>
        <v>1.9845970041615024</v>
      </c>
      <c r="V35" s="50">
        <f t="shared" si="0"/>
        <v>0.15254638314764188</v>
      </c>
      <c r="Y35" s="50" t="s">
        <v>215</v>
      </c>
      <c r="Z35" s="54">
        <f>C8</f>
        <v>1.25</v>
      </c>
      <c r="AA35" s="50">
        <v>0</v>
      </c>
    </row>
    <row r="36" spans="21:27">
      <c r="U36" s="50">
        <f t="shared" si="1"/>
        <v>2.0838268543695775</v>
      </c>
      <c r="V36" s="50">
        <f t="shared" si="0"/>
        <v>0.11687250742502221</v>
      </c>
      <c r="Y36" s="50" t="s">
        <v>217</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122</v>
      </c>
    </row>
    <row r="63" spans="2:2" ht="13">
      <c r="B63" s="9" t="s">
        <v>124</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305</v>
      </c>
      <c r="C2" s="91"/>
    </row>
    <row r="9" spans="2:16" ht="13">
      <c r="C9" s="129" t="s">
        <v>306</v>
      </c>
      <c r="D9" s="130"/>
      <c r="E9" s="130"/>
      <c r="F9" s="131"/>
      <c r="G9" s="132" t="s">
        <v>307</v>
      </c>
      <c r="H9" s="139"/>
      <c r="I9" s="133"/>
      <c r="J9" s="133"/>
      <c r="K9" s="133"/>
      <c r="L9" s="133"/>
      <c r="M9" s="134"/>
      <c r="N9" s="135" t="s">
        <v>308</v>
      </c>
      <c r="O9" s="136"/>
      <c r="P9" s="137"/>
    </row>
    <row r="10" spans="2:16" ht="13">
      <c r="B10" s="93" t="s">
        <v>298</v>
      </c>
      <c r="C10" s="97" t="s">
        <v>302</v>
      </c>
      <c r="D10" s="97" t="s">
        <v>302</v>
      </c>
      <c r="E10" s="97" t="s">
        <v>302</v>
      </c>
      <c r="F10" s="97" t="s">
        <v>302</v>
      </c>
      <c r="G10" s="103" t="s">
        <v>302</v>
      </c>
      <c r="H10" s="103" t="s">
        <v>280</v>
      </c>
      <c r="I10" s="103" t="s">
        <v>280</v>
      </c>
      <c r="J10" s="103" t="s">
        <v>286</v>
      </c>
      <c r="K10" s="103" t="s">
        <v>286</v>
      </c>
      <c r="L10" s="104" t="s">
        <v>287</v>
      </c>
      <c r="M10" s="105" t="s">
        <v>287</v>
      </c>
      <c r="N10" s="122" t="s">
        <v>289</v>
      </c>
      <c r="O10" s="122" t="s">
        <v>290</v>
      </c>
      <c r="P10" s="122" t="s">
        <v>294</v>
      </c>
    </row>
    <row r="11" spans="2:16" ht="13">
      <c r="B11" s="94"/>
      <c r="C11" s="98" t="s">
        <v>304</v>
      </c>
      <c r="D11" s="98" t="s">
        <v>293</v>
      </c>
      <c r="E11" s="98" t="s">
        <v>282</v>
      </c>
      <c r="F11" s="98" t="s">
        <v>284</v>
      </c>
      <c r="G11" s="106" t="s">
        <v>293</v>
      </c>
      <c r="H11" s="106" t="s">
        <v>282</v>
      </c>
      <c r="I11" s="106" t="s">
        <v>284</v>
      </c>
      <c r="J11" s="106" t="s">
        <v>282</v>
      </c>
      <c r="K11" s="106" t="s">
        <v>284</v>
      </c>
      <c r="L11" s="107" t="s">
        <v>282</v>
      </c>
      <c r="M11" s="108" t="s">
        <v>284</v>
      </c>
      <c r="N11" s="123" t="s">
        <v>284</v>
      </c>
      <c r="O11" s="123" t="s">
        <v>293</v>
      </c>
      <c r="P11" s="123" t="s">
        <v>293</v>
      </c>
    </row>
    <row r="12" spans="2:16" ht="13">
      <c r="B12" s="94" t="s">
        <v>297</v>
      </c>
      <c r="C12" s="99" t="s">
        <v>296</v>
      </c>
      <c r="D12" s="99" t="s">
        <v>296</v>
      </c>
      <c r="E12" s="99" t="s">
        <v>296</v>
      </c>
      <c r="F12" s="99" t="s">
        <v>296</v>
      </c>
      <c r="G12" s="109" t="s">
        <v>296</v>
      </c>
      <c r="H12" s="109" t="s">
        <v>288</v>
      </c>
      <c r="I12" s="109" t="s">
        <v>288</v>
      </c>
      <c r="J12" s="109" t="s">
        <v>288</v>
      </c>
      <c r="K12" s="109" t="s">
        <v>288</v>
      </c>
      <c r="L12" s="110" t="s">
        <v>288</v>
      </c>
      <c r="M12" s="111" t="s">
        <v>288</v>
      </c>
      <c r="N12" s="124" t="s">
        <v>288</v>
      </c>
      <c r="O12" s="124" t="s">
        <v>291</v>
      </c>
      <c r="P12" s="124" t="s">
        <v>295</v>
      </c>
    </row>
    <row r="13" spans="2:16" ht="13">
      <c r="B13" s="94" t="s">
        <v>299</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300</v>
      </c>
      <c r="C14" s="99" t="s">
        <v>303</v>
      </c>
      <c r="D14" s="99" t="s">
        <v>292</v>
      </c>
      <c r="E14" s="99" t="s">
        <v>281</v>
      </c>
      <c r="F14" s="99" t="s">
        <v>283</v>
      </c>
      <c r="G14" s="109" t="s">
        <v>292</v>
      </c>
      <c r="H14" s="109" t="s">
        <v>281</v>
      </c>
      <c r="I14" s="109" t="s">
        <v>283</v>
      </c>
      <c r="J14" s="109" t="s">
        <v>281</v>
      </c>
      <c r="K14" s="109" t="s">
        <v>283</v>
      </c>
      <c r="L14" s="110" t="s">
        <v>281</v>
      </c>
      <c r="M14" s="111" t="s">
        <v>283</v>
      </c>
      <c r="N14" s="124" t="s">
        <v>283</v>
      </c>
      <c r="O14" s="124" t="s">
        <v>292</v>
      </c>
      <c r="P14" s="124" t="s">
        <v>292</v>
      </c>
    </row>
    <row r="15" spans="2:16" ht="13">
      <c r="B15" s="94" t="s">
        <v>301</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285</v>
      </c>
      <c r="C16" s="101"/>
      <c r="D16" s="101"/>
      <c r="E16" s="101"/>
      <c r="F16" s="101"/>
      <c r="G16" s="118"/>
      <c r="H16" s="118"/>
      <c r="I16" s="118"/>
      <c r="J16" s="118"/>
      <c r="K16" s="118"/>
      <c r="L16" s="119"/>
      <c r="M16" s="120"/>
      <c r="N16" s="127"/>
      <c r="O16" s="127" t="s">
        <v>309</v>
      </c>
      <c r="P16" s="127" t="s">
        <v>309</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246</v>
      </c>
    </row>
    <row r="19" spans="2:4" ht="15" thickBot="1"/>
    <row r="20" spans="2:4" ht="17" thickBot="1">
      <c r="B20" s="77" t="s">
        <v>247</v>
      </c>
      <c r="C20" s="78">
        <v>0.1</v>
      </c>
      <c r="D20" s="89" t="s">
        <v>279</v>
      </c>
    </row>
    <row r="21" spans="2:4" ht="17" thickBot="1">
      <c r="B21" s="77" t="s">
        <v>248</v>
      </c>
      <c r="C21" s="79">
        <v>0.2</v>
      </c>
    </row>
    <row r="22" spans="2:4" ht="17">
      <c r="B22" s="77" t="s">
        <v>249</v>
      </c>
      <c r="C22" s="80">
        <f>C20*C21</f>
        <v>2.0000000000000004E-2</v>
      </c>
    </row>
    <row r="23" spans="2:4">
      <c r="C23" s="80"/>
    </row>
    <row r="24" spans="2:4" ht="17">
      <c r="B24" s="77" t="s">
        <v>250</v>
      </c>
      <c r="C24" s="80">
        <f>1-C25</f>
        <v>0.28000000000000003</v>
      </c>
      <c r="D24" s="77" t="s">
        <v>251</v>
      </c>
    </row>
    <row r="25" spans="2:4" ht="17">
      <c r="B25" s="77" t="s">
        <v>252</v>
      </c>
      <c r="C25" s="80">
        <f>1-C20-C21+C22</f>
        <v>0.72</v>
      </c>
      <c r="D25" s="77" t="s">
        <v>253</v>
      </c>
    </row>
    <row r="26" spans="2:4" ht="15" thickBot="1"/>
    <row r="27" spans="2:4" ht="15" thickBot="1">
      <c r="C27" s="81" t="s">
        <v>278</v>
      </c>
      <c r="D27" s="78">
        <v>50</v>
      </c>
    </row>
    <row r="28" spans="2:4">
      <c r="C28" s="81" t="s">
        <v>254</v>
      </c>
      <c r="D28" s="80">
        <f>D27*C24</f>
        <v>14.000000000000002</v>
      </c>
    </row>
    <row r="29" spans="2:4">
      <c r="C29" s="81" t="s">
        <v>255</v>
      </c>
      <c r="D29" s="80">
        <f>D27/C25</f>
        <v>69.444444444444443</v>
      </c>
    </row>
    <row r="30" spans="2:4" ht="15" thickBot="1"/>
    <row r="31" spans="2:4" ht="15" thickBot="1">
      <c r="B31" s="81" t="s">
        <v>256</v>
      </c>
      <c r="C31" s="78">
        <v>2</v>
      </c>
      <c r="D31" s="77" t="s">
        <v>257</v>
      </c>
    </row>
    <row r="33" spans="2:5">
      <c r="B33" s="81" t="s">
        <v>258</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259</v>
      </c>
      <c r="C39" s="82">
        <f>_xlfn.XLOOKUP("&lt;-- divisible",E33:E37,C33:C37,"NOT FOUND", 0,1)</f>
        <v>70</v>
      </c>
      <c r="D39" s="77" t="s">
        <v>260</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261</v>
      </c>
    </row>
    <row r="3" spans="2:2" ht="23.5">
      <c r="B3" s="83"/>
    </row>
    <row r="28" spans="3:9" ht="15" thickBot="1"/>
    <row r="29" spans="3:9" ht="17" thickBot="1">
      <c r="C29" s="77" t="s">
        <v>247</v>
      </c>
      <c r="D29" s="78">
        <v>0.1</v>
      </c>
      <c r="E29" s="89" t="s">
        <v>279</v>
      </c>
    </row>
    <row r="30" spans="3:9" ht="17" thickBot="1">
      <c r="C30" s="77" t="s">
        <v>248</v>
      </c>
      <c r="D30" s="78">
        <v>0.01</v>
      </c>
      <c r="E30" s="77" t="s">
        <v>262</v>
      </c>
    </row>
    <row r="31" spans="3:9" ht="17" thickBot="1">
      <c r="C31" s="77" t="s">
        <v>263</v>
      </c>
      <c r="D31" s="78">
        <v>0.03</v>
      </c>
      <c r="E31" s="77" t="s">
        <v>264</v>
      </c>
    </row>
    <row r="32" spans="3:9">
      <c r="D32" s="84"/>
      <c r="F32" s="85"/>
      <c r="G32" s="85"/>
      <c r="H32" s="85"/>
      <c r="I32" s="85"/>
    </row>
    <row r="33" spans="3:9">
      <c r="D33" s="84"/>
      <c r="F33" s="85" t="s">
        <v>265</v>
      </c>
      <c r="G33" s="85" t="s">
        <v>266</v>
      </c>
      <c r="H33" s="85" t="s">
        <v>267</v>
      </c>
      <c r="I33" s="85" t="s">
        <v>268</v>
      </c>
    </row>
    <row r="34" spans="3:9" ht="17">
      <c r="C34" s="77" t="s">
        <v>249</v>
      </c>
      <c r="D34" s="86">
        <f>D29*D30</f>
        <v>1E-3</v>
      </c>
      <c r="E34" s="87" t="s">
        <v>269</v>
      </c>
      <c r="F34" s="86">
        <f>D34-D37</f>
        <v>9.7000000000000005E-4</v>
      </c>
      <c r="G34" s="86">
        <f>D29-F34-F36-D37</f>
        <v>9.6030000000000004E-2</v>
      </c>
      <c r="H34" s="88">
        <f>D37+SUM(F34:G36)</f>
        <v>0.13573000000000002</v>
      </c>
      <c r="I34" s="88">
        <f>1-H34</f>
        <v>0.86426999999999998</v>
      </c>
    </row>
    <row r="35" spans="3:9" ht="17">
      <c r="C35" s="77" t="s">
        <v>270</v>
      </c>
      <c r="D35" s="86">
        <f>D29*D31</f>
        <v>3.0000000000000001E-3</v>
      </c>
      <c r="E35" s="87" t="s">
        <v>271</v>
      </c>
      <c r="F35" s="86">
        <f>D36-D37</f>
        <v>2.6999999999999995E-4</v>
      </c>
      <c r="G35" s="86">
        <f>D30-F34-F35-D37</f>
        <v>8.7299999999999999E-3</v>
      </c>
      <c r="H35" s="86"/>
      <c r="I35" s="86"/>
    </row>
    <row r="36" spans="3:9" ht="17">
      <c r="C36" s="77" t="s">
        <v>272</v>
      </c>
      <c r="D36" s="86">
        <f>D30*D31</f>
        <v>2.9999999999999997E-4</v>
      </c>
      <c r="E36" s="87" t="s">
        <v>273</v>
      </c>
      <c r="F36" s="86">
        <f>D35-D37</f>
        <v>2.97E-3</v>
      </c>
      <c r="G36" s="86">
        <f>D31-F36-F35-D37</f>
        <v>2.673E-2</v>
      </c>
      <c r="H36" s="86"/>
      <c r="I36" s="86"/>
    </row>
    <row r="37" spans="3:9" ht="17">
      <c r="C37" s="77" t="s">
        <v>274</v>
      </c>
      <c r="D37" s="86">
        <f>D29*D30*D31</f>
        <v>3.0000000000000001E-5</v>
      </c>
      <c r="E37" s="87" t="s">
        <v>275</v>
      </c>
      <c r="F37" s="88">
        <f>SUM(F34:F36)</f>
        <v>4.2100000000000002E-3</v>
      </c>
      <c r="G37" s="88">
        <f>SUM(G34:G36)</f>
        <v>0.13149</v>
      </c>
      <c r="H37" s="86"/>
      <c r="I37" s="86"/>
    </row>
    <row r="39" spans="3:9" ht="17">
      <c r="C39" s="77" t="s">
        <v>276</v>
      </c>
      <c r="D39" s="86">
        <f>D29+D30+D31-D34-D35-D36+D37</f>
        <v>0.13573000000000002</v>
      </c>
      <c r="E39" s="77" t="s">
        <v>251</v>
      </c>
    </row>
    <row r="40" spans="3:9" ht="17">
      <c r="C40" s="77" t="s">
        <v>277</v>
      </c>
      <c r="D40" s="86">
        <f>1-D39</f>
        <v>0.86426999999999998</v>
      </c>
      <c r="E40" s="77" t="s">
        <v>253</v>
      </c>
    </row>
    <row r="41" spans="3:9" ht="15" thickBot="1"/>
    <row r="42" spans="3:9" ht="15" thickBot="1">
      <c r="D42" s="81" t="s">
        <v>278</v>
      </c>
      <c r="E42" s="78">
        <v>67</v>
      </c>
    </row>
    <row r="43" spans="3:9">
      <c r="D43" s="81" t="s">
        <v>254</v>
      </c>
      <c r="E43" s="80">
        <f>E42*D39</f>
        <v>9.093910000000001</v>
      </c>
    </row>
    <row r="44" spans="3:9">
      <c r="D44" s="81" t="s">
        <v>255</v>
      </c>
      <c r="E44" s="80">
        <f>E42/D40</f>
        <v>77.522070649218421</v>
      </c>
    </row>
    <row r="45" spans="3:9" ht="15" thickBot="1">
      <c r="C45" s="85"/>
    </row>
    <row r="46" spans="3:9" ht="15" thickBot="1">
      <c r="C46" s="81" t="s">
        <v>256</v>
      </c>
      <c r="D46" s="78">
        <v>2</v>
      </c>
      <c r="E46" s="77" t="s">
        <v>257</v>
      </c>
    </row>
    <row r="47" spans="3:9">
      <c r="C47" s="85"/>
    </row>
    <row r="48" spans="3:9">
      <c r="C48" s="81" t="s">
        <v>258</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259</v>
      </c>
      <c r="D54" s="82">
        <f>_xlfn.XLOOKUP("&lt;-- divisible",F48:F52,D48:D52,"NOT FOUND", 0,1)</f>
        <v>78</v>
      </c>
      <c r="E54" s="77" t="s">
        <v>260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193</v>
      </c>
    </row>
    <row r="2" spans="2:15" ht="13" thickBot="1"/>
    <row r="3" spans="2:15" ht="13.5" thickBot="1">
      <c r="B3" s="15" t="s">
        <v>196</v>
      </c>
      <c r="C3" s="33">
        <v>0.3</v>
      </c>
      <c r="D3" s="15" t="s">
        <v>197</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167</v>
      </c>
    </row>
    <row r="7" spans="2:15" ht="15.5">
      <c r="B7" s="39" t="s">
        <v>168</v>
      </c>
    </row>
    <row r="8" spans="2:15" ht="15.5">
      <c r="B8" s="39"/>
    </row>
    <row r="9" spans="2:15" ht="18">
      <c r="B9" s="27" t="s">
        <v>149</v>
      </c>
      <c r="C9" s="15"/>
      <c r="D9" s="15"/>
      <c r="E9" s="15"/>
      <c r="F9" s="15"/>
      <c r="G9" s="15"/>
      <c r="H9" s="15"/>
      <c r="I9" s="15"/>
      <c r="J9" s="15"/>
      <c r="K9" s="15"/>
      <c r="L9" s="15"/>
      <c r="M9" s="15"/>
      <c r="N9" s="15"/>
      <c r="O9" s="15"/>
    </row>
    <row r="10" spans="2:15" ht="18">
      <c r="B10" s="27" t="s">
        <v>165</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182</v>
      </c>
      <c r="C12" s="29">
        <v>0.29360000000000003</v>
      </c>
      <c r="E12" s="15" t="s">
        <v>147</v>
      </c>
      <c r="H12" s="15"/>
      <c r="I12" s="15"/>
      <c r="J12" s="15"/>
      <c r="K12" s="15"/>
      <c r="L12" s="15"/>
      <c r="M12" s="15"/>
      <c r="N12" s="15"/>
      <c r="O12" s="15"/>
    </row>
    <row r="13" spans="2:15">
      <c r="B13" s="15" t="s">
        <v>183</v>
      </c>
      <c r="C13" s="15">
        <f>LN(1.25)^2/(C12^2)</f>
        <v>0.57763909465877594</v>
      </c>
      <c r="E13" s="15" t="s">
        <v>144</v>
      </c>
      <c r="K13" s="15"/>
      <c r="L13" s="15"/>
      <c r="M13" s="15"/>
      <c r="N13" s="15"/>
      <c r="O13" s="15"/>
    </row>
    <row r="14" spans="2:15">
      <c r="B14" s="15" t="s">
        <v>184</v>
      </c>
      <c r="C14" s="31">
        <f>SQRT(EXP((C12^2))-1)</f>
        <v>0.30004226001050344</v>
      </c>
      <c r="E14" s="15" t="s">
        <v>145</v>
      </c>
      <c r="G14" s="15"/>
      <c r="H14" s="15"/>
      <c r="I14" s="15"/>
      <c r="J14" s="15"/>
      <c r="K14" s="15"/>
      <c r="L14" s="15"/>
      <c r="M14" s="15"/>
      <c r="N14" s="15"/>
      <c r="O14" s="15"/>
    </row>
    <row r="15" spans="2:15">
      <c r="B15" s="15" t="s">
        <v>185</v>
      </c>
      <c r="C15" s="1">
        <f>LN((C3)^2+1)</f>
        <v>8.6177696241052412E-2</v>
      </c>
      <c r="D15" s="15"/>
      <c r="E15" s="15"/>
      <c r="F15" s="15"/>
      <c r="G15" s="15"/>
      <c r="H15" s="15"/>
      <c r="I15" s="15"/>
      <c r="J15" s="15"/>
      <c r="K15" s="15"/>
      <c r="L15" s="15"/>
      <c r="M15" s="15"/>
      <c r="N15" s="15"/>
      <c r="O15" s="15"/>
    </row>
    <row r="16" spans="2:15">
      <c r="B16" s="15" t="s">
        <v>186</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151</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137</v>
      </c>
      <c r="C21" s="9"/>
      <c r="D21" s="15"/>
      <c r="E21" s="15"/>
      <c r="F21" s="15"/>
      <c r="G21" s="15"/>
      <c r="H21" s="15"/>
      <c r="I21" s="15"/>
      <c r="J21" s="15"/>
      <c r="K21" s="15"/>
      <c r="L21" s="15"/>
      <c r="M21" s="15"/>
      <c r="N21" s="15"/>
      <c r="O21" s="15"/>
    </row>
    <row r="22" spans="2:16" ht="13">
      <c r="B22" s="32" t="s">
        <v>143</v>
      </c>
      <c r="C22" s="9"/>
      <c r="D22" s="15"/>
      <c r="E22" s="15"/>
      <c r="F22" s="15"/>
      <c r="G22" s="15"/>
      <c r="H22" s="15"/>
      <c r="I22" s="15"/>
      <c r="J22" s="15"/>
      <c r="K22" s="15"/>
      <c r="L22" s="15"/>
      <c r="M22" s="15"/>
      <c r="N22" s="15"/>
      <c r="O22" s="15"/>
    </row>
    <row r="23" spans="2:16">
      <c r="B23" s="32" t="s">
        <v>146</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148</v>
      </c>
      <c r="C25" s="15"/>
      <c r="D25" s="15"/>
      <c r="E25" s="15"/>
      <c r="F25" s="15"/>
      <c r="G25" s="15"/>
      <c r="I25" s="15"/>
      <c r="J25" s="15"/>
      <c r="K25" s="15"/>
      <c r="L25" s="15"/>
      <c r="M25" s="15"/>
      <c r="N25" s="15"/>
      <c r="O25" s="15"/>
    </row>
    <row r="26" spans="2:16">
      <c r="B26" s="15" t="s">
        <v>192</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166</v>
      </c>
      <c r="C29" s="37"/>
      <c r="D29" s="37"/>
      <c r="E29" s="37"/>
      <c r="F29" s="37"/>
      <c r="G29" s="37"/>
      <c r="H29" s="37"/>
      <c r="I29" s="37"/>
      <c r="J29" s="37"/>
      <c r="K29" s="37"/>
      <c r="L29" s="37"/>
      <c r="M29" s="37"/>
      <c r="N29" s="37"/>
      <c r="O29" s="37"/>
      <c r="P29" s="38"/>
    </row>
    <row r="30" spans="2:16" ht="18">
      <c r="B30" s="27" t="s">
        <v>150</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132</v>
      </c>
      <c r="H32" s="15"/>
      <c r="I32" s="15"/>
      <c r="J32" s="15"/>
      <c r="K32" s="15"/>
      <c r="L32" s="15"/>
      <c r="M32" s="15"/>
      <c r="N32" s="15"/>
      <c r="O32" s="15"/>
    </row>
    <row r="33" spans="2:21">
      <c r="B33" s="15"/>
      <c r="C33" s="15"/>
      <c r="D33" s="15"/>
      <c r="E33" s="15"/>
      <c r="F33" s="15"/>
      <c r="G33" s="15" t="s">
        <v>138</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182</v>
      </c>
      <c r="C35" s="29">
        <v>0.25</v>
      </c>
      <c r="D35" s="15" t="s">
        <v>139</v>
      </c>
      <c r="E35" s="15"/>
      <c r="F35" s="15"/>
      <c r="G35" s="15"/>
      <c r="H35" s="15"/>
      <c r="I35" s="15"/>
      <c r="J35" s="15"/>
      <c r="K35" s="15"/>
      <c r="L35" s="15"/>
      <c r="M35" s="15"/>
      <c r="N35" s="15"/>
      <c r="O35" s="15"/>
    </row>
    <row r="36" spans="2:21">
      <c r="B36" s="15" t="s">
        <v>184</v>
      </c>
      <c r="C36" s="31">
        <f>SQRT(EXP((C35^2))-1)</f>
        <v>0.25395759275489149</v>
      </c>
      <c r="F36" s="15"/>
      <c r="G36" s="15"/>
      <c r="H36" s="15"/>
      <c r="I36" s="15"/>
      <c r="J36" s="15"/>
      <c r="K36" s="15"/>
      <c r="L36" s="15"/>
      <c r="M36" s="15"/>
      <c r="N36" s="15"/>
      <c r="O36" s="15"/>
    </row>
    <row r="37" spans="2:21">
      <c r="B37" s="15" t="s">
        <v>187</v>
      </c>
      <c r="C37" s="15">
        <f>SQRT(LN((C3)^2+1))</f>
        <v>0.29356037920852401</v>
      </c>
      <c r="D37" s="15" t="s">
        <v>142</v>
      </c>
      <c r="E37" s="15"/>
      <c r="F37" s="15"/>
      <c r="G37" s="15"/>
      <c r="H37" s="15"/>
      <c r="I37" s="15"/>
      <c r="J37" s="15"/>
      <c r="K37" s="15"/>
      <c r="L37" s="15"/>
      <c r="M37" s="15"/>
      <c r="N37" s="15"/>
      <c r="O37" s="15"/>
    </row>
    <row r="38" spans="2:21">
      <c r="B38" s="15" t="s">
        <v>133</v>
      </c>
      <c r="C38" s="1">
        <f>IF(C37&gt;=C35,LN(1.25)*C37/C35,LN(1.25))</f>
        <v>0.2620244221669446</v>
      </c>
      <c r="F38" s="15"/>
      <c r="G38" s="15"/>
      <c r="H38" s="15"/>
      <c r="I38" s="15"/>
      <c r="J38" s="15"/>
      <c r="K38" s="15"/>
      <c r="L38" s="15"/>
      <c r="M38" s="15"/>
      <c r="N38" s="15"/>
      <c r="O38" s="15"/>
    </row>
    <row r="39" spans="2:21">
      <c r="B39" s="15"/>
      <c r="C39" s="15"/>
      <c r="D39" s="15"/>
      <c r="E39" s="15"/>
      <c r="F39" s="15"/>
      <c r="G39" s="15" t="s">
        <v>199</v>
      </c>
      <c r="H39" s="15"/>
      <c r="I39" s="15"/>
      <c r="J39" s="15"/>
      <c r="K39" s="15"/>
      <c r="L39" s="15"/>
      <c r="M39" s="15"/>
      <c r="N39" s="15"/>
      <c r="O39" s="15"/>
    </row>
    <row r="40" spans="2:21" ht="17.5">
      <c r="B40" s="35" t="s">
        <v>131</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137</v>
      </c>
      <c r="C42" s="9"/>
      <c r="D42" s="15"/>
      <c r="E42" s="15"/>
      <c r="F42" s="15"/>
      <c r="G42" s="15"/>
      <c r="H42" s="15"/>
      <c r="I42" s="15"/>
      <c r="J42" s="15"/>
      <c r="K42" s="15"/>
      <c r="L42" s="15"/>
      <c r="M42" s="15"/>
      <c r="N42" s="15"/>
      <c r="O42" s="15"/>
    </row>
    <row r="43" spans="2:21" ht="13">
      <c r="B43" s="32" t="s">
        <v>136</v>
      </c>
      <c r="C43" s="9"/>
      <c r="D43" s="15"/>
      <c r="E43" s="15"/>
      <c r="F43" s="15"/>
      <c r="G43" s="15"/>
      <c r="H43" s="15"/>
      <c r="I43" s="15"/>
      <c r="J43" s="15"/>
      <c r="K43" s="15"/>
      <c r="L43" s="15"/>
      <c r="M43" s="15"/>
      <c r="N43" s="15"/>
      <c r="O43" s="15"/>
    </row>
    <row r="44" spans="2:21">
      <c r="B44" s="32" t="s">
        <v>135</v>
      </c>
      <c r="C44" s="15"/>
      <c r="D44" s="15"/>
      <c r="E44" s="15"/>
      <c r="F44" s="15"/>
      <c r="G44" s="15"/>
      <c r="H44" s="15"/>
      <c r="I44" s="15"/>
      <c r="J44" s="15"/>
      <c r="K44" s="15"/>
      <c r="L44" s="15"/>
      <c r="M44" s="15"/>
      <c r="N44" s="15"/>
      <c r="O44" s="15"/>
    </row>
    <row r="45" spans="2:21">
      <c r="B45" s="32" t="s">
        <v>140</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153</v>
      </c>
      <c r="L48" s="15"/>
      <c r="M48" s="15"/>
      <c r="N48" s="15"/>
      <c r="O48" s="15"/>
      <c r="P48" s="15"/>
      <c r="Q48" s="15"/>
      <c r="R48" s="15"/>
      <c r="S48" s="15"/>
      <c r="T48" s="15"/>
      <c r="U48" s="15"/>
    </row>
    <row r="49" spans="2:21" ht="18">
      <c r="B49" s="27" t="s">
        <v>154</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156</v>
      </c>
      <c r="C51" s="29">
        <v>1</v>
      </c>
      <c r="D51" s="15"/>
      <c r="K51" s="15"/>
      <c r="L51" s="15"/>
      <c r="M51" s="15"/>
      <c r="N51" s="15"/>
      <c r="O51" s="15"/>
      <c r="P51" s="15"/>
      <c r="Q51" s="15"/>
      <c r="R51" s="15"/>
      <c r="S51" s="15"/>
      <c r="T51" s="15"/>
      <c r="U51" s="15"/>
    </row>
    <row r="52" spans="2:21" ht="13.5" thickBot="1">
      <c r="B52" s="15" t="s">
        <v>155</v>
      </c>
      <c r="C52" s="29">
        <v>24</v>
      </c>
      <c r="K52" s="15"/>
      <c r="L52" s="15"/>
      <c r="M52" s="15"/>
      <c r="N52" s="15"/>
      <c r="O52" s="15"/>
      <c r="P52" s="15"/>
      <c r="Q52" s="15"/>
      <c r="R52" s="15"/>
      <c r="S52" s="15"/>
      <c r="T52" s="15"/>
      <c r="U52" s="15"/>
    </row>
    <row r="53" spans="2:21">
      <c r="B53" s="15" t="s">
        <v>141</v>
      </c>
      <c r="C53" s="1">
        <f>LN((C3)^2+1)</f>
        <v>8.6177696241052412E-2</v>
      </c>
      <c r="K53" s="15"/>
      <c r="L53" s="15"/>
      <c r="M53" s="15"/>
      <c r="N53" s="15"/>
      <c r="O53" s="15"/>
      <c r="P53" s="15"/>
      <c r="Q53" s="15"/>
      <c r="R53" s="15"/>
      <c r="S53" s="15"/>
      <c r="T53" s="15"/>
      <c r="U53" s="15"/>
    </row>
    <row r="54" spans="2:21" ht="13">
      <c r="B54" s="15" t="s">
        <v>161</v>
      </c>
      <c r="C54" s="1">
        <f>SQRT((2*C53)/C52)</f>
        <v>8.474358197972498E-2</v>
      </c>
      <c r="I54" s="9"/>
      <c r="K54" s="15"/>
      <c r="L54" s="15"/>
      <c r="M54" s="15"/>
      <c r="N54" s="15"/>
      <c r="O54" s="15"/>
      <c r="P54" s="15"/>
      <c r="Q54" s="15"/>
      <c r="R54" s="15"/>
      <c r="S54" s="15"/>
      <c r="T54" s="15"/>
      <c r="U54" s="15"/>
    </row>
    <row r="55" spans="2:21" ht="13">
      <c r="B55" s="15" t="s">
        <v>157</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131</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159</v>
      </c>
      <c r="D59" s="15"/>
      <c r="E59" s="15"/>
      <c r="F59" s="15"/>
      <c r="G59" s="15"/>
      <c r="H59" s="15"/>
      <c r="I59" s="15"/>
      <c r="J59" s="15"/>
      <c r="K59" s="15"/>
      <c r="L59" s="15"/>
      <c r="M59" s="15"/>
      <c r="N59" s="15"/>
      <c r="O59" s="15"/>
    </row>
    <row r="60" spans="2:21">
      <c r="B60" s="15" t="s">
        <v>160</v>
      </c>
      <c r="C60" s="15"/>
      <c r="D60" s="15"/>
      <c r="E60" s="15"/>
      <c r="F60" s="15"/>
      <c r="G60" s="15"/>
      <c r="H60" s="15"/>
      <c r="I60" s="15"/>
      <c r="J60" s="15"/>
      <c r="K60" s="15"/>
      <c r="L60" s="15"/>
      <c r="M60" s="15"/>
      <c r="N60" s="15"/>
      <c r="O60" s="15"/>
    </row>
    <row r="61" spans="2:21">
      <c r="B61" s="15" t="s">
        <v>162</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134</v>
      </c>
      <c r="C76" s="15"/>
      <c r="D76" s="15"/>
      <c r="E76" s="15"/>
      <c r="F76" s="15"/>
      <c r="G76" s="15"/>
      <c r="H76" s="15"/>
      <c r="I76" s="15"/>
      <c r="J76" s="15"/>
      <c r="K76" s="15"/>
      <c r="L76" s="15"/>
      <c r="M76" s="15"/>
      <c r="N76" s="15"/>
      <c r="O76" s="15"/>
    </row>
    <row r="77" spans="2:15">
      <c r="B77" s="32" t="s">
        <v>143</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152</v>
      </c>
      <c r="C80" s="15"/>
      <c r="D80" s="15"/>
      <c r="E80" s="15"/>
      <c r="F80" s="15"/>
      <c r="G80" s="15"/>
      <c r="H80" s="15"/>
      <c r="I80" s="15"/>
      <c r="J80" s="15"/>
      <c r="K80" s="15"/>
      <c r="L80" s="15"/>
      <c r="M80" s="15"/>
      <c r="N80" s="15"/>
      <c r="O80" s="15"/>
    </row>
    <row r="81" spans="2:15" ht="18">
      <c r="B81" s="27" t="s">
        <v>158</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163</v>
      </c>
      <c r="C83" s="29">
        <v>1</v>
      </c>
      <c r="D83" s="15"/>
      <c r="E83" s="15"/>
      <c r="F83" s="15"/>
      <c r="G83" s="15"/>
      <c r="H83" s="15"/>
      <c r="I83" s="15"/>
      <c r="J83" s="15"/>
      <c r="K83" s="15"/>
      <c r="L83" s="15"/>
      <c r="M83" s="15"/>
      <c r="N83" s="15"/>
      <c r="O83" s="15"/>
    </row>
    <row r="84" spans="2:15">
      <c r="B84" s="15" t="s">
        <v>164</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131</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137</v>
      </c>
      <c r="C106" s="15"/>
      <c r="D106" s="15"/>
      <c r="E106" s="15"/>
      <c r="F106" s="15"/>
      <c r="G106" s="15"/>
      <c r="H106" s="15"/>
      <c r="I106" s="15"/>
      <c r="J106" s="15"/>
      <c r="K106" s="15"/>
      <c r="L106" s="15"/>
      <c r="M106" s="15"/>
      <c r="N106" s="15"/>
      <c r="O106" s="15"/>
    </row>
    <row r="107" spans="2:15">
      <c r="B107" s="32" t="s">
        <v>143</v>
      </c>
      <c r="C107" s="15"/>
      <c r="D107" s="15"/>
      <c r="E107" s="15"/>
      <c r="F107" s="15"/>
      <c r="G107" s="15"/>
      <c r="H107" s="15"/>
      <c r="I107" s="15"/>
      <c r="J107" s="15"/>
      <c r="K107" s="15"/>
      <c r="L107" s="15"/>
      <c r="M107" s="15"/>
      <c r="N107" s="15"/>
      <c r="O107" s="15"/>
    </row>
    <row r="108" spans="2:15">
      <c r="B108" s="41" t="s">
        <v>198</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152</v>
      </c>
    </row>
    <row r="111" spans="2:15" ht="18">
      <c r="B111" s="27" t="s">
        <v>178</v>
      </c>
    </row>
    <row r="112" spans="2:15" ht="13" thickBot="1"/>
    <row r="113" spans="2:15" ht="13.5" thickBot="1">
      <c r="B113" s="15" t="s">
        <v>182</v>
      </c>
      <c r="C113" s="29">
        <v>0.25</v>
      </c>
    </row>
    <row r="114" spans="2:15" ht="13.5" thickBot="1">
      <c r="B114" s="15" t="s">
        <v>179</v>
      </c>
      <c r="C114" s="29">
        <f>C115</f>
        <v>8.6177696241052412E-2</v>
      </c>
      <c r="D114" s="15" t="s">
        <v>189</v>
      </c>
    </row>
    <row r="115" spans="2:15" ht="13.5" thickBot="1">
      <c r="B115" s="15" t="s">
        <v>141</v>
      </c>
      <c r="C115" s="29">
        <f>LN((C3)^2+1)</f>
        <v>8.6177696241052412E-2</v>
      </c>
      <c r="D115" s="15" t="s">
        <v>188</v>
      </c>
    </row>
    <row r="116" spans="2:15" ht="13.5" thickBot="1">
      <c r="B116" s="15" t="s">
        <v>180</v>
      </c>
      <c r="C116" s="29">
        <f>0.1356^2</f>
        <v>1.8387359999999998E-2</v>
      </c>
      <c r="D116" s="15" t="s">
        <v>190</v>
      </c>
    </row>
    <row r="117" spans="2:15">
      <c r="B117" s="15" t="s">
        <v>181</v>
      </c>
      <c r="C117" s="1">
        <f>(LN(1.25)^2+0.05)/C113^2</f>
        <v>1.596688711889878</v>
      </c>
    </row>
    <row r="118" spans="2:15">
      <c r="B118" s="15" t="s">
        <v>191</v>
      </c>
      <c r="C118" s="1">
        <f>SQRT((C117*C115)-(C114-C115)-C116)</f>
        <v>0.3452703213494655</v>
      </c>
    </row>
    <row r="119" spans="2:15" ht="17.5">
      <c r="B119" s="35" t="s">
        <v>131</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137</v>
      </c>
      <c r="C143" s="15"/>
      <c r="D143" s="15"/>
      <c r="E143" s="15"/>
      <c r="F143" s="15"/>
      <c r="G143" s="15"/>
      <c r="H143" s="15"/>
      <c r="I143" s="15"/>
      <c r="J143" s="15"/>
      <c r="K143" s="15"/>
      <c r="L143" s="15"/>
      <c r="M143" s="15"/>
      <c r="N143" s="15"/>
      <c r="O143" s="15"/>
    </row>
    <row r="144" spans="2:15">
      <c r="B144" s="32" t="s">
        <v>177</v>
      </c>
      <c r="C144" s="15"/>
      <c r="D144" s="15"/>
      <c r="E144" s="15"/>
      <c r="F144" s="15"/>
      <c r="G144" s="15"/>
      <c r="H144" s="15"/>
      <c r="I144" s="15"/>
      <c r="J144" s="15"/>
      <c r="K144" s="15"/>
      <c r="L144" s="15"/>
      <c r="M144" s="15"/>
      <c r="N144" s="15"/>
      <c r="O144" s="15"/>
    </row>
    <row r="145" spans="2:15">
      <c r="B145" s="32" t="s">
        <v>143</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169</v>
      </c>
      <c r="C148" s="15"/>
      <c r="D148" s="15"/>
      <c r="E148" s="15"/>
      <c r="F148" s="15"/>
      <c r="G148" s="15"/>
      <c r="H148" s="15"/>
      <c r="I148" s="15"/>
      <c r="J148" s="15"/>
      <c r="K148" s="15"/>
      <c r="L148" s="15"/>
      <c r="M148" s="15"/>
      <c r="N148" s="15"/>
      <c r="O148" s="15"/>
    </row>
    <row r="149" spans="2:15" ht="18">
      <c r="B149" s="27" t="s">
        <v>170</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173</v>
      </c>
      <c r="C151" s="29">
        <v>24</v>
      </c>
      <c r="D151" s="15"/>
      <c r="E151" s="15"/>
      <c r="F151" s="15"/>
      <c r="G151" s="15"/>
      <c r="H151" s="15"/>
      <c r="I151" s="15"/>
      <c r="J151" s="15"/>
      <c r="K151" s="15"/>
      <c r="L151" s="15"/>
      <c r="M151" s="15"/>
      <c r="N151" s="15"/>
      <c r="O151" s="15"/>
    </row>
    <row r="152" spans="2:15" ht="13.5" thickBot="1">
      <c r="B152" s="15" t="s">
        <v>172</v>
      </c>
      <c r="C152" s="28">
        <v>0.05</v>
      </c>
      <c r="D152" s="15" t="s">
        <v>176</v>
      </c>
      <c r="E152" s="15"/>
      <c r="F152" s="15"/>
      <c r="G152" s="15"/>
      <c r="H152" s="15"/>
      <c r="I152" s="15"/>
      <c r="J152" s="15"/>
      <c r="K152" s="15"/>
      <c r="L152" s="15"/>
      <c r="M152" s="15"/>
      <c r="N152" s="15"/>
      <c r="O152" s="15"/>
    </row>
    <row r="153" spans="2:15" ht="13.5" thickBot="1">
      <c r="B153" s="15" t="s">
        <v>171</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164</v>
      </c>
      <c r="C154" s="15">
        <f>C37</f>
        <v>0.29356037920852401</v>
      </c>
      <c r="D154" s="15"/>
      <c r="E154" s="15"/>
      <c r="F154" s="15"/>
      <c r="G154" s="15"/>
      <c r="H154" s="15"/>
      <c r="I154" s="15"/>
      <c r="J154" s="15"/>
      <c r="K154" s="15"/>
      <c r="L154" s="15"/>
      <c r="M154" s="15"/>
      <c r="N154" s="15"/>
      <c r="O154" s="15"/>
    </row>
    <row r="155" spans="2:15">
      <c r="B155" s="15" t="s">
        <v>174</v>
      </c>
      <c r="C155" s="15">
        <f>TINV(($C$152*2),$C$151-2)</f>
        <v>1.7171443743802424</v>
      </c>
      <c r="D155" s="15"/>
      <c r="E155" s="15"/>
      <c r="F155" s="15"/>
      <c r="G155" s="15"/>
      <c r="H155" s="15"/>
      <c r="I155" s="15"/>
      <c r="J155" s="15"/>
      <c r="K155" s="15"/>
      <c r="L155" s="15"/>
      <c r="M155" s="15"/>
      <c r="N155" s="15"/>
      <c r="O155" s="15"/>
    </row>
    <row r="156" spans="2:15">
      <c r="B156" s="15" t="s">
        <v>175</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131</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137</v>
      </c>
      <c r="C176" s="15"/>
      <c r="D176" s="15"/>
      <c r="E176" s="15"/>
      <c r="F176" s="15"/>
      <c r="G176" s="15"/>
      <c r="H176" s="15"/>
      <c r="I176" s="15"/>
      <c r="J176" s="15"/>
      <c r="K176" s="15"/>
      <c r="L176" s="15"/>
      <c r="M176" s="15"/>
      <c r="N176" s="15"/>
      <c r="O176" s="15"/>
    </row>
    <row r="177" spans="2:15">
      <c r="B177" s="32" t="s">
        <v>143</v>
      </c>
      <c r="C177" s="15"/>
      <c r="D177" s="15"/>
      <c r="E177" s="15"/>
      <c r="F177" s="15"/>
      <c r="G177" s="15"/>
      <c r="H177" s="15"/>
      <c r="I177" s="15"/>
      <c r="J177" s="15"/>
      <c r="K177" s="15"/>
      <c r="L177" s="15"/>
      <c r="M177" s="15"/>
      <c r="N177" s="15"/>
      <c r="O177" s="15"/>
    </row>
    <row r="178" spans="2:15">
      <c r="B178" s="41" t="s">
        <v>198</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121</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122</v>
      </c>
    </row>
    <row r="27" spans="2:5" ht="20.25" customHeight="1"/>
    <row r="50" spans="2:7">
      <c r="G50" s="6"/>
    </row>
    <row r="51" spans="2:7">
      <c r="G51" s="6"/>
    </row>
    <row r="52" spans="2:7">
      <c r="G52" s="6"/>
    </row>
    <row r="53" spans="2:7" ht="13">
      <c r="B53" s="9" t="s">
        <v>124</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121</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122</v>
      </c>
    </row>
    <row r="27" spans="2:5" ht="20.25" customHeight="1"/>
    <row r="35" spans="2:2" ht="13">
      <c r="B35" s="9" t="s">
        <v>124</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115</v>
      </c>
    </row>
    <row r="2" spans="2:5" ht="13.5" thickBot="1">
      <c r="C2" s="14"/>
      <c r="E2" s="9" t="s">
        <v>121</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110</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128</v>
      </c>
    </row>
    <row r="21" spans="2:5">
      <c r="B21" s="1" t="s">
        <v>111</v>
      </c>
      <c r="C21" s="1">
        <f>C10</f>
        <v>5</v>
      </c>
      <c r="D21" s="1" t="s">
        <v>113</v>
      </c>
    </row>
    <row r="23" spans="2:5" ht="13">
      <c r="D23" s="9" t="s">
        <v>120</v>
      </c>
    </row>
    <row r="25" spans="2:5" ht="20.25" customHeight="1">
      <c r="B25" s="1" t="s">
        <v>112</v>
      </c>
    </row>
    <row r="26" spans="2:5">
      <c r="B26" s="1" t="s">
        <v>87</v>
      </c>
    </row>
    <row r="28" spans="2:5" ht="15.5">
      <c r="B28" s="1" t="s">
        <v>114</v>
      </c>
    </row>
    <row r="29" spans="2:5" ht="13">
      <c r="D29" s="9"/>
    </row>
    <row r="30" spans="2:5" ht="18">
      <c r="B30" s="27" t="s">
        <v>122</v>
      </c>
    </row>
    <row r="39" spans="2:7" ht="13">
      <c r="B39" s="9" t="s">
        <v>127</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124</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20" t="s">
        <v>89</v>
      </c>
    </row>
    <row r="3" spans="2:7" ht="18.75" customHeight="1" thickBot="1">
      <c r="B3" s="21" t="s">
        <v>90</v>
      </c>
    </row>
    <row r="4" spans="2:7" ht="13">
      <c r="B4" s="1" t="s">
        <v>91</v>
      </c>
      <c r="C4" s="22">
        <v>1.0229999999999999</v>
      </c>
      <c r="D4" s="1" t="s">
        <v>92</v>
      </c>
    </row>
    <row r="5" spans="2:7" ht="13">
      <c r="B5" s="1" t="s">
        <v>93</v>
      </c>
      <c r="C5" s="23">
        <v>0.91</v>
      </c>
      <c r="D5" s="1" t="s">
        <v>94</v>
      </c>
    </row>
    <row r="6" spans="2:7" ht="13">
      <c r="B6" s="1" t="s">
        <v>95</v>
      </c>
      <c r="C6" s="23">
        <v>1.1499999999999999</v>
      </c>
      <c r="D6" s="1" t="s">
        <v>96</v>
      </c>
    </row>
    <row r="7" spans="2:7" ht="13.5" thickBot="1">
      <c r="B7" s="1" t="s">
        <v>97</v>
      </c>
      <c r="C7" s="24">
        <v>22</v>
      </c>
      <c r="D7" s="1" t="s">
        <v>98</v>
      </c>
    </row>
    <row r="8" spans="2:7" ht="13.5" thickBot="1">
      <c r="B8" s="1" t="s">
        <v>99</v>
      </c>
      <c r="C8" s="2">
        <v>0.9</v>
      </c>
    </row>
    <row r="10" spans="2:7">
      <c r="E10" s="43" t="s">
        <v>328</v>
      </c>
      <c r="F10" s="25"/>
      <c r="G10" s="43"/>
    </row>
    <row r="11" spans="2:7">
      <c r="E11" s="32" t="s">
        <v>323</v>
      </c>
    </row>
    <row r="12" spans="2:7">
      <c r="B12" s="1" t="s">
        <v>100</v>
      </c>
      <c r="C12" s="25">
        <f>C7-2</f>
        <v>20</v>
      </c>
      <c r="E12" s="1" t="s">
        <v>100</v>
      </c>
      <c r="F12" s="25">
        <f>C7-2</f>
        <v>20</v>
      </c>
      <c r="G12" s="43" t="s">
        <v>317</v>
      </c>
    </row>
    <row r="13" spans="2:7">
      <c r="B13" s="1" t="s">
        <v>101</v>
      </c>
      <c r="C13" s="25">
        <f>TINV(1-$C$8,$C$12)</f>
        <v>1.7247182429207881</v>
      </c>
      <c r="E13" s="1" t="s">
        <v>101</v>
      </c>
      <c r="F13" s="25">
        <f>TINV(1-$C$8,$C$12)</f>
        <v>1.7247182429207881</v>
      </c>
    </row>
    <row r="14" spans="2:7">
      <c r="B14" s="1" t="s">
        <v>102</v>
      </c>
      <c r="C14" s="25">
        <f>(LN($C$4)-LN($C$5))/$C$13</f>
        <v>6.7866254051158925E-2</v>
      </c>
      <c r="E14" s="1" t="s">
        <v>316</v>
      </c>
      <c r="F14" s="25">
        <f>1/(C7/2)+1/(C7/2)</f>
        <v>0.18181818181818182</v>
      </c>
    </row>
    <row r="15" spans="2:7">
      <c r="B15" s="1" t="s">
        <v>103</v>
      </c>
      <c r="C15" s="25">
        <f>(LN($C$6)-LN($C$4))/$C$13</f>
        <v>6.7850187058666037E-2</v>
      </c>
      <c r="E15" s="1" t="s">
        <v>318</v>
      </c>
      <c r="F15" s="25">
        <f>SQRT(0.5*F14)</f>
        <v>0.30151134457776363</v>
      </c>
    </row>
    <row r="16" spans="2:7">
      <c r="B16" s="1" t="s">
        <v>104</v>
      </c>
      <c r="C16" s="25">
        <f>(C14^2)*($C$12+2)/2</f>
        <v>5.0664112828300897E-2</v>
      </c>
      <c r="E16" s="1" t="s">
        <v>319</v>
      </c>
      <c r="F16" s="25">
        <f>(LN($C$4)-LN($C$5))/($F$15*$F$13)</f>
        <v>0.22508690061463121</v>
      </c>
      <c r="G16" s="43" t="s">
        <v>324</v>
      </c>
    </row>
    <row r="17" spans="2:8">
      <c r="B17" s="1" t="s">
        <v>105</v>
      </c>
      <c r="C17" s="25">
        <f>(C15^2)*($C$12+2)/2</f>
        <v>5.0640126722855693E-2</v>
      </c>
      <c r="E17" s="1" t="s">
        <v>320</v>
      </c>
      <c r="F17" s="25">
        <f>(LN($C$6)-LN($C$4))/($F$15*$F$13)</f>
        <v>0.22503361242902289</v>
      </c>
      <c r="G17" s="43" t="s">
        <v>325</v>
      </c>
    </row>
    <row r="18" spans="2:8">
      <c r="B18" s="1" t="s">
        <v>106</v>
      </c>
      <c r="C18" s="25">
        <f>SQRT(EXP($C$16)-1)*100</f>
        <v>22.796817952919334</v>
      </c>
      <c r="E18" s="1" t="s">
        <v>321</v>
      </c>
      <c r="F18" s="25">
        <f>AVERAGE(F16:F17)</f>
        <v>0.22506025652182704</v>
      </c>
      <c r="G18" s="43" t="s">
        <v>326</v>
      </c>
    </row>
    <row r="19" spans="2:8">
      <c r="B19" s="1" t="s">
        <v>107</v>
      </c>
      <c r="C19" s="25">
        <f>SQRT(EXP($C$17)-1)*100</f>
        <v>22.791283098881305</v>
      </c>
      <c r="G19" s="34"/>
    </row>
    <row r="21" spans="2:8" ht="20">
      <c r="B21" s="20" t="s">
        <v>108</v>
      </c>
      <c r="C21" s="26">
        <f>(C18+C19)/2</f>
        <v>22.794050525900317</v>
      </c>
      <c r="D21" s="20" t="s">
        <v>109</v>
      </c>
      <c r="E21" s="140" t="s">
        <v>322</v>
      </c>
      <c r="F21" s="26">
        <f>100*SQRT(EXP(F18^2)-1)</f>
        <v>22.794050513489164</v>
      </c>
      <c r="G21" s="20" t="s">
        <v>109</v>
      </c>
      <c r="H21" s="43" t="s">
        <v>327</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0" t="s">
        <v>315</v>
      </c>
    </row>
    <row r="3" spans="2:4" ht="18.75" customHeight="1" thickBot="1">
      <c r="B3" s="21" t="s">
        <v>90</v>
      </c>
    </row>
    <row r="4" spans="2:4" ht="13">
      <c r="B4" s="1" t="s">
        <v>91</v>
      </c>
      <c r="C4" s="22">
        <v>0.94499999999999995</v>
      </c>
      <c r="D4" s="1" t="s">
        <v>92</v>
      </c>
    </row>
    <row r="5" spans="2:4" ht="13">
      <c r="B5" s="1" t="s">
        <v>93</v>
      </c>
      <c r="C5" s="23">
        <v>0.876</v>
      </c>
      <c r="D5" s="1" t="s">
        <v>94</v>
      </c>
    </row>
    <row r="6" spans="2:4" ht="13">
      <c r="B6" s="1" t="s">
        <v>95</v>
      </c>
      <c r="C6" s="23">
        <v>1.02</v>
      </c>
      <c r="D6" s="1" t="s">
        <v>96</v>
      </c>
    </row>
    <row r="7" spans="2:4" ht="13">
      <c r="B7" s="43" t="s">
        <v>16</v>
      </c>
      <c r="C7" s="24">
        <v>61</v>
      </c>
      <c r="D7" s="43" t="s">
        <v>313</v>
      </c>
    </row>
    <row r="8" spans="2:4" ht="13.5" thickBot="1">
      <c r="B8" s="43" t="s">
        <v>312</v>
      </c>
      <c r="C8" s="24">
        <v>61</v>
      </c>
      <c r="D8" s="43" t="s">
        <v>314</v>
      </c>
    </row>
    <row r="9" spans="2:4" ht="13.5" thickBot="1">
      <c r="B9" s="1" t="s">
        <v>99</v>
      </c>
      <c r="C9" s="2">
        <v>0.9</v>
      </c>
    </row>
    <row r="11" spans="2:4">
      <c r="B11" s="43" t="s">
        <v>328</v>
      </c>
      <c r="C11" s="25"/>
      <c r="D11" s="43"/>
    </row>
    <row r="12" spans="2:4">
      <c r="B12" s="32" t="s">
        <v>323</v>
      </c>
    </row>
    <row r="13" spans="2:4">
      <c r="B13" s="1" t="s">
        <v>100</v>
      </c>
      <c r="C13" s="25">
        <f>C7+C8-2</f>
        <v>120</v>
      </c>
      <c r="D13" s="43" t="s">
        <v>317</v>
      </c>
    </row>
    <row r="14" spans="2:4">
      <c r="B14" s="1" t="s">
        <v>101</v>
      </c>
      <c r="C14" s="25">
        <f>TINV(1-$C$9,$C$13)</f>
        <v>1.6576508993552355</v>
      </c>
    </row>
    <row r="15" spans="2:4">
      <c r="B15" s="1" t="s">
        <v>316</v>
      </c>
      <c r="C15" s="25">
        <f>1/C7+1/C8</f>
        <v>3.2786885245901641E-2</v>
      </c>
    </row>
    <row r="16" spans="2:4">
      <c r="B16" s="1" t="s">
        <v>318</v>
      </c>
      <c r="C16" s="25">
        <f>SQRT(C15)</f>
        <v>0.18107149208503706</v>
      </c>
    </row>
    <row r="17" spans="2:7">
      <c r="B17" s="1" t="s">
        <v>319</v>
      </c>
      <c r="C17" s="25">
        <f>(LN($C$4)-LN($C$5))/($C$16*$C$14)</f>
        <v>0.25260035813475434</v>
      </c>
      <c r="D17" s="43" t="s">
        <v>324</v>
      </c>
    </row>
    <row r="18" spans="2:7">
      <c r="B18" s="1" t="s">
        <v>320</v>
      </c>
      <c r="C18" s="25">
        <f>(LN($C$6)-LN($C$4))/($C$16*$C$14)</f>
        <v>0.25444655535182964</v>
      </c>
      <c r="D18" s="43" t="s">
        <v>325</v>
      </c>
    </row>
    <row r="19" spans="2:7">
      <c r="B19" s="1" t="s">
        <v>321</v>
      </c>
      <c r="C19" s="25">
        <f>AVERAGE(C17:C18)</f>
        <v>0.25352345674329202</v>
      </c>
      <c r="D19" s="43" t="s">
        <v>326</v>
      </c>
    </row>
    <row r="20" spans="2:7">
      <c r="G20" s="34"/>
    </row>
    <row r="21" spans="2:7" ht="20">
      <c r="B21" s="140" t="s">
        <v>322</v>
      </c>
      <c r="C21" s="26">
        <f>100*SQRT(EXP(C19^2)-1)</f>
        <v>25.765228646641418</v>
      </c>
      <c r="D21" s="20" t="s">
        <v>109</v>
      </c>
      <c r="E21" s="43" t="s">
        <v>327</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2024-06-19T15:57:49Z</dcterms:modified>
  <cp:category>Sample Size Estimation</cp:category>
</cp:coreProperties>
</file>