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embeddings/oleObject1.bin" ContentType="application/vnd.openxmlformats-officedocument.oleObject"/>
  <Override PartName="/xl/drawings/drawing14.xml" ContentType="application/vnd.openxmlformats-officedocument.drawing+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drawings/drawing16.xml" ContentType="application/vnd.openxmlformats-officedocument.drawing+xml"/>
  <Override PartName="/xl/ctrlProps/ctrlProp55.xml" ContentType="application/vnd.ms-excel.controlproperties+xml"/>
  <Override PartName="/xl/drawings/drawing17.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928"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https://utoronto-my.sharepoint.com/personal/d_dubins_utoronto_ca/Documents/Lectures/PHC331 2023/Section 2.3 - Sample Size/"/>
    </mc:Choice>
  </mc:AlternateContent>
  <xr:revisionPtr revIDLastSave="205" documentId="13_ncr:1_{F1364C2D-9FB4-4296-9DA9-C50109BEB799}" xr6:coauthVersionLast="47" xr6:coauthVersionMax="47" xr10:uidLastSave="{DCB9770C-3CCC-4A37-A951-8DEAF18EF571}"/>
  <bookViews>
    <workbookView xWindow="-120" yWindow="-120" windowWidth="25440" windowHeight="15390" firstSheet="8"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Dropouts - 2 rates" sheetId="29" r:id="rId11"/>
    <sheet name="Dropouts - 3 rates" sheetId="30" r:id="rId12"/>
    <sheet name="Scaled BE - HVD" sheetId="26" r:id="rId13"/>
    <sheet name="Given Precision, Parallel" sheetId="17" r:id="rId14"/>
    <sheet name="Given Precision, Crossover" sheetId="18" r:id="rId15"/>
    <sheet name="Difference Between Proportions" sheetId="23" r:id="rId16"/>
    <sheet name="Variance Correction" sheetId="19" r:id="rId17"/>
    <sheet name="ISV" sheetId="24" state="hidden" r:id="rId18"/>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39" i="30" l="1"/>
  <c r="E43" i="30" s="1"/>
  <c r="D37" i="30"/>
  <c r="D36" i="30"/>
  <c r="F35" i="30"/>
  <c r="D35" i="30"/>
  <c r="F36" i="30" s="1"/>
  <c r="F34" i="30"/>
  <c r="F37" i="30" s="1"/>
  <c r="D34" i="30"/>
  <c r="C22" i="29"/>
  <c r="C25" i="29" s="1"/>
  <c r="C8" i="1"/>
  <c r="O20" i="28"/>
  <c r="C20" i="8"/>
  <c r="X11" i="8" s="1"/>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s="1"/>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7"/>
  <c r="Y11" i="7"/>
  <c r="AD19" i="7"/>
  <c r="AD20" i="7"/>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U19" i="27"/>
  <c r="V18" i="27"/>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c r="U17" i="1"/>
  <c r="V16" i="1"/>
  <c r="AD19" i="1"/>
  <c r="AD20" i="1"/>
  <c r="AD16" i="1"/>
  <c r="AD17"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 r="C17" i="7"/>
  <c r="C17" i="12"/>
  <c r="C17" i="13"/>
  <c r="C17" i="28"/>
  <c r="C17" i="11"/>
  <c r="C16" i="12"/>
  <c r="C16" i="1"/>
  <c r="C16" i="28"/>
  <c r="C17" i="14"/>
  <c r="C16" i="11"/>
  <c r="C17" i="1"/>
  <c r="C16" i="27"/>
  <c r="C17" i="27"/>
  <c r="C17" i="8"/>
  <c r="X12" i="8" l="1"/>
  <c r="Y12" i="8" s="1"/>
  <c r="Y11" i="8"/>
  <c r="C24" i="29"/>
  <c r="D28" i="29" s="1"/>
  <c r="D29" i="29"/>
  <c r="C33" i="29" s="1"/>
  <c r="G36" i="30"/>
  <c r="G34" i="30"/>
  <c r="G37" i="30" s="1"/>
  <c r="G35" i="30"/>
  <c r="D40" i="30"/>
  <c r="E44" i="30" s="1"/>
  <c r="D48" i="30" s="1"/>
  <c r="C18" i="27"/>
  <c r="C18" i="11"/>
  <c r="C18" i="14"/>
  <c r="C18" i="28"/>
  <c r="C18" i="1"/>
  <c r="C18" i="12"/>
  <c r="C18" i="13"/>
  <c r="C18" i="7"/>
  <c r="C18" i="8"/>
  <c r="AD27" i="8" l="1"/>
  <c r="AD28" i="8" s="1"/>
  <c r="AD24" i="8"/>
  <c r="AD25" i="8" s="1"/>
  <c r="AD19" i="8"/>
  <c r="AD20" i="8" s="1"/>
  <c r="AD16" i="8"/>
  <c r="AD17" i="8" s="1"/>
  <c r="D49" i="30"/>
  <c r="E48" i="30"/>
  <c r="F48" i="30" s="1"/>
  <c r="D54" i="30" s="1"/>
  <c r="D33" i="29"/>
  <c r="E33" i="29" s="1"/>
  <c r="C39" i="29" s="1"/>
  <c r="C34" i="29"/>
  <c r="H34" i="30"/>
  <c r="I34" i="30" s="1"/>
  <c r="D34" i="29" l="1"/>
  <c r="E34" i="29" s="1"/>
  <c r="C35" i="29"/>
  <c r="E49" i="30"/>
  <c r="F49" i="30" s="1"/>
  <c r="D50" i="30"/>
  <c r="C36" i="29" l="1"/>
  <c r="D35" i="29"/>
  <c r="E35" i="29" s="1"/>
  <c r="E50" i="30"/>
  <c r="F50" i="30" s="1"/>
  <c r="D51" i="30"/>
  <c r="E51" i="30" l="1"/>
  <c r="F51" i="30" s="1"/>
  <c r="D52" i="30"/>
  <c r="E52" i="30" s="1"/>
  <c r="F52" i="30" s="1"/>
  <c r="D36" i="29"/>
  <c r="E36" i="29" s="1"/>
  <c r="C37" i="29"/>
  <c r="D37" i="29" s="1"/>
  <c r="E37"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<sst xmlns="http://schemas.openxmlformats.org/spreadsheetml/2006/main" count="1044" uniqueCount="284">
  <si>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</si>
  <si>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</si>
  <si>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</si>
  <si>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</si>
  <si>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</si>
  <si>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</si>
  <si>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</si>
  <si>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</si>
  <si>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</si>
  <si>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</si>
  <si>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</si>
  <si>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</si>
  <si>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</si>
  <si>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</si>
  <si>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</si>
  <si>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</si>
  <si>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</si>
  <si>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</si>
  <si>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</si>
  <si>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</si>
  <si>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</si>
  <si>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</si>
  <si>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</si>
  <si>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</si>
  <si>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</si>
  <si>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</si>
  <si>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</si>
  <si>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</si>
  <si>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</si>
  <si>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</si>
  <si>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</si>
  <si>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</si>
  <si>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</si>
  <si>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</si>
  <si>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</si>
  <si>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</si>
  <si>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</si>
  <si>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</si>
  <si>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</si>
  <si>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</si>
  <si>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</si>
  <si>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</si>
  <si>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</si>
  <si>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</si>
  <si>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</si>
  <si>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</si>
  <si>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</si>
  <si>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</si>
  <si>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</si>
  <si>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</si>
  <si>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</si>
  <si>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</si>
  <si>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</si>
  <si>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</si>
  <si>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</si>
  <si>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</si>
  <si>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</si>
  <si>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</si>
  <si>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</si>
  <si>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</si>
  <si>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</si>
  <si>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</si>
  <si>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</si>
  <si>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</si>
  <si>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</si>
  <si>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</si>
  <si>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</si>
  <si>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</si>
  <si>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</si>
  <si>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</si>
  <si>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</si>
  <si>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</si>
  <si>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</si>
  <si>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</si>
  <si>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</si>
  <si>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</si>
  <si>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</si>
  <si>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</si>
  <si>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</si>
  <si>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</si>
  <si>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</si>
  <si>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</si>
  <si>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</si>
  <si>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</si>
  <si>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</si>
  <si>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</si>
  <si>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</si>
  <si>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</si>
  <si>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</si>
  <si>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</si>
  <si>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</si>
  <si>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</si>
  <si>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</si>
  <si>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</si>
  <si>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</si>
  <si>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</si>
  <si>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</si>
  <si>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</si>
  <si>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</si>
  <si>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</si>
  <si>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</si>
  <si>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</si>
  <si>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</si>
  <si>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</si>
  <si>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</si>
  <si>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</si>
  <si>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</si>
  <si>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</si>
  <si>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</si>
  <si>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</si>
  <si>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</si>
  <si>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</si>
  <si>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</si>
  <si>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</si>
  <si>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</si>
  <si>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</si>
  <si>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</si>
  <si>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</si>
  <si>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</si>
  <si>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</si>
  <si>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</si>
  <si>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</si>
  <si>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</si>
  <si>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</si>
  <si>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</si>
  <si>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</si>
  <si>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</si>
  <si>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</si>
  <si>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</si>
  <si>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</si>
  <si>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</si>
  <si>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</si>
  <si>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</si>
  <si>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</si>
  <si>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</si>
  <si>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</si>
  <si>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</si>
  <si>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</si>
  <si>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</si>
  <si>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</si>
  <si>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</si>
  <si>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</si>
  <si>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</si>
  <si>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</si>
  <si>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</si>
  <si>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</si>
  <si>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</si>
  <si>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</si>
  <si>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</si>
  <si>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</si>
  <si>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</si>
  <si>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</si>
  <si>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</si>
  <si>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</si>
  <si>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</si>
  <si>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</si>
  <si>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</si>
  <si>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</si>
  <si>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</si>
  <si>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</si>
  <si>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</si>
  <si>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</si>
  <si>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</si>
  <si>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</si>
  <si>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</si>
  <si>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</si>
  <si>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</si>
  <si>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</si>
  <si>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</si>
  <si>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</si>
  <si>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</si>
  <si>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</si>
  <si>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</si>
  <si>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</si>
  <si>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</si>
  <si>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</si>
  <si>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</si>
  <si>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</si>
  <si>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</si>
  <si>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</si>
  <si>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</si>
  <si>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</si>
  <si>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</si>
  <si>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</si>
  <si>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</si>
  <si>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</si>
  <si>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</si>
  <si>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</si>
  <si>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</si>
  <si>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</si>
  <si>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</si>
  <si>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</si>
  <si>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</si>
  <si>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</si>
  <si>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</si>
  <si>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</si>
  <si>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</si>
  <si>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</si>
  <si>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</si>
  <si>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</si>
  <si>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</si>
  <si>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</si>
  <si>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</si>
  <si>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</si>
  <si>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</si>
  <si>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</si>
  <si>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</si>
  <si>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</si>
  <si>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</si>
  <si>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</si>
  <si>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</si>
  <si>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</si>
  <si>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</si>
  <si>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</si>
  <si>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</si>
  <si>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</si>
  <si>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</si>
  <si>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</si>
  <si>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</si>
  <si>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</si>
  <si>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</si>
  <si>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</si>
  <si>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</si>
  <si>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</si>
  <si>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</si>
  <si>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</si>
  <si>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</si>
  <si>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</si>
  <si>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</si>
  <si>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</si>
  <si>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</si>
  <si>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</si>
  <si>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</si>
  <si>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</si>
  <si>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</si>
  <si>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</si>
  <si>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</si>
  <si>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</si>
  <si>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</si>
  <si>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</si>
  <si>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</si>
  <si>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</si>
  <si>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</si>
  <si>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</si>
  <si>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</si>
  <si>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</si>
  <si>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</si>
  <si>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</si>
  <si>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</si>
  <si>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</si>
  <si>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</si>
  <si>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</si>
  <si>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</si>
  <si>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</si>
  <si>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</si>
  <si>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</si>
  <si>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</si>
  <si>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</si>
  <si>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</si>
  <si>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</si>
  <si>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</si>
  <si>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</si>
  <si>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</si>
  <si>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</si>
  <si>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</si>
  <si>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</si>
  <si>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</si>
  <si>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</si>
  <si>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</si>
  <si>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</si>
  <si>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</si>
  <si>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</si>
  <si>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</si>
  <si>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</si>
  <si>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</si>
  <si>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</si>
  <si>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</si>
  <si>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</si>
  <si>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</si>
  <si>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</si>
  <si>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</si>
  <si>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Version 2.9</t>
  </si>
  <si>
    <t>© David Dubins, 2007-2023 (d.dubins@utoronto.ca)</t>
  </si>
  <si>
    <t xml:space="preserve">  Background dropout probability. Suggest 0.1 for a 2WXO, 0.15 for a semi-replicate or long half-life 2WXO.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</si>
</sst>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59">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3">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92">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165" fontId="23" fillId="2" borderId="0" xfId="0" applyNumberFormat="1"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6"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7"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7"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3.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5.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6.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7.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9</xdr:row>
          <xdr:rowOff>180975</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31</xdr:row>
      <xdr:rowOff>152400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42767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409575</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58</xdr:row>
      <xdr:rowOff>40105</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421938" y="1246439"/>
          <a:ext cx="4946484" cy="862614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A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A00-000003000000}"/>
            </a:ext>
          </a:extLst>
        </xdr:cNvPr>
        <xdr:cNvSpPr/>
      </xdr:nvSpPr>
      <xdr:spPr>
        <a:xfrm>
          <a:off x="619125" y="847725"/>
          <a:ext cx="2676525"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A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1190625" y="1333500"/>
          <a:ext cx="2676525"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B00-000009000000}"/>
            </a:ext>
          </a:extLst>
        </xdr:cNvPr>
        <xdr:cNvSpPr/>
      </xdr:nvSpPr>
      <xdr:spPr>
        <a:xfrm>
          <a:off x="1762125" y="2428875"/>
          <a:ext cx="2724150" cy="2381250"/>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B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B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B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B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B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C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C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C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C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C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C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C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C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C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C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C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C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C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D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D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D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D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D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E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E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F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F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F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F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F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0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0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0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3.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9" sqref="C9"/>
    </sheetView>
  </sheetViews>
  <sheetFormatPr defaultColWidth="9.140625" defaultRowHeight="12.75"/>
  <cols>
    <col min="1" max="1" width="5.140625" style="65" customWidth="1"/>
    <col min="2" max="2" width="10.42578125" style="65" customWidth="1"/>
    <col min="3" max="16384" width="9.140625" style="65"/>
  </cols>
  <sheetData>
    <row r="2" spans="2:9" ht="20.25">
      <c r="C2" s="66" t="s">
        <v>241</v>
      </c>
      <c r="I2" s="67" t="s">
        <v>281</v>
      </c>
    </row>
    <row r="3" spans="2:9" ht="20.25">
      <c r="C3" s="66" t="s">
        <v>242</v>
      </c>
    </row>
    <row r="4" spans="2:9">
      <c r="B4" s="68" t="s">
        <v>80</v>
      </c>
    </row>
    <row r="6" spans="2:9">
      <c r="B6" s="69" t="s">
        <v>282</v>
      </c>
    </row>
    <row r="8" spans="2:9">
      <c r="B8" s="70"/>
    </row>
    <row r="9" spans="2:9">
      <c r="B9" s="71"/>
    </row>
    <row r="10" spans="2:9">
      <c r="B10" s="72"/>
    </row>
    <row r="11" spans="2:9">
      <c r="B11" s="72"/>
    </row>
    <row r="12" spans="2:9">
      <c r="B12" s="72"/>
    </row>
    <row r="28" spans="2:9">
      <c r="B28" s="73" t="s">
        <v>89</v>
      </c>
    </row>
    <row r="29" spans="2:9">
      <c r="B29" s="74" t="s">
        <v>196</v>
      </c>
    </row>
    <row r="30" spans="2:9" ht="22.5" customHeight="1">
      <c r="B30" s="91" t="s">
        <v>130</v>
      </c>
      <c r="C30" s="91"/>
      <c r="D30" s="91"/>
      <c r="E30" s="91"/>
      <c r="F30" s="91"/>
      <c r="G30" s="91"/>
      <c r="H30" s="91"/>
      <c r="I30" s="91"/>
    </row>
    <row r="31" spans="2:9">
      <c r="B31" s="75" t="s">
        <v>144</v>
      </c>
    </row>
    <row r="32" spans="2:9">
      <c r="B32" s="75" t="s">
        <v>147</v>
      </c>
    </row>
    <row r="33" spans="2:2">
      <c r="B33" s="75" t="s">
        <v>137</v>
      </c>
    </row>
    <row r="34" spans="2:2">
      <c r="B34" s="75" t="s">
        <v>136</v>
      </c>
    </row>
    <row r="35" spans="2:2">
      <c r="B35" s="75" t="s">
        <v>141</v>
      </c>
    </row>
    <row r="36" spans="2:2">
      <c r="B36" s="75" t="s">
        <v>178</v>
      </c>
    </row>
    <row r="37" spans="2:2">
      <c r="B37" s="75" t="s">
        <v>199</v>
      </c>
    </row>
    <row r="38" spans="2:2">
      <c r="B38" s="75" t="s">
        <v>243</v>
      </c>
    </row>
    <row r="40" spans="2:2">
      <c r="B40" s="74" t="s">
        <v>201</v>
      </c>
    </row>
    <row r="41" spans="2:2">
      <c r="B41" s="74" t="s">
        <v>202</v>
      </c>
    </row>
    <row r="42" spans="2:2">
      <c r="B42" s="74" t="s">
        <v>203</v>
      </c>
    </row>
    <row r="43" spans="2:2">
      <c r="B43" s="74" t="s">
        <v>131</v>
      </c>
    </row>
    <row r="44" spans="2:2">
      <c r="B44" s="74" t="s">
        <v>204</v>
      </c>
    </row>
    <row r="45" spans="2:2">
      <c r="B45" s="75" t="s">
        <v>195</v>
      </c>
    </row>
  </sheetData>
  <mergeCells count="1">
    <mergeCell ref="B30:I30"/>
  </mergeCells>
  <phoneticPr fontId="4"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1"/>
    <col min="22" max="23" width="12.28515625" style="51" bestFit="1" customWidth="1"/>
    <col min="24" max="32" width="9.140625" style="51"/>
    <col min="33" max="16384" width="9.140625" style="1"/>
  </cols>
  <sheetData>
    <row r="1" spans="2:31" ht="27" thickBot="1">
      <c r="B1" s="17" t="s">
        <v>68</v>
      </c>
      <c r="E1" s="9" t="s">
        <v>122</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51" t="s">
        <v>56</v>
      </c>
    </row>
    <row r="6" spans="2:31" ht="16.5" thickBot="1">
      <c r="B6" s="1" t="s">
        <v>17</v>
      </c>
      <c r="C6" s="3">
        <v>8</v>
      </c>
      <c r="D6" s="1" t="s">
        <v>24</v>
      </c>
      <c r="U6" s="51">
        <v>2</v>
      </c>
    </row>
    <row r="7" spans="2:31" ht="13.5" thickBot="1">
      <c r="C7" s="4"/>
    </row>
    <row r="8" spans="2:31" ht="13.5" thickBot="1">
      <c r="B8" s="12" t="s">
        <v>118</v>
      </c>
      <c r="C8" s="11">
        <f>C6/C5</f>
        <v>0.2</v>
      </c>
    </row>
    <row r="10" spans="2:31">
      <c r="B10" s="8" t="s">
        <v>18</v>
      </c>
      <c r="C10" s="1">
        <f>C5</f>
        <v>40</v>
      </c>
      <c r="V10" s="51" t="s">
        <v>212</v>
      </c>
      <c r="W10" s="51" t="s">
        <v>210</v>
      </c>
      <c r="X10" s="51" t="s">
        <v>213</v>
      </c>
      <c r="Y10" s="51" t="s">
        <v>211</v>
      </c>
      <c r="AA10" s="51" t="s">
        <v>224</v>
      </c>
      <c r="AB10" s="51" t="s">
        <v>225</v>
      </c>
    </row>
    <row r="11" spans="2:31" ht="15.75">
      <c r="B11" s="1" t="s">
        <v>60</v>
      </c>
      <c r="C11" s="7">
        <v>3</v>
      </c>
      <c r="U11" s="51" t="s">
        <v>206</v>
      </c>
      <c r="V11" s="54">
        <f>4*C5</f>
        <v>160</v>
      </c>
      <c r="W11" s="51">
        <f>$C$5</f>
        <v>40</v>
      </c>
      <c r="X11" s="51">
        <f>W11/SQRT(C20)</f>
        <v>23.094010767585033</v>
      </c>
      <c r="Y11" s="51">
        <f>TINV($C$4*2,$C$20-1)*X11</f>
        <v>67.434178433881996</v>
      </c>
      <c r="AA11" s="51">
        <f>V12+4*W12</f>
        <v>328</v>
      </c>
      <c r="AB11" s="51">
        <f>AA11/33</f>
        <v>9.9393939393939394</v>
      </c>
    </row>
    <row r="12" spans="2:31" ht="15.75">
      <c r="B12" s="1" t="s">
        <v>61</v>
      </c>
      <c r="C12" s="1">
        <f>C11*(C3+1)-2</f>
        <v>4</v>
      </c>
      <c r="U12" s="51" t="s">
        <v>207</v>
      </c>
      <c r="V12" s="54">
        <f>V11+C6</f>
        <v>168</v>
      </c>
      <c r="W12" s="51">
        <f>$C$5</f>
        <v>40</v>
      </c>
      <c r="X12" s="51">
        <f>W12/SQRT(D20)</f>
        <v>23.094010767585033</v>
      </c>
      <c r="Y12" s="51">
        <f>TINV($C$4*2,$D$20-1)*X12</f>
        <v>67.434178433881996</v>
      </c>
    </row>
    <row r="13" spans="2:31" ht="15.75">
      <c r="B13" s="1" t="s">
        <v>62</v>
      </c>
      <c r="C13" s="1">
        <f>TINV(C4,C12)</f>
        <v>2.7764451051977934</v>
      </c>
      <c r="Y13" s="51" t="b">
        <v>1</v>
      </c>
      <c r="AC13" s="51" t="b">
        <v>0</v>
      </c>
    </row>
    <row r="14" spans="2:31">
      <c r="B14" s="1" t="s">
        <v>4</v>
      </c>
      <c r="C14" s="1">
        <f>SQRT((C3*C11*C6^2)/((C3+1)*C10^2))</f>
        <v>0.2449489742783178</v>
      </c>
      <c r="U14" s="51" t="s">
        <v>205</v>
      </c>
      <c r="V14" s="51" t="s">
        <v>208</v>
      </c>
      <c r="W14" s="51" t="s">
        <v>209</v>
      </c>
      <c r="Y14" s="54" t="s">
        <v>220</v>
      </c>
      <c r="AC14" s="54" t="s">
        <v>222</v>
      </c>
    </row>
    <row r="15" spans="2:31">
      <c r="U15" s="51">
        <v>0</v>
      </c>
      <c r="V15" s="51">
        <f>_xlfn.NORM.DIST($U15,$V$11,$C$5,FALSE)</f>
        <v>3.3457556441221339E-6</v>
      </c>
      <c r="W15" s="51">
        <f>_xlfn.NORM.DIST($U15,$V$12,$C$5,FALSE)</f>
        <v>1.4735766939134965E-6</v>
      </c>
      <c r="Y15" s="51" t="s">
        <v>217</v>
      </c>
      <c r="Z15" s="51" t="s">
        <v>214</v>
      </c>
      <c r="AA15" s="51" t="s">
        <v>215</v>
      </c>
      <c r="AC15" s="51" t="s">
        <v>217</v>
      </c>
      <c r="AD15" s="51" t="s">
        <v>214</v>
      </c>
      <c r="AE15" s="51" t="s">
        <v>215</v>
      </c>
    </row>
    <row r="16" spans="2:31">
      <c r="U16" s="51">
        <f>U15+$AB$11</f>
        <v>9.9393939393939394</v>
      </c>
      <c r="V16" s="51">
        <f t="shared" ref="V16:V47" si="0">_xlfn.NORM.DIST($U16,$V$11,$C$5,FALSE)</f>
        <v>8.7649394011783917E-6</v>
      </c>
      <c r="W16" s="51">
        <f t="shared" ref="W16:W47" si="1">_xlfn.NORM.DIST($U16,$V$12,$C$5,FALSE)</f>
        <v>4.0570518897450162E-6</v>
      </c>
      <c r="Y16" s="51" t="s">
        <v>216</v>
      </c>
      <c r="Z16" s="51">
        <f>$V$11-$W$11</f>
        <v>120</v>
      </c>
      <c r="AA16" s="51">
        <v>0</v>
      </c>
      <c r="AC16" s="51" t="s">
        <v>216</v>
      </c>
      <c r="AD16" s="51">
        <f>$V$11-$Y$11</f>
        <v>92.565821566118004</v>
      </c>
      <c r="AE16" s="51">
        <v>0</v>
      </c>
    </row>
    <row r="17" spans="2:31">
      <c r="B17" s="1" t="s">
        <v>6</v>
      </c>
      <c r="C17" s="1">
        <f>NCt(C13,C12,C14)</f>
        <v>0.96127583880847123</v>
      </c>
      <c r="U17" s="51">
        <f t="shared" ref="U17:U47" si="2">U16+$AB$11</f>
        <v>19.878787878787879</v>
      </c>
      <c r="V17" s="51">
        <f t="shared" si="0"/>
        <v>2.1586797882267536E-5</v>
      </c>
      <c r="W17" s="51">
        <f t="shared" si="1"/>
        <v>1.0501056362603924E-5</v>
      </c>
      <c r="Y17" s="51" t="s">
        <v>218</v>
      </c>
      <c r="Z17" s="51">
        <f>Z16</f>
        <v>120</v>
      </c>
      <c r="AA17" s="51">
        <f>IF(Y13,MAX($V$15:$V$47),0)</f>
        <v>9.9706267351264838E-3</v>
      </c>
      <c r="AC17" s="51" t="s">
        <v>218</v>
      </c>
      <c r="AD17" s="51">
        <f>AD16</f>
        <v>92.565821566118004</v>
      </c>
      <c r="AE17" s="51">
        <f>IF(AC13,MAX($V$15:$V$47),0)</f>
        <v>0</v>
      </c>
    </row>
    <row r="18" spans="2:31">
      <c r="B18" s="1" t="s">
        <v>58</v>
      </c>
      <c r="C18" s="1">
        <f>1-C17</f>
        <v>3.8724161191528772E-2</v>
      </c>
      <c r="E18" s="5"/>
      <c r="U18" s="51">
        <f t="shared" si="2"/>
        <v>29.81818181818182</v>
      </c>
      <c r="V18" s="51">
        <f t="shared" si="0"/>
        <v>4.9981828671086098E-5</v>
      </c>
      <c r="W18" s="51">
        <f t="shared" si="1"/>
        <v>2.5552890002204227E-5</v>
      </c>
      <c r="Y18" s="51" t="s">
        <v>219</v>
      </c>
      <c r="Z18" s="51" t="s">
        <v>214</v>
      </c>
      <c r="AA18" s="51" t="s">
        <v>215</v>
      </c>
      <c r="AC18" s="51" t="s">
        <v>219</v>
      </c>
      <c r="AD18" s="51" t="s">
        <v>214</v>
      </c>
      <c r="AE18" s="51" t="s">
        <v>215</v>
      </c>
    </row>
    <row r="19" spans="2:31" ht="14.25">
      <c r="C19" s="16" t="s">
        <v>63</v>
      </c>
      <c r="D19" s="16" t="s">
        <v>64</v>
      </c>
      <c r="E19" s="16" t="s">
        <v>66</v>
      </c>
      <c r="U19" s="51">
        <f t="shared" si="2"/>
        <v>39.757575757575758</v>
      </c>
      <c r="V19" s="51">
        <f t="shared" si="0"/>
        <v>1.0879793853904708E-4</v>
      </c>
      <c r="W19" s="51">
        <f t="shared" si="1"/>
        <v>5.8456346720510549E-5</v>
      </c>
      <c r="Y19" s="51" t="s">
        <v>216</v>
      </c>
      <c r="Z19" s="51">
        <f>$V$11+$W$11</f>
        <v>200</v>
      </c>
      <c r="AA19" s="51">
        <v>0</v>
      </c>
      <c r="AC19" s="51" t="s">
        <v>216</v>
      </c>
      <c r="AD19" s="51">
        <f>$V$11+$Y$11</f>
        <v>227.43417843388198</v>
      </c>
      <c r="AE19" s="51">
        <v>0</v>
      </c>
    </row>
    <row r="20" spans="2:31">
      <c r="B20" s="1" t="s">
        <v>11</v>
      </c>
      <c r="C20" s="1">
        <f>CEILING(C11,1)</f>
        <v>3</v>
      </c>
      <c r="D20" s="1">
        <f>C20*C3</f>
        <v>3</v>
      </c>
      <c r="E20" s="1">
        <f>C20+D20</f>
        <v>6</v>
      </c>
      <c r="U20" s="51">
        <f t="shared" si="2"/>
        <v>49.696969696969695</v>
      </c>
      <c r="V20" s="51">
        <f t="shared" si="0"/>
        <v>2.2264543783540088E-4</v>
      </c>
      <c r="W20" s="51">
        <f t="shared" si="1"/>
        <v>1.2572102811928031E-4</v>
      </c>
      <c r="Y20" s="51" t="s">
        <v>218</v>
      </c>
      <c r="Z20" s="51">
        <f>Z19</f>
        <v>200</v>
      </c>
      <c r="AA20" s="51">
        <f>AA17</f>
        <v>9.9706267351264838E-3</v>
      </c>
      <c r="AC20" s="51" t="s">
        <v>218</v>
      </c>
      <c r="AD20" s="51">
        <f>AD19</f>
        <v>227.43417843388198</v>
      </c>
      <c r="AE20" s="51">
        <f>AE17</f>
        <v>0</v>
      </c>
    </row>
    <row r="21" spans="2:31">
      <c r="U21" s="51">
        <f t="shared" si="2"/>
        <v>59.636363636363633</v>
      </c>
      <c r="V21" s="51">
        <f t="shared" si="0"/>
        <v>4.2834287111349645E-4</v>
      </c>
      <c r="W21" s="51">
        <f t="shared" si="1"/>
        <v>2.5419604341562314E-4</v>
      </c>
    </row>
    <row r="22" spans="2:31">
      <c r="U22" s="51">
        <f t="shared" si="2"/>
        <v>69.575757575757578</v>
      </c>
      <c r="V22" s="51">
        <f t="shared" si="0"/>
        <v>7.7473628189698312E-4</v>
      </c>
      <c r="W22" s="51">
        <f t="shared" si="1"/>
        <v>4.8318590587977155E-4</v>
      </c>
      <c r="Y22" s="54" t="s">
        <v>221</v>
      </c>
      <c r="AC22" s="54" t="s">
        <v>223</v>
      </c>
    </row>
    <row r="23" spans="2:31">
      <c r="U23" s="51">
        <f t="shared" si="2"/>
        <v>79.515151515151516</v>
      </c>
      <c r="V23" s="51">
        <f t="shared" si="0"/>
        <v>1.3173490285471054E-3</v>
      </c>
      <c r="W23" s="51">
        <f t="shared" si="1"/>
        <v>8.6346420391826431E-4</v>
      </c>
      <c r="Y23" s="51" t="s">
        <v>217</v>
      </c>
      <c r="Z23" s="51" t="s">
        <v>214</v>
      </c>
      <c r="AA23" s="51" t="s">
        <v>215</v>
      </c>
      <c r="AC23" s="51" t="s">
        <v>217</v>
      </c>
      <c r="AD23" s="51" t="s">
        <v>214</v>
      </c>
      <c r="AE23" s="51" t="s">
        <v>215</v>
      </c>
    </row>
    <row r="24" spans="2:31">
      <c r="U24" s="51">
        <f t="shared" si="2"/>
        <v>89.454545454545453</v>
      </c>
      <c r="V24" s="51">
        <f t="shared" si="0"/>
        <v>2.1058742047565713E-3</v>
      </c>
      <c r="W24" s="51">
        <f t="shared" si="1"/>
        <v>1.4506379241390895E-3</v>
      </c>
      <c r="Y24" s="51" t="s">
        <v>216</v>
      </c>
      <c r="Z24" s="51">
        <f>$V$12-$W$12</f>
        <v>128</v>
      </c>
      <c r="AA24" s="51">
        <v>0</v>
      </c>
      <c r="AC24" s="51" t="s">
        <v>216</v>
      </c>
      <c r="AD24" s="51">
        <f>$V$12-$Y$12</f>
        <v>100.565821566118</v>
      </c>
      <c r="AE24" s="51">
        <v>0</v>
      </c>
    </row>
    <row r="25" spans="2:31" ht="20.25" customHeight="1">
      <c r="B25" s="44" t="s">
        <v>229</v>
      </c>
      <c r="C25" s="1">
        <f>16*C5^2/C6^2</f>
        <v>400</v>
      </c>
      <c r="D25" s="44" t="s">
        <v>230</v>
      </c>
      <c r="U25" s="51">
        <f t="shared" si="2"/>
        <v>99.393939393939391</v>
      </c>
      <c r="V25" s="51">
        <f t="shared" si="0"/>
        <v>3.164817002251043E-3</v>
      </c>
      <c r="W25" s="51">
        <f t="shared" si="1"/>
        <v>2.2911753328812823E-3</v>
      </c>
      <c r="Y25" s="51" t="s">
        <v>218</v>
      </c>
      <c r="Z25" s="51">
        <f>Z24</f>
        <v>128</v>
      </c>
      <c r="AA25" s="51">
        <f>IF(Y13,MAX($W$15:$W$47),0)</f>
        <v>9.9706267351264838E-3</v>
      </c>
      <c r="AC25" s="51" t="s">
        <v>218</v>
      </c>
      <c r="AD25" s="51">
        <f>AD24</f>
        <v>100.565821566118</v>
      </c>
      <c r="AE25" s="51">
        <f>IF(AC13,MAX($W$15:$W$47),0)</f>
        <v>0</v>
      </c>
    </row>
    <row r="26" spans="2:31">
      <c r="U26" s="51">
        <f t="shared" si="2"/>
        <v>109.33333333333333</v>
      </c>
      <c r="V26" s="51">
        <f t="shared" si="0"/>
        <v>4.4714604123635123E-3</v>
      </c>
      <c r="W26" s="51">
        <f t="shared" si="1"/>
        <v>3.4020620603069508E-3</v>
      </c>
      <c r="Y26" s="51" t="s">
        <v>219</v>
      </c>
      <c r="Z26" s="51" t="s">
        <v>214</v>
      </c>
      <c r="AA26" s="51" t="s">
        <v>215</v>
      </c>
      <c r="AC26" s="51" t="s">
        <v>219</v>
      </c>
      <c r="AD26" s="51" t="s">
        <v>214</v>
      </c>
      <c r="AE26" s="51" t="s">
        <v>215</v>
      </c>
    </row>
    <row r="27" spans="2:31">
      <c r="U27" s="51">
        <f t="shared" si="2"/>
        <v>119.27272727272727</v>
      </c>
      <c r="V27" s="51">
        <f t="shared" si="0"/>
        <v>5.9392934840752573E-3</v>
      </c>
      <c r="W27" s="51">
        <f t="shared" si="1"/>
        <v>4.749093798530557E-3</v>
      </c>
      <c r="Y27" s="51" t="s">
        <v>216</v>
      </c>
      <c r="Z27" s="51">
        <f>$V$12+$W$12</f>
        <v>208</v>
      </c>
      <c r="AA27" s="51">
        <v>0</v>
      </c>
      <c r="AC27" s="51" t="s">
        <v>216</v>
      </c>
      <c r="AD27" s="51">
        <f>$V$12+$Y$12</f>
        <v>235.43417843388198</v>
      </c>
      <c r="AE27" s="51">
        <v>0</v>
      </c>
    </row>
    <row r="28" spans="2:31">
      <c r="U28" s="51">
        <f t="shared" si="2"/>
        <v>129.21212121212122</v>
      </c>
      <c r="V28" s="51">
        <f t="shared" si="0"/>
        <v>7.4165988722577278E-3</v>
      </c>
      <c r="W28" s="51">
        <f t="shared" si="1"/>
        <v>6.2325227407400525E-3</v>
      </c>
      <c r="Y28" s="51" t="s">
        <v>218</v>
      </c>
      <c r="Z28" s="51">
        <f>Z27</f>
        <v>208</v>
      </c>
      <c r="AA28" s="51">
        <f>AA25</f>
        <v>9.9706267351264838E-3</v>
      </c>
      <c r="AC28" s="51" t="s">
        <v>218</v>
      </c>
      <c r="AD28" s="51">
        <f>AD27</f>
        <v>235.43417843388198</v>
      </c>
      <c r="AE28" s="51">
        <f>AE25</f>
        <v>0</v>
      </c>
    </row>
    <row r="29" spans="2:31">
      <c r="U29" s="51">
        <f t="shared" si="2"/>
        <v>139.15151515151516</v>
      </c>
      <c r="V29" s="51">
        <f t="shared" si="0"/>
        <v>8.7068167558675656E-3</v>
      </c>
      <c r="W29" s="51">
        <f t="shared" si="1"/>
        <v>7.6895620381677134E-3</v>
      </c>
      <c r="Y29" s="51" t="b">
        <v>1</v>
      </c>
    </row>
    <row r="30" spans="2:31">
      <c r="U30" s="51">
        <f t="shared" si="2"/>
        <v>149.09090909090909</v>
      </c>
      <c r="V30" s="51">
        <f t="shared" si="0"/>
        <v>9.6094521114314744E-3</v>
      </c>
      <c r="W30" s="51">
        <f t="shared" si="1"/>
        <v>8.9191598458717939E-3</v>
      </c>
      <c r="Y30" s="54" t="s">
        <v>226</v>
      </c>
    </row>
    <row r="31" spans="2:31">
      <c r="U31" s="51">
        <f t="shared" si="2"/>
        <v>159.03030303030303</v>
      </c>
      <c r="V31" s="51">
        <f t="shared" si="0"/>
        <v>9.9706267351264838E-3</v>
      </c>
      <c r="W31" s="51">
        <f t="shared" si="1"/>
        <v>9.7259245972099086E-3</v>
      </c>
      <c r="Y31" s="51" t="s">
        <v>217</v>
      </c>
      <c r="Z31" s="51" t="s">
        <v>214</v>
      </c>
      <c r="AA31" s="51" t="s">
        <v>215</v>
      </c>
    </row>
    <row r="32" spans="2:31">
      <c r="U32" s="51">
        <f t="shared" si="2"/>
        <v>168.96969696969697</v>
      </c>
      <c r="V32" s="51">
        <f t="shared" si="0"/>
        <v>9.7259245972099086E-3</v>
      </c>
      <c r="W32" s="51">
        <f t="shared" si="1"/>
        <v>9.9706267351264838E-3</v>
      </c>
      <c r="Y32" s="51" t="s">
        <v>216</v>
      </c>
      <c r="Z32" s="51">
        <f>$V$12-$C$6</f>
        <v>160</v>
      </c>
      <c r="AA32" s="51">
        <v>0</v>
      </c>
    </row>
    <row r="33" spans="2:27">
      <c r="U33" s="51">
        <f t="shared" si="2"/>
        <v>178.90909090909091</v>
      </c>
      <c r="V33" s="51">
        <f t="shared" si="0"/>
        <v>8.9191598458717939E-3</v>
      </c>
      <c r="W33" s="51">
        <f t="shared" si="1"/>
        <v>9.6094521114314744E-3</v>
      </c>
      <c r="Y33" s="51" t="s">
        <v>218</v>
      </c>
      <c r="Z33" s="51">
        <f>Z32</f>
        <v>160</v>
      </c>
      <c r="AA33" s="51">
        <f>IF($Y$29,MAX($V$15:$W$47),0)</f>
        <v>9.9706267351264838E-3</v>
      </c>
    </row>
    <row r="34" spans="2:27">
      <c r="U34" s="51">
        <f t="shared" si="2"/>
        <v>188.84848484848484</v>
      </c>
      <c r="V34" s="51">
        <f t="shared" si="0"/>
        <v>7.6895620381677134E-3</v>
      </c>
      <c r="W34" s="51">
        <f t="shared" si="1"/>
        <v>8.7068167558675656E-3</v>
      </c>
      <c r="Y34" s="51" t="s">
        <v>219</v>
      </c>
      <c r="Z34" s="51" t="s">
        <v>214</v>
      </c>
      <c r="AA34" s="51" t="s">
        <v>215</v>
      </c>
    </row>
    <row r="35" spans="2:27">
      <c r="U35" s="51">
        <f t="shared" si="2"/>
        <v>198.78787878787878</v>
      </c>
      <c r="V35" s="51">
        <f t="shared" si="0"/>
        <v>6.2325227407400525E-3</v>
      </c>
      <c r="W35" s="51">
        <f t="shared" si="1"/>
        <v>7.4165988722577278E-3</v>
      </c>
      <c r="Y35" s="51" t="s">
        <v>216</v>
      </c>
      <c r="Z35" s="51">
        <f>$V$12</f>
        <v>168</v>
      </c>
      <c r="AA35" s="51">
        <v>0</v>
      </c>
    </row>
    <row r="36" spans="2:27">
      <c r="D36" s="9" t="s">
        <v>81</v>
      </c>
      <c r="U36" s="51">
        <f t="shared" si="2"/>
        <v>208.72727272727272</v>
      </c>
      <c r="V36" s="51">
        <f t="shared" si="0"/>
        <v>4.7490937985305588E-3</v>
      </c>
      <c r="W36" s="51">
        <f t="shared" si="1"/>
        <v>5.939293484075259E-3</v>
      </c>
      <c r="Y36" s="51" t="s">
        <v>218</v>
      </c>
      <c r="Z36" s="51">
        <f>Z35</f>
        <v>168</v>
      </c>
      <c r="AA36" s="51">
        <f>AA33</f>
        <v>9.9706267351264838E-3</v>
      </c>
    </row>
    <row r="37" spans="2:27" ht="18">
      <c r="B37" s="28" t="s">
        <v>123</v>
      </c>
      <c r="U37" s="51">
        <f t="shared" si="2"/>
        <v>218.66666666666666</v>
      </c>
      <c r="V37" s="51">
        <f t="shared" si="0"/>
        <v>3.402062060306953E-3</v>
      </c>
      <c r="W37" s="51">
        <f t="shared" si="1"/>
        <v>4.4714604123635149E-3</v>
      </c>
    </row>
    <row r="38" spans="2:27">
      <c r="U38" s="51">
        <f t="shared" si="2"/>
        <v>228.60606060606059</v>
      </c>
      <c r="V38" s="51">
        <f t="shared" si="0"/>
        <v>2.2911753328812845E-3</v>
      </c>
      <c r="W38" s="51">
        <f t="shared" si="1"/>
        <v>3.164817002251043E-3</v>
      </c>
    </row>
    <row r="39" spans="2:27">
      <c r="U39" s="51">
        <f t="shared" si="2"/>
        <v>238.54545454545453</v>
      </c>
      <c r="V39" s="51">
        <f t="shared" si="0"/>
        <v>1.4506379241390902E-3</v>
      </c>
      <c r="W39" s="51">
        <f t="shared" si="1"/>
        <v>2.105874204756573E-3</v>
      </c>
    </row>
    <row r="40" spans="2:27">
      <c r="U40" s="51">
        <f t="shared" si="2"/>
        <v>248.48484848484847</v>
      </c>
      <c r="V40" s="51">
        <f t="shared" si="0"/>
        <v>8.6346420391826431E-4</v>
      </c>
      <c r="W40" s="51">
        <f t="shared" si="1"/>
        <v>1.3173490285471065E-3</v>
      </c>
    </row>
    <row r="41" spans="2:27">
      <c r="U41" s="51">
        <f t="shared" si="2"/>
        <v>258.42424242424244</v>
      </c>
      <c r="V41" s="51">
        <f t="shared" si="0"/>
        <v>4.8318590587977084E-4</v>
      </c>
      <c r="W41" s="51">
        <f t="shared" si="1"/>
        <v>7.7473628189698312E-4</v>
      </c>
    </row>
    <row r="42" spans="2:27">
      <c r="U42" s="51">
        <f t="shared" si="2"/>
        <v>268.36363636363637</v>
      </c>
      <c r="V42" s="51">
        <f t="shared" si="0"/>
        <v>2.5419604341562314E-4</v>
      </c>
      <c r="W42" s="51">
        <f t="shared" si="1"/>
        <v>4.2834287111349645E-4</v>
      </c>
    </row>
    <row r="43" spans="2:27">
      <c r="U43" s="51">
        <f t="shared" si="2"/>
        <v>278.30303030303031</v>
      </c>
      <c r="V43" s="51">
        <f t="shared" si="0"/>
        <v>1.2572102811928031E-4</v>
      </c>
      <c r="W43" s="51">
        <f t="shared" si="1"/>
        <v>2.2264543783540088E-4</v>
      </c>
    </row>
    <row r="44" spans="2:27">
      <c r="U44" s="51">
        <f t="shared" si="2"/>
        <v>288.24242424242425</v>
      </c>
      <c r="V44" s="51">
        <f t="shared" si="0"/>
        <v>5.8456346720510549E-5</v>
      </c>
      <c r="W44" s="51">
        <f t="shared" si="1"/>
        <v>1.0879793853904708E-4</v>
      </c>
    </row>
    <row r="45" spans="2:27">
      <c r="U45" s="51">
        <f t="shared" si="2"/>
        <v>298.18181818181819</v>
      </c>
      <c r="V45" s="51">
        <f t="shared" si="0"/>
        <v>2.5552890002204227E-5</v>
      </c>
      <c r="W45" s="51">
        <f t="shared" si="1"/>
        <v>4.9981828671086098E-5</v>
      </c>
    </row>
    <row r="46" spans="2:27">
      <c r="U46" s="51">
        <f t="shared" si="2"/>
        <v>308.12121212121212</v>
      </c>
      <c r="V46" s="51">
        <f t="shared" si="0"/>
        <v>1.0501056362603924E-5</v>
      </c>
      <c r="W46" s="51">
        <f t="shared" si="1"/>
        <v>2.1586797882267536E-5</v>
      </c>
    </row>
    <row r="47" spans="2:27">
      <c r="U47" s="51">
        <f t="shared" si="2"/>
        <v>318.06060606060606</v>
      </c>
      <c r="V47" s="51">
        <f t="shared" si="0"/>
        <v>4.0570518897450162E-6</v>
      </c>
      <c r="W47" s="51">
        <f t="shared" si="1"/>
        <v>8.7649394011783917E-6</v>
      </c>
    </row>
    <row r="48" spans="2:27">
      <c r="G48" s="6"/>
    </row>
    <row r="49" spans="7:7">
      <c r="G49" s="6"/>
    </row>
    <row r="50" spans="7:7">
      <c r="G50" s="6"/>
    </row>
    <row r="51" spans="7:7">
      <c r="G51" s="6"/>
    </row>
    <row r="66" spans="2:2">
      <c r="B66" s="9" t="s">
        <v>125</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117</v>
      </c>
      <c r="U5" s="1" t="s">
        <v>56</v>
      </c>
    </row>
    <row r="6" spans="2:31" ht="16.5" thickBot="1">
      <c r="B6" s="1" t="s">
        <v>17</v>
      </c>
      <c r="C6" s="3">
        <v>10</v>
      </c>
      <c r="D6" s="1" t="s">
        <v>24</v>
      </c>
      <c r="U6" s="1">
        <v>1</v>
      </c>
    </row>
    <row r="7" spans="2:31" ht="13.5" thickBot="1">
      <c r="C7" s="4"/>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4" t="s">
        <v>207</v>
      </c>
      <c r="V12" s="30">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7.0950772681191125</v>
      </c>
      <c r="AE17" s="1">
        <f>IF(AC13,MAX($V$15:$V$47),0)</f>
        <v>0</v>
      </c>
    </row>
    <row r="18" spans="2:31">
      <c r="B18" s="1" t="s">
        <v>58</v>
      </c>
      <c r="C18" s="1">
        <f>1-C17</f>
        <v>4.8686189417102677E-2</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17.095077268119113</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17.095077268119113</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162.9049227318809</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122</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0</v>
      </c>
      <c r="D7" s="1" t="s">
        <v>57</v>
      </c>
      <c r="AC7" s="48" t="s">
        <v>231</v>
      </c>
    </row>
    <row r="8" spans="2:31" ht="13.5" thickBot="1">
      <c r="B8" s="12" t="s">
        <v>118</v>
      </c>
      <c r="C8" s="11">
        <f>C6/C5</f>
        <v>0.2</v>
      </c>
    </row>
    <row r="10" spans="2:31" ht="13.5" thickBot="1">
      <c r="B10" s="8" t="s">
        <v>18</v>
      </c>
      <c r="C10" s="1">
        <f>C5</f>
        <v>50</v>
      </c>
      <c r="V10" s="44" t="s">
        <v>212</v>
      </c>
      <c r="W10" s="44" t="s">
        <v>210</v>
      </c>
      <c r="X10" s="44" t="s">
        <v>213</v>
      </c>
      <c r="Y10" s="44" t="s">
        <v>211</v>
      </c>
      <c r="AA10" s="44" t="s">
        <v>224</v>
      </c>
      <c r="AB10" s="44" t="s">
        <v>225</v>
      </c>
    </row>
    <row r="11" spans="2:31" ht="13.5" thickBot="1">
      <c r="B11" s="1" t="s">
        <v>16</v>
      </c>
      <c r="C11" s="7">
        <v>3</v>
      </c>
      <c r="U11" s="44" t="s">
        <v>206</v>
      </c>
      <c r="V11" s="30">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4" t="s">
        <v>207</v>
      </c>
      <c r="V12" s="30">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4" t="s">
        <v>205</v>
      </c>
      <c r="V14" s="44" t="s">
        <v>208</v>
      </c>
      <c r="W14" s="44" t="s">
        <v>209</v>
      </c>
      <c r="Y14" s="9" t="s">
        <v>220</v>
      </c>
      <c r="AC14" s="9" t="s">
        <v>222</v>
      </c>
    </row>
    <row r="15" spans="2:31">
      <c r="B15" s="1" t="s">
        <v>4</v>
      </c>
      <c r="C15" s="1">
        <f>(C7+C6)*SQRT(C3*C11)/SQRT((C3+1)*C10^2)</f>
        <v>0.24494897427831777</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-166.79653624044829</v>
      </c>
      <c r="AE17" s="1">
        <f>IF(AC13,MAX($V$15:$V$47),0)</f>
        <v>0</v>
      </c>
    </row>
    <row r="18" spans="2:31">
      <c r="B18" s="1" t="s">
        <v>58</v>
      </c>
      <c r="C18" s="1">
        <f>C16-C17</f>
        <v>-0.92255167761694246</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4.2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4" t="s">
        <v>218</v>
      </c>
      <c r="Z20" s="1">
        <f>Z19</f>
        <v>250</v>
      </c>
      <c r="AA20" s="1">
        <f>AA17</f>
        <v>7.9204462678126551E-3</v>
      </c>
      <c r="AC20" s="44" t="s">
        <v>218</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-166.79653624044829</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-166.79653624044829</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566.79653624044829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119</v>
      </c>
      <c r="C8" s="11">
        <f>C6/C10</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207</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4" t="s">
        <v>205</v>
      </c>
      <c r="V14" s="44" t="s">
        <v>208</v>
      </c>
      <c r="W14" s="44" t="s">
        <v>209</v>
      </c>
      <c r="Y14" s="9" t="s">
        <v>220</v>
      </c>
      <c r="AC14" s="9" t="s">
        <v>222</v>
      </c>
    </row>
    <row r="15" spans="2:31">
      <c r="B15" s="1" t="s">
        <v>4</v>
      </c>
      <c r="C15" s="1">
        <f>(C7+C6)*SQRT(C11)/SQRT(2*C10^2)</f>
        <v>0.73484692283495345</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-66.718614496179299</v>
      </c>
      <c r="AE17" s="1">
        <f>IF(AC13,MAX($V$15:$V$47),0)</f>
        <v>0</v>
      </c>
    </row>
    <row r="18" spans="2:31">
      <c r="B18" s="1" t="s">
        <v>58</v>
      </c>
      <c r="C18" s="1">
        <f>C16-C17</f>
        <v>-0.90232083530406737</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218</v>
      </c>
      <c r="Z20" s="1">
        <f>Z19</f>
        <v>100</v>
      </c>
      <c r="AA20" s="1">
        <f>AA17</f>
        <v>1.9894431016018829E-2</v>
      </c>
      <c r="AC20" s="44" t="s">
        <v>218</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-64.718614496179299</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-64.718614496179299</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228.7186144961793</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122</v>
      </c>
    </row>
    <row r="2" spans="2:31" ht="13.5" thickBot="1">
      <c r="B2" s="1" t="s">
        <v>1</v>
      </c>
      <c r="C2" s="2">
        <v>0.9</v>
      </c>
      <c r="D2" s="1" t="s">
        <v>21</v>
      </c>
      <c r="N2" s="4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3.5" thickBot="1">
      <c r="B8" s="12" t="s">
        <v>118</v>
      </c>
      <c r="C8" s="11">
        <f>C6/C5</f>
        <v>0.25</v>
      </c>
    </row>
    <row r="10" spans="2:31" ht="13.5" thickBot="1">
      <c r="B10" s="8" t="s">
        <v>18</v>
      </c>
      <c r="C10" s="1">
        <f>C5</f>
        <v>40</v>
      </c>
      <c r="V10" s="44" t="s">
        <v>212</v>
      </c>
      <c r="W10" s="44" t="s">
        <v>210</v>
      </c>
      <c r="X10" s="44" t="s">
        <v>213</v>
      </c>
      <c r="Y10" s="44" t="s">
        <v>211</v>
      </c>
      <c r="AA10" s="44" t="s">
        <v>224</v>
      </c>
      <c r="AB10" s="44" t="s">
        <v>225</v>
      </c>
    </row>
    <row r="11" spans="2:31" ht="13.5" thickBot="1">
      <c r="B11" s="1" t="s">
        <v>16</v>
      </c>
      <c r="C11" s="7">
        <v>3</v>
      </c>
      <c r="U11" s="44" t="s">
        <v>206</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207</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-133.4372289923586</v>
      </c>
      <c r="AE17" s="1">
        <f>IF(AC13,MAX($V$15:$V$47),0)</f>
        <v>0</v>
      </c>
    </row>
    <row r="18" spans="2:31">
      <c r="B18" s="1" t="s">
        <v>58</v>
      </c>
      <c r="C18" s="1">
        <f>1-C17</f>
        <v>4.7539108484763393E-2</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4.2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218</v>
      </c>
      <c r="Z20" s="1">
        <f>Z19</f>
        <v>200</v>
      </c>
      <c r="AA20" s="1">
        <f>AA17</f>
        <v>9.928222971854481E-3</v>
      </c>
      <c r="AC20" s="44" t="s">
        <v>218</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-135.4372289923586</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-135.4372289923586</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451.4372289923586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16</v>
      </c>
      <c r="C11" s="7">
        <v>3</v>
      </c>
      <c r="U11" s="44" t="s">
        <v>206</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207</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-66.718614496179299</v>
      </c>
      <c r="AE17" s="1">
        <f>IF(AC13,MAX($V$15:$V$47),0)</f>
        <v>0</v>
      </c>
    </row>
    <row r="18" spans="2:31">
      <c r="B18" s="1" t="s">
        <v>58</v>
      </c>
      <c r="C18" s="1">
        <f>1-C17</f>
        <v>5.4420208888354304E-2</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218</v>
      </c>
      <c r="Z20" s="1">
        <f>Z19</f>
        <v>100</v>
      </c>
      <c r="AA20" s="1">
        <f>AA17</f>
        <v>1.9898724584214315E-2</v>
      </c>
      <c r="AC20" s="44" t="s">
        <v>218</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-68.718614496179299</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-68.718614496179299</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224.7186144961793</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122</v>
      </c>
    </row>
    <row r="2" spans="2:31" ht="13.5" thickBot="1">
      <c r="B2" s="1" t="s">
        <v>1</v>
      </c>
      <c r="C2" s="2">
        <v>0.8</v>
      </c>
    </row>
    <row r="3" spans="2:31" ht="13.5" thickBot="1">
      <c r="B3" s="1" t="s">
        <v>233</v>
      </c>
      <c r="C3" s="49">
        <v>1</v>
      </c>
      <c r="D3" s="1" t="s">
        <v>234</v>
      </c>
    </row>
    <row r="4" spans="2:31" ht="13.5" thickBot="1">
      <c r="B4" s="8" t="s">
        <v>59</v>
      </c>
      <c r="C4" s="2">
        <v>0.05</v>
      </c>
    </row>
    <row r="5" spans="2:31" ht="13.5" thickBot="1">
      <c r="B5" s="44" t="s">
        <v>237</v>
      </c>
      <c r="C5" s="43">
        <v>0.8</v>
      </c>
      <c r="D5" s="76" t="s">
        <v>247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212</v>
      </c>
      <c r="W10" s="44" t="s">
        <v>210</v>
      </c>
      <c r="X10" s="44" t="s">
        <v>213</v>
      </c>
      <c r="Y10" s="44" t="s">
        <v>211</v>
      </c>
      <c r="AA10" s="44" t="s">
        <v>224</v>
      </c>
      <c r="AB10" s="44" t="s">
        <v>225</v>
      </c>
    </row>
    <row r="11" spans="2:31" ht="16.5" thickBot="1">
      <c r="B11" s="1" t="s">
        <v>35</v>
      </c>
      <c r="C11" s="7">
        <v>3</v>
      </c>
      <c r="U11" s="44" t="s">
        <v>206</v>
      </c>
      <c r="V11" s="45">
        <f>C6</f>
        <v>0.95</v>
      </c>
      <c r="W11" s="1">
        <f>$C$10</f>
        <v>0.70334645931866824</v>
      </c>
      <c r="X11" s="1">
        <f>W11/SQRT(C20)</f>
        <v>0.40607726762120328</v>
      </c>
      <c r="Y11" s="1">
        <f>TINV($C$4*2,$C$20-2)*X11</f>
        <v>2.5638709635184753</v>
      </c>
      <c r="AA11" s="46">
        <f>V11+4*W11</f>
        <v>3.7633858372746731</v>
      </c>
      <c r="AB11" s="1">
        <f>AA11/33</f>
        <v>0.11404199506892949</v>
      </c>
    </row>
    <row r="12" spans="2:31" ht="15.75">
      <c r="B12" s="1" t="s">
        <v>36</v>
      </c>
      <c r="C12" s="1">
        <f>C11*(C3+1)-2</f>
        <v>4</v>
      </c>
      <c r="U12" s="44"/>
    </row>
    <row r="13" spans="2:31" ht="15.75">
      <c r="B13" s="1" t="s">
        <v>37</v>
      </c>
      <c r="C13" s="1">
        <f>TINV(C4*2,C12)</f>
        <v>2.1318467863266499</v>
      </c>
      <c r="Y13" s="1" t="b">
        <v>0</v>
      </c>
      <c r="AC13" s="1" t="b">
        <v>1</v>
      </c>
    </row>
    <row r="14" spans="2:31">
      <c r="B14" s="1" t="s">
        <v>3</v>
      </c>
      <c r="C14" s="1">
        <f>SQRT(C3*C11)*(LN(C6)-LN(C8))/SQRT((C3+1)*C10^2)</f>
        <v>-0.47787987675335786</v>
      </c>
      <c r="U14" s="44" t="s">
        <v>205</v>
      </c>
      <c r="V14" s="44" t="s">
        <v>227</v>
      </c>
      <c r="W14" s="44"/>
      <c r="Y14" s="9" t="s">
        <v>220</v>
      </c>
      <c r="AC14" s="9" t="s">
        <v>222</v>
      </c>
    </row>
    <row r="15" spans="2:31">
      <c r="B15" s="1" t="s">
        <v>4</v>
      </c>
      <c r="C15" s="1">
        <f>SQRT(C3*C11)*(LN(C6)-LN(C7))/SQRT((C3+1)*C10^2)</f>
        <v>0.29924472929335222</v>
      </c>
      <c r="N15" s="44" t="s">
        <v>244</v>
      </c>
      <c r="U15" s="1">
        <v>0</v>
      </c>
      <c r="V15" s="1">
        <f>_xlfn.NORM.DIST($U15,$V$11,$C$5,FALSE)</f>
        <v>0.24638175239823415</v>
      </c>
      <c r="Y15" s="44" t="s">
        <v>217</v>
      </c>
      <c r="Z15" s="44" t="s">
        <v>214</v>
      </c>
      <c r="AA15" s="44" t="s">
        <v>215</v>
      </c>
      <c r="AC15" s="44" t="s">
        <v>217</v>
      </c>
      <c r="AD15" s="44" t="s">
        <v>214</v>
      </c>
      <c r="AE15" s="44" t="s">
        <v>215</v>
      </c>
    </row>
    <row r="16" spans="2:31">
      <c r="B16" s="1" t="s">
        <v>7</v>
      </c>
      <c r="C16" s="1">
        <f>NCt(-C13,C12,C14)</f>
        <v>0.10711223508099388</v>
      </c>
      <c r="N16" s="44" t="s">
        <v>245</v>
      </c>
      <c r="U16" s="1">
        <f>U15+$AB$11</f>
        <v>0.11404199506892949</v>
      </c>
      <c r="V16" s="1">
        <f t="shared" ref="V16:V47" si="0">_xlfn.NORM.DIST($U16,$V$11,$C$5,FALSE)</f>
        <v>0.2888774794762195</v>
      </c>
      <c r="Y16" s="44" t="s">
        <v>216</v>
      </c>
      <c r="Z16" s="1">
        <f>$V$11-$W$11</f>
        <v>0.24665354068133172</v>
      </c>
      <c r="AA16" s="1">
        <v>0</v>
      </c>
      <c r="AC16" s="44" t="s">
        <v>216</v>
      </c>
      <c r="AD16" s="1">
        <f>$V$11-$Y$11</f>
        <v>-1.6138709635184754</v>
      </c>
      <c r="AE16" s="1">
        <v>0</v>
      </c>
    </row>
    <row r="17" spans="2:31" ht="13.5" thickBot="1">
      <c r="B17" s="1" t="s">
        <v>6</v>
      </c>
      <c r="C17" s="1">
        <f>NCt(C13,C12,C15)</f>
        <v>0.91805097802087354</v>
      </c>
      <c r="N17" s="56" t="s">
        <v>246</v>
      </c>
      <c r="O17" s="57"/>
      <c r="P17" s="58"/>
      <c r="U17" s="1">
        <f t="shared" ref="U17:U47" si="1">U16+$AB$11</f>
        <v>0.22808399013785899</v>
      </c>
      <c r="V17" s="1">
        <f t="shared" si="0"/>
        <v>0.33188944549186422</v>
      </c>
      <c r="Y17" s="44" t="s">
        <v>218</v>
      </c>
      <c r="Z17" s="1">
        <f>Z16</f>
        <v>0.24665354068133172</v>
      </c>
      <c r="AA17" s="1">
        <f>IF(Y13,MAX($V$15:$V$47),0)</f>
        <v>0</v>
      </c>
      <c r="AC17" s="44" t="s">
        <v>218</v>
      </c>
      <c r="AD17" s="1">
        <f>AD16</f>
        <v>-1.6138709635184754</v>
      </c>
      <c r="AE17" s="1">
        <f>IF(AC13,MAX($V$15:$V$47),0)</f>
        <v>0.49812548917176475</v>
      </c>
    </row>
    <row r="18" spans="2:31" ht="13.5" thickBot="1">
      <c r="B18" s="1" t="s">
        <v>58</v>
      </c>
      <c r="C18" s="1">
        <f>C16-C17</f>
        <v>-0.81093874293987966</v>
      </c>
      <c r="E18" s="5"/>
      <c r="N18" s="59" t="s">
        <v>238</v>
      </c>
      <c r="O18" s="64">
        <v>0.3</v>
      </c>
      <c r="P18" s="60"/>
      <c r="U18" s="1">
        <f t="shared" si="1"/>
        <v>0.3421259852067885</v>
      </c>
      <c r="V18" s="1">
        <f t="shared" si="0"/>
        <v>0.37363521879612333</v>
      </c>
      <c r="Y18" s="44" t="s">
        <v>219</v>
      </c>
      <c r="Z18" s="44" t="s">
        <v>214</v>
      </c>
      <c r="AA18" s="44" t="s">
        <v>215</v>
      </c>
      <c r="AC18" s="44" t="s">
        <v>219</v>
      </c>
      <c r="AD18" s="44" t="s">
        <v>214</v>
      </c>
      <c r="AE18" s="44" t="s">
        <v>215</v>
      </c>
    </row>
    <row r="19" spans="2:31" ht="15" thickBot="1">
      <c r="C19" s="16" t="s">
        <v>63</v>
      </c>
      <c r="D19" s="16" t="s">
        <v>64</v>
      </c>
      <c r="E19" s="16" t="s">
        <v>66</v>
      </c>
      <c r="N19" s="59" t="s">
        <v>239</v>
      </c>
      <c r="O19" s="64">
        <v>0.2</v>
      </c>
      <c r="P19" s="60"/>
      <c r="U19" s="1">
        <f t="shared" si="1"/>
        <v>0.45616798027571798</v>
      </c>
      <c r="V19" s="1">
        <f t="shared" si="0"/>
        <v>0.41217038093519348</v>
      </c>
      <c r="Y19" s="44" t="s">
        <v>216</v>
      </c>
      <c r="Z19" s="1">
        <f>$V$11+$W$11</f>
        <v>1.6533464593186682</v>
      </c>
      <c r="AA19" s="1">
        <v>0</v>
      </c>
      <c r="AC19" s="44" t="s">
        <v>216</v>
      </c>
      <c r="AD19" s="1">
        <f>$V$11+$Y$11</f>
        <v>3.5138709635184755</v>
      </c>
      <c r="AE19" s="1">
        <v>0</v>
      </c>
    </row>
    <row r="20" spans="2:31">
      <c r="B20" s="1" t="s">
        <v>11</v>
      </c>
      <c r="C20" s="1">
        <f>CEILING(C11,1)</f>
        <v>3</v>
      </c>
      <c r="D20" s="1">
        <f>C20*C3</f>
        <v>3</v>
      </c>
      <c r="E20" s="1">
        <f>C20+D20</f>
        <v>6</v>
      </c>
      <c r="N20" s="61" t="s">
        <v>240</v>
      </c>
      <c r="O20" s="62">
        <f>SQRT(EXP(AVERAGE(LN(O18^2+1),LN(O19^2+1)))-1)</f>
        <v>0.25437478714780926</v>
      </c>
      <c r="P20" s="63"/>
      <c r="U20" s="1">
        <f t="shared" si="1"/>
        <v>0.57020997534464746</v>
      </c>
      <c r="V20" s="1">
        <f t="shared" si="0"/>
        <v>0.44553349777912132</v>
      </c>
      <c r="Y20" s="44" t="s">
        <v>218</v>
      </c>
      <c r="Z20" s="1">
        <f>Z19</f>
        <v>1.6533464593186682</v>
      </c>
      <c r="AA20" s="1">
        <f>AA17</f>
        <v>0</v>
      </c>
      <c r="AC20" s="44" t="s">
        <v>218</v>
      </c>
      <c r="AD20" s="1">
        <f>AD19</f>
        <v>3.5138709635184755</v>
      </c>
      <c r="AE20" s="1">
        <f>AE17</f>
        <v>0.49812548917176475</v>
      </c>
    </row>
    <row r="21" spans="2:31">
      <c r="U21" s="1">
        <f t="shared" si="1"/>
        <v>0.68425197041357699</v>
      </c>
      <c r="V21" s="1">
        <f t="shared" si="0"/>
        <v>0.4719093196270166</v>
      </c>
    </row>
    <row r="22" spans="2:31">
      <c r="U22" s="1">
        <f t="shared" si="1"/>
        <v>0.79829396548250653</v>
      </c>
      <c r="V22" s="1">
        <f t="shared" si="0"/>
        <v>0.48979162540430449</v>
      </c>
      <c r="Y22" s="9"/>
      <c r="AC22" s="9"/>
    </row>
    <row r="23" spans="2:31">
      <c r="U23" s="1">
        <f t="shared" si="1"/>
        <v>0.91233596055143606</v>
      </c>
      <c r="V23" s="1">
        <f t="shared" si="0"/>
        <v>0.49812548917176475</v>
      </c>
      <c r="Y23" s="44"/>
      <c r="Z23" s="44"/>
      <c r="AA23" s="44"/>
      <c r="AC23" s="44"/>
      <c r="AD23" s="44"/>
      <c r="AE23" s="44"/>
    </row>
    <row r="24" spans="2:31">
      <c r="U24" s="1">
        <f t="shared" si="1"/>
        <v>1.0263779556203656</v>
      </c>
      <c r="V24" s="1">
        <f t="shared" si="0"/>
        <v>0.49641030037181422</v>
      </c>
      <c r="Y24" s="44"/>
      <c r="AC24" s="44"/>
    </row>
    <row r="25" spans="2:31">
      <c r="U25" s="1">
        <f t="shared" si="1"/>
        <v>1.1404199506892951</v>
      </c>
      <c r="V25" s="1">
        <f t="shared" si="0"/>
        <v>0.48474954788740393</v>
      </c>
      <c r="Y25" s="44"/>
      <c r="AC25" s="44"/>
    </row>
    <row r="26" spans="2:31">
      <c r="U26" s="1">
        <f t="shared" si="1"/>
        <v>1.2544619457582247</v>
      </c>
      <c r="V26" s="1">
        <f t="shared" si="0"/>
        <v>0.46384048284340523</v>
      </c>
      <c r="Y26" s="44"/>
      <c r="Z26" s="44"/>
      <c r="AA26" s="44"/>
      <c r="AC26" s="44"/>
      <c r="AD26" s="44"/>
      <c r="AE26" s="44"/>
    </row>
    <row r="27" spans="2:31">
      <c r="U27" s="1">
        <f t="shared" si="1"/>
        <v>1.3685039408271542</v>
      </c>
      <c r="V27" s="1">
        <f t="shared" si="0"/>
        <v>0.4349050960714787</v>
      </c>
      <c r="Y27" s="44"/>
      <c r="AC27" s="44"/>
    </row>
    <row r="28" spans="2:31">
      <c r="U28" s="1">
        <f t="shared" si="1"/>
        <v>1.4825459358960837</v>
      </c>
      <c r="V28" s="1">
        <f t="shared" si="0"/>
        <v>0.39957191240595913</v>
      </c>
      <c r="Y28" s="44"/>
      <c r="AC28" s="44"/>
    </row>
    <row r="29" spans="2:31">
      <c r="U29" s="1">
        <f t="shared" si="1"/>
        <v>1.5965879309650133</v>
      </c>
      <c r="V29" s="1">
        <f t="shared" si="0"/>
        <v>0.35972449947009971</v>
      </c>
      <c r="Y29" s="1" t="b">
        <v>1</v>
      </c>
    </row>
    <row r="30" spans="2:31">
      <c r="U30" s="1">
        <f t="shared" si="1"/>
        <v>1.7106299260339428</v>
      </c>
      <c r="V30" s="1">
        <f t="shared" si="0"/>
        <v>0.31733625401860682</v>
      </c>
      <c r="Y30" s="9" t="s">
        <v>228</v>
      </c>
    </row>
    <row r="31" spans="2:31">
      <c r="U31" s="1">
        <f t="shared" si="1"/>
        <v>1.8246719211028724</v>
      </c>
      <c r="V31" s="1">
        <f t="shared" si="0"/>
        <v>0.27431147398263156</v>
      </c>
      <c r="Y31" s="44" t="s">
        <v>217</v>
      </c>
      <c r="Z31" s="44" t="s">
        <v>214</v>
      </c>
      <c r="AA31" s="44" t="s">
        <v>215</v>
      </c>
    </row>
    <row r="32" spans="2:31">
      <c r="U32" s="1">
        <f t="shared" si="1"/>
        <v>1.9387139161718019</v>
      </c>
      <c r="V32" s="1">
        <f t="shared" si="0"/>
        <v>0.23235010113869112</v>
      </c>
      <c r="Y32" s="44" t="s">
        <v>216</v>
      </c>
      <c r="Z32" s="32">
        <f>C7</f>
        <v>0.8</v>
      </c>
      <c r="AA32" s="1">
        <v>0</v>
      </c>
    </row>
    <row r="33" spans="2:27">
      <c r="U33" s="1">
        <f t="shared" si="1"/>
        <v>2.0527559112407312</v>
      </c>
      <c r="V33" s="1">
        <f t="shared" si="0"/>
        <v>0.19284854521492664</v>
      </c>
      <c r="Y33" s="44" t="s">
        <v>218</v>
      </c>
      <c r="Z33" s="32">
        <f>Z32</f>
        <v>0.8</v>
      </c>
      <c r="AA33" s="1">
        <f>IF($Y$29,MAX($V$15:$W$47),0)</f>
        <v>0.49812548917176475</v>
      </c>
    </row>
    <row r="34" spans="2:27">
      <c r="U34" s="1">
        <f t="shared" si="1"/>
        <v>2.1667979063096605</v>
      </c>
      <c r="V34" s="1">
        <f t="shared" si="0"/>
        <v>0.15684276045422713</v>
      </c>
      <c r="Y34" s="44" t="s">
        <v>219</v>
      </c>
      <c r="Z34" s="44" t="s">
        <v>214</v>
      </c>
      <c r="AA34" s="44" t="s">
        <v>215</v>
      </c>
    </row>
    <row r="35" spans="2:27">
      <c r="U35" s="1">
        <f t="shared" si="1"/>
        <v>2.2808399013785898</v>
      </c>
      <c r="V35" s="1">
        <f t="shared" si="0"/>
        <v>0.12499343312455446</v>
      </c>
      <c r="Y35" s="44" t="s">
        <v>216</v>
      </c>
      <c r="Z35" s="32">
        <f>C8</f>
        <v>1.25</v>
      </c>
      <c r="AA35" s="1">
        <v>0</v>
      </c>
    </row>
    <row r="36" spans="2:27">
      <c r="U36" s="1">
        <f t="shared" si="1"/>
        <v>2.3948818964475191</v>
      </c>
      <c r="V36" s="1">
        <f t="shared" si="0"/>
        <v>9.7607800230644914E-2</v>
      </c>
      <c r="Y36" s="44" t="s">
        <v>218</v>
      </c>
      <c r="Z36" s="32">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8" t="s">
        <v>123</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c r="B59" s="9" t="s">
        <v>125</v>
      </c>
    </row>
    <row r="61" spans="2:2">
      <c r="B61" s="9" t="s">
        <v>236</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122</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5" thickBot="1">
      <c r="B5" s="1" t="s">
        <v>120</v>
      </c>
      <c r="C5" s="43">
        <v>0.25</v>
      </c>
      <c r="D5" s="1" t="s">
        <v>127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212</v>
      </c>
      <c r="W10" s="44" t="s">
        <v>210</v>
      </c>
      <c r="X10" s="44" t="s">
        <v>213</v>
      </c>
      <c r="Y10" s="44" t="s">
        <v>211</v>
      </c>
      <c r="AA10" s="44" t="s">
        <v>224</v>
      </c>
      <c r="AB10" s="44" t="s">
        <v>225</v>
      </c>
    </row>
    <row r="11" spans="2:31" ht="13.5" thickBot="1">
      <c r="B11" s="1" t="s">
        <v>0</v>
      </c>
      <c r="C11" s="7">
        <v>28</v>
      </c>
      <c r="U11" s="44" t="s">
        <v>206</v>
      </c>
      <c r="V11" s="45">
        <f>C6</f>
        <v>0.95</v>
      </c>
      <c r="W11" s="1">
        <f>$C$10</f>
        <v>0.24622067706923975</v>
      </c>
      <c r="X11" s="1">
        <f>W11/SQRT(C20)</f>
        <v>0.14215557418597749</v>
      </c>
      <c r="Y11" s="1">
        <f>TINV($C$4*2,$C$20-2)*X11</f>
        <v>0.89753497183621589</v>
      </c>
      <c r="AA11" s="46">
        <f>V11+4*W11</f>
        <v>1.9348827082769589</v>
      </c>
      <c r="AB11" s="1">
        <f>AA11/33</f>
        <v>5.8632809341726023E-2</v>
      </c>
    </row>
    <row r="12" spans="2:31">
      <c r="B12" s="1" t="s">
        <v>2</v>
      </c>
      <c r="C12" s="1">
        <f>C11-2</f>
        <v>26</v>
      </c>
      <c r="U12" s="44"/>
    </row>
    <row r="13" spans="2:31">
      <c r="B13" s="1" t="s">
        <v>8</v>
      </c>
      <c r="C13" s="1">
        <f>TINV(C4*2,C12)</f>
        <v>1.7056179197592738</v>
      </c>
      <c r="Y13" s="1" t="b">
        <v>0</v>
      </c>
      <c r="AC13" s="1" t="b">
        <v>1</v>
      </c>
    </row>
    <row r="14" spans="2:31">
      <c r="B14" s="1" t="s">
        <v>3</v>
      </c>
      <c r="C14" s="1">
        <f>(SQRT(C11)*(LN(C6)-LN(C8)))/(SQRT(2*C10^2))</f>
        <v>-4.1704403673383288</v>
      </c>
      <c r="U14" s="44" t="s">
        <v>205</v>
      </c>
      <c r="V14" s="44" t="s">
        <v>227</v>
      </c>
      <c r="W14" s="44"/>
      <c r="Y14" s="9" t="s">
        <v>220</v>
      </c>
      <c r="AC14" s="9" t="s">
        <v>222</v>
      </c>
    </row>
    <row r="15" spans="2:31">
      <c r="B15" s="1" t="s">
        <v>4</v>
      </c>
      <c r="C15" s="1">
        <f>(SQRT(C11)*(LN(C6)-LN(C7)))/(SQRT(2*C10^2))</f>
        <v>2.6114979087146866</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0.9921058506008289</v>
      </c>
      <c r="U16" s="1">
        <f>U15+$AB$11</f>
        <v>5.8632809341726023E-2</v>
      </c>
      <c r="V16" s="1">
        <f t="shared" ref="V16:V47" si="0">_xlfn.NORM.DIST($U16,$V$11,$C$5,FALSE)</f>
        <v>2.7699447059280034E-3</v>
      </c>
      <c r="Y16" s="44" t="s">
        <v>216</v>
      </c>
      <c r="Z16" s="1">
        <f>$V$11-$W$11</f>
        <v>0.70377932293076018</v>
      </c>
      <c r="AA16" s="1">
        <v>0</v>
      </c>
      <c r="AC16" s="44" t="s">
        <v>216</v>
      </c>
      <c r="AD16" s="1">
        <f>$V$11-$Y$11</f>
        <v>5.2465028163784067E-2</v>
      </c>
      <c r="AE16" s="1">
        <v>0</v>
      </c>
    </row>
    <row r="17" spans="2:31">
      <c r="B17" s="1" t="s">
        <v>6</v>
      </c>
      <c r="C17" s="1">
        <f>NCt(C13,C12,C15)</f>
        <v>0.18466638314524716</v>
      </c>
      <c r="U17" s="1">
        <f t="shared" ref="U17:U47" si="1">U16+$AB$11</f>
        <v>0.11726561868345205</v>
      </c>
      <c r="V17" s="1">
        <f t="shared" si="0"/>
        <v>6.2185621117606723E-3</v>
      </c>
      <c r="Y17" s="44" t="s">
        <v>218</v>
      </c>
      <c r="Z17" s="1">
        <f>Z16</f>
        <v>0.70377932293076018</v>
      </c>
      <c r="AA17" s="1">
        <f>IF(Y13,MAX($V$15:$V$47),0)</f>
        <v>0</v>
      </c>
      <c r="AC17" s="44" t="s">
        <v>218</v>
      </c>
      <c r="AD17" s="1">
        <f>AD16</f>
        <v>5.2465028163784067E-2</v>
      </c>
      <c r="AE17" s="1">
        <f>IF(AC13,MAX($V$15:$V$47),0)</f>
        <v>1.5939698943202625</v>
      </c>
    </row>
    <row r="18" spans="2:31">
      <c r="B18" s="1" t="s">
        <v>58</v>
      </c>
      <c r="C18" s="1">
        <f>C16-C17</f>
        <v>0.80743946745558171</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1.847534971836216</v>
      </c>
      <c r="AE19" s="1">
        <v>0</v>
      </c>
    </row>
    <row r="20" spans="2:31">
      <c r="B20" s="1" t="s">
        <v>11</v>
      </c>
      <c r="C20" s="1">
        <v>3</v>
      </c>
      <c r="U20" s="1">
        <f t="shared" si="1"/>
        <v>0.29316404670863011</v>
      </c>
      <c r="V20" s="1">
        <f t="shared" si="0"/>
        <v>5.0584406183643189E-2</v>
      </c>
      <c r="Y20" s="44" t="s">
        <v>218</v>
      </c>
      <c r="Z20" s="1">
        <f>Z19</f>
        <v>1.1962206770692396</v>
      </c>
      <c r="AA20" s="1">
        <f>AA17</f>
        <v>0</v>
      </c>
      <c r="AC20" s="44" t="s">
        <v>218</v>
      </c>
      <c r="AD20" s="1">
        <f>AD19</f>
        <v>1.847534971836216</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c r="B67" s="9" t="s">
        <v>125</v>
      </c>
      <c r="G67" s="6"/>
    </row>
    <row r="68" spans="2:7">
      <c r="G68" s="6"/>
    </row>
    <row r="69" spans="2:7">
      <c r="B69" s="9" t="s">
        <v>236</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1"/>
    <col min="27" max="27" width="20.42578125" style="51" bestFit="1" customWidth="1"/>
    <col min="28" max="34" width="9.140625" style="51"/>
    <col min="35" max="16384" width="9.140625" style="1"/>
  </cols>
  <sheetData>
    <row r="1" spans="2:31" ht="27" thickBot="1">
      <c r="B1" s="17" t="s">
        <v>76</v>
      </c>
      <c r="G1" s="9" t="s">
        <v>122</v>
      </c>
      <c r="Z1" s="51" t="s">
        <v>33</v>
      </c>
    </row>
    <row r="2" spans="2:31" ht="13.5" thickBot="1">
      <c r="B2" s="1" t="s">
        <v>1</v>
      </c>
      <c r="C2" s="2">
        <v>0.8</v>
      </c>
      <c r="Y2" s="51" t="s">
        <v>32</v>
      </c>
      <c r="Z2" s="51">
        <f>(2*G9+1)/(G9+1)</f>
        <v>1</v>
      </c>
    </row>
    <row r="3" spans="2:31" ht="13.5" thickBot="1">
      <c r="C3" s="14"/>
      <c r="Y3" s="51" t="s">
        <v>235</v>
      </c>
      <c r="Z3" s="51">
        <v>0.75</v>
      </c>
    </row>
    <row r="4" spans="2:31" ht="13.5" thickBot="1">
      <c r="B4" s="8" t="s">
        <v>59</v>
      </c>
      <c r="C4" s="2">
        <v>0.05</v>
      </c>
      <c r="Y4" s="51" t="s">
        <v>31</v>
      </c>
      <c r="Z4" s="51">
        <v>0.5</v>
      </c>
    </row>
    <row r="5" spans="2:31" ht="16.5" thickBot="1">
      <c r="B5" s="1" t="s">
        <v>120</v>
      </c>
      <c r="C5" s="43">
        <v>0.65</v>
      </c>
      <c r="D5" s="1" t="s">
        <v>127</v>
      </c>
      <c r="U5" s="51" t="s">
        <v>56</v>
      </c>
      <c r="Y5" s="51">
        <v>3</v>
      </c>
    </row>
    <row r="6" spans="2:31" ht="16.5" thickBot="1">
      <c r="B6" s="1" t="s">
        <v>34</v>
      </c>
      <c r="C6" s="43">
        <v>0.9</v>
      </c>
      <c r="D6" s="1" t="str">
        <f>IF(C6=1,"","(to "&amp;ROUND(100/C6,1)&amp;"%)")&amp;IF(OR($C$6&lt;$C$7,$C$6&gt;$C$8)," WARNING: Ratio outside BE limits.","")</f>
        <v>(to 111.1%)</v>
      </c>
      <c r="U6" s="51">
        <v>1</v>
      </c>
      <c r="Y6" s="51">
        <f>INDEX(Z2:Z4,Y5,1)</f>
        <v>0.5</v>
      </c>
    </row>
    <row r="7" spans="2:31" ht="13.5" thickBot="1">
      <c r="B7" s="1" t="s">
        <v>9</v>
      </c>
      <c r="C7" s="13">
        <v>0.8</v>
      </c>
    </row>
    <row r="8" spans="2:31" ht="13.5" thickBot="1">
      <c r="B8" s="1" t="s">
        <v>10</v>
      </c>
      <c r="C8" s="13">
        <f>1/C7</f>
        <v>1.25</v>
      </c>
    </row>
    <row r="10" spans="2:31" ht="15.75">
      <c r="B10" s="8" t="s">
        <v>26</v>
      </c>
      <c r="C10" s="1">
        <f>SQRT(LN((C5)^2+1))</f>
        <v>0.59364626421662003</v>
      </c>
      <c r="V10" s="51" t="s">
        <v>212</v>
      </c>
      <c r="W10" s="51" t="s">
        <v>210</v>
      </c>
      <c r="X10" s="51" t="s">
        <v>213</v>
      </c>
      <c r="Y10" s="51" t="s">
        <v>211</v>
      </c>
      <c r="AA10" s="51" t="s">
        <v>224</v>
      </c>
      <c r="AB10" s="51" t="s">
        <v>225</v>
      </c>
    </row>
    <row r="11" spans="2:31">
      <c r="B11" s="1" t="s">
        <v>0</v>
      </c>
      <c r="C11" s="7">
        <v>3</v>
      </c>
      <c r="U11" s="51" t="s">
        <v>206</v>
      </c>
      <c r="V11" s="52">
        <f>C6</f>
        <v>0.9</v>
      </c>
      <c r="W11" s="51">
        <f>$C$10</f>
        <v>0.59364626421662003</v>
      </c>
      <c r="X11" s="51">
        <f>W11/SQRT(C11)</f>
        <v>0.34274183044888129</v>
      </c>
      <c r="Y11" s="51">
        <f>TINV($C$4*2,$C$11-2)*X11</f>
        <v>2.1639867511391211</v>
      </c>
      <c r="AA11" s="53">
        <f>V11+4*W11</f>
        <v>3.27458505686648</v>
      </c>
      <c r="AB11" s="51">
        <f>AA11/33</f>
        <v>9.9229850208075149E-2</v>
      </c>
    </row>
    <row r="12" spans="2:31">
      <c r="B12" s="1" t="s">
        <v>2</v>
      </c>
      <c r="C12" s="1">
        <f>C11-2</f>
        <v>1</v>
      </c>
    </row>
    <row r="13" spans="2:31">
      <c r="B13" s="1" t="s">
        <v>8</v>
      </c>
      <c r="C13" s="1">
        <f>TINV(C4*2,C12)</f>
        <v>6.3137515146750438</v>
      </c>
      <c r="Y13" s="51" t="b">
        <v>0</v>
      </c>
      <c r="AC13" s="51" t="b">
        <v>1</v>
      </c>
    </row>
    <row r="14" spans="2:31">
      <c r="B14" s="1" t="s">
        <v>3</v>
      </c>
      <c r="C14" s="1">
        <f>(SQRT(C11)*(LN(C6)-LN(C8)))/(SQRT(2*C10^2))</f>
        <v>-0.67773301291839627</v>
      </c>
      <c r="U14" s="51" t="s">
        <v>205</v>
      </c>
      <c r="V14" s="51" t="s">
        <v>227</v>
      </c>
      <c r="Y14" s="54" t="s">
        <v>220</v>
      </c>
      <c r="AC14" s="54" t="s">
        <v>222</v>
      </c>
    </row>
    <row r="15" spans="2:31">
      <c r="B15" s="1" t="s">
        <v>4</v>
      </c>
      <c r="C15" s="1">
        <f>(SQRT(C11)*(LN(C6)-LN(C7)))/(SQRT(2*C10^2))</f>
        <v>0.24299684433700114</v>
      </c>
      <c r="U15" s="51">
        <v>0</v>
      </c>
      <c r="V15" s="51">
        <f>_xlfn.NORM.DIST($U15,$V$11,$C$5,FALSE)</f>
        <v>0.23533729435330628</v>
      </c>
      <c r="Y15" s="51" t="s">
        <v>217</v>
      </c>
      <c r="Z15" s="51" t="s">
        <v>214</v>
      </c>
      <c r="AA15" s="51" t="s">
        <v>215</v>
      </c>
      <c r="AC15" s="51" t="s">
        <v>217</v>
      </c>
      <c r="AD15" s="51" t="s">
        <v>214</v>
      </c>
      <c r="AE15" s="51" t="s">
        <v>215</v>
      </c>
    </row>
    <row r="16" spans="2:31">
      <c r="B16" s="1" t="s">
        <v>7</v>
      </c>
      <c r="C16" s="1">
        <f>NCt(-C13,C12,C14)</f>
        <v>0.10307839717957634</v>
      </c>
      <c r="U16" s="51">
        <f>U15+$AB$11</f>
        <v>9.9229850208075149E-2</v>
      </c>
      <c r="V16" s="51">
        <f t="shared" ref="V16:V47" si="0">_xlfn.NORM.DIST($U16,$V$11,$C$5,FALSE)</f>
        <v>0.28736242915824389</v>
      </c>
      <c r="Y16" s="51" t="s">
        <v>216</v>
      </c>
      <c r="Z16" s="51">
        <f>$V$11-$W$11</f>
        <v>0.30635373578337999</v>
      </c>
      <c r="AA16" s="51">
        <v>0</v>
      </c>
      <c r="AC16" s="51" t="s">
        <v>216</v>
      </c>
      <c r="AD16" s="51">
        <f>$V$11-$Y$11</f>
        <v>-1.2639867511391212</v>
      </c>
      <c r="AE16" s="51">
        <v>0</v>
      </c>
    </row>
    <row r="17" spans="2:31">
      <c r="B17" s="1" t="s">
        <v>6</v>
      </c>
      <c r="C17" s="1">
        <f>NCt(C13,C12,C15)</f>
        <v>0.93339405326162772</v>
      </c>
      <c r="U17" s="51">
        <f t="shared" ref="U17:U47" si="1">U16+$AB$11</f>
        <v>0.1984597004161503</v>
      </c>
      <c r="V17" s="51">
        <f t="shared" si="0"/>
        <v>0.34280549683534484</v>
      </c>
      <c r="Y17" s="51" t="s">
        <v>218</v>
      </c>
      <c r="Z17" s="51">
        <f>Z16</f>
        <v>0.30635373578337999</v>
      </c>
      <c r="AA17" s="51">
        <f>IF(Y13,MAX($V$15:$V$47),0)</f>
        <v>0</v>
      </c>
      <c r="AC17" s="51" t="s">
        <v>218</v>
      </c>
      <c r="AD17" s="51">
        <f>AD16</f>
        <v>-1.2639867511391212</v>
      </c>
      <c r="AE17" s="51">
        <f>IF(AC13,MAX($V$15:$V$47),0)</f>
        <v>0.61372245947377413</v>
      </c>
    </row>
    <row r="18" spans="2:31">
      <c r="B18" s="1" t="s">
        <v>58</v>
      </c>
      <c r="C18" s="1">
        <f>C16-C17</f>
        <v>-0.83031565608205138</v>
      </c>
      <c r="E18" s="5"/>
      <c r="U18" s="51">
        <f t="shared" si="1"/>
        <v>0.29768955062422542</v>
      </c>
      <c r="V18" s="51">
        <f t="shared" si="0"/>
        <v>0.39952515522834975</v>
      </c>
      <c r="Y18" s="51" t="s">
        <v>219</v>
      </c>
      <c r="Z18" s="51" t="s">
        <v>214</v>
      </c>
      <c r="AA18" s="51" t="s">
        <v>215</v>
      </c>
      <c r="AC18" s="51" t="s">
        <v>219</v>
      </c>
      <c r="AD18" s="51" t="s">
        <v>214</v>
      </c>
      <c r="AE18" s="51" t="s">
        <v>215</v>
      </c>
    </row>
    <row r="19" spans="2:31">
      <c r="U19" s="51">
        <f t="shared" si="1"/>
        <v>0.3969194008323006</v>
      </c>
      <c r="V19" s="51">
        <f t="shared" si="0"/>
        <v>0.45490325198376713</v>
      </c>
      <c r="Y19" s="51" t="s">
        <v>216</v>
      </c>
      <c r="Z19" s="51">
        <f>$V$11+$W$11</f>
        <v>1.4936462642166202</v>
      </c>
      <c r="AA19" s="51">
        <v>0</v>
      </c>
      <c r="AC19" s="51" t="s">
        <v>216</v>
      </c>
      <c r="AD19" s="51">
        <f>$V$11+$Y$11</f>
        <v>3.063986751139121</v>
      </c>
      <c r="AE19" s="51">
        <v>0</v>
      </c>
    </row>
    <row r="20" spans="2:31">
      <c r="B20" s="1" t="s">
        <v>11</v>
      </c>
      <c r="C20" s="1">
        <f>CEILING(INDEX(Z2:Z4,Y5,1)*C11,1)</f>
        <v>2</v>
      </c>
      <c r="U20" s="51">
        <f t="shared" si="1"/>
        <v>0.49614925104037577</v>
      </c>
      <c r="V20" s="51">
        <f t="shared" si="0"/>
        <v>0.50602563077485663</v>
      </c>
      <c r="Y20" s="51" t="s">
        <v>218</v>
      </c>
      <c r="Z20" s="51">
        <f>Z19</f>
        <v>1.4936462642166202</v>
      </c>
      <c r="AA20" s="51">
        <f>AA17</f>
        <v>0</v>
      </c>
      <c r="AC20" s="51" t="s">
        <v>218</v>
      </c>
      <c r="AD20" s="51">
        <f>AD19</f>
        <v>3.063986751139121</v>
      </c>
      <c r="AE20" s="51">
        <f>AE17</f>
        <v>0.61372245947377413</v>
      </c>
    </row>
    <row r="21" spans="2:31">
      <c r="U21" s="51">
        <f t="shared" si="1"/>
        <v>0.59537910124845095</v>
      </c>
      <c r="V21" s="51">
        <f t="shared" si="0"/>
        <v>0.54992637471810812</v>
      </c>
    </row>
    <row r="22" spans="2:31">
      <c r="U22" s="51">
        <f t="shared" si="1"/>
        <v>0.69460895145652612</v>
      </c>
      <c r="V22" s="51">
        <f t="shared" si="0"/>
        <v>0.58386863272477407</v>
      </c>
      <c r="Y22" s="54"/>
      <c r="AC22" s="54"/>
    </row>
    <row r="23" spans="2:31">
      <c r="U23" s="51">
        <f t="shared" si="1"/>
        <v>0.7938388016646013</v>
      </c>
      <c r="V23" s="51">
        <f t="shared" si="0"/>
        <v>0.60562570518659309</v>
      </c>
    </row>
    <row r="24" spans="2:31">
      <c r="U24" s="51">
        <f t="shared" si="1"/>
        <v>0.89306865187267648</v>
      </c>
      <c r="V24" s="51">
        <f t="shared" si="0"/>
        <v>0.61372245947377413</v>
      </c>
    </row>
    <row r="25" spans="2:31">
      <c r="U25" s="51">
        <f t="shared" si="1"/>
        <v>0.99229850208075165</v>
      </c>
      <c r="V25" s="51">
        <f t="shared" si="0"/>
        <v>0.60760074029019817</v>
      </c>
    </row>
    <row r="26" spans="2:31">
      <c r="U26" s="51">
        <f t="shared" si="1"/>
        <v>1.0915283522888268</v>
      </c>
      <c r="V26" s="51">
        <f t="shared" si="0"/>
        <v>0.5876830063555375</v>
      </c>
    </row>
    <row r="27" spans="2:31">
      <c r="U27" s="51">
        <f t="shared" si="1"/>
        <v>1.1907582024969019</v>
      </c>
      <c r="V27" s="51">
        <f t="shared" si="0"/>
        <v>0.55532411335267029</v>
      </c>
    </row>
    <row r="28" spans="2:31">
      <c r="U28" s="51">
        <f t="shared" si="1"/>
        <v>1.289988052704977</v>
      </c>
      <c r="V28" s="51">
        <f t="shared" si="0"/>
        <v>0.51265888884221822</v>
      </c>
    </row>
    <row r="29" spans="2:31">
      <c r="U29" s="51">
        <f t="shared" si="1"/>
        <v>1.389217902913052</v>
      </c>
      <c r="V29" s="51">
        <f t="shared" si="0"/>
        <v>0.46236932369525469</v>
      </c>
      <c r="Y29" s="51" t="b">
        <v>1</v>
      </c>
    </row>
    <row r="30" spans="2:31">
      <c r="U30" s="51">
        <f t="shared" si="1"/>
        <v>1.4884477531211271</v>
      </c>
      <c r="V30" s="51">
        <f t="shared" si="0"/>
        <v>0.40740663195800214</v>
      </c>
      <c r="Y30" s="54" t="s">
        <v>228</v>
      </c>
    </row>
    <row r="31" spans="2:31">
      <c r="U31" s="51">
        <f t="shared" si="1"/>
        <v>1.5876776033292022</v>
      </c>
      <c r="V31" s="51">
        <f t="shared" si="0"/>
        <v>0.35070805182037268</v>
      </c>
      <c r="Y31" s="51" t="s">
        <v>217</v>
      </c>
      <c r="Z31" s="51" t="s">
        <v>214</v>
      </c>
      <c r="AA31" s="51" t="s">
        <v>215</v>
      </c>
    </row>
    <row r="32" spans="2:31">
      <c r="U32" s="51">
        <f t="shared" si="1"/>
        <v>1.6869074535372772</v>
      </c>
      <c r="V32" s="51">
        <f t="shared" si="0"/>
        <v>0.29494561250934742</v>
      </c>
      <c r="Y32" s="51" t="s">
        <v>216</v>
      </c>
      <c r="Z32" s="55">
        <f>C7</f>
        <v>0.8</v>
      </c>
      <c r="AA32" s="51">
        <v>0</v>
      </c>
    </row>
    <row r="33" spans="21:27">
      <c r="U33" s="51">
        <f t="shared" si="1"/>
        <v>1.7861373037453523</v>
      </c>
      <c r="V33" s="51">
        <f t="shared" si="0"/>
        <v>0.24233531319033688</v>
      </c>
      <c r="Y33" s="51" t="s">
        <v>218</v>
      </c>
      <c r="Z33" s="55">
        <f>Z32</f>
        <v>0.8</v>
      </c>
      <c r="AA33" s="51">
        <f>IF($Y$29,MAX($V$15:$W$47),0)</f>
        <v>0.61372245947377413</v>
      </c>
    </row>
    <row r="34" spans="21:27">
      <c r="U34" s="51">
        <f t="shared" si="1"/>
        <v>1.8853671539534274</v>
      </c>
      <c r="V34" s="51">
        <f t="shared" si="0"/>
        <v>0.1945225836599368</v>
      </c>
      <c r="Y34" s="51" t="s">
        <v>219</v>
      </c>
      <c r="Z34" s="51" t="s">
        <v>214</v>
      </c>
      <c r="AA34" s="51" t="s">
        <v>215</v>
      </c>
    </row>
    <row r="35" spans="21:27">
      <c r="U35" s="51">
        <f t="shared" si="1"/>
        <v>1.9845970041615024</v>
      </c>
      <c r="V35" s="51">
        <f t="shared" si="0"/>
        <v>0.15254638314764188</v>
      </c>
      <c r="Y35" s="51" t="s">
        <v>216</v>
      </c>
      <c r="Z35" s="55">
        <f>C8</f>
        <v>1.25</v>
      </c>
      <c r="AA35" s="51">
        <v>0</v>
      </c>
    </row>
    <row r="36" spans="21:27">
      <c r="U36" s="51">
        <f t="shared" si="1"/>
        <v>2.0838268543695775</v>
      </c>
      <c r="V36" s="51">
        <f t="shared" si="0"/>
        <v>0.11687250742502221</v>
      </c>
      <c r="Y36" s="51" t="s">
        <v>218</v>
      </c>
      <c r="Z36" s="55">
        <f>Z35</f>
        <v>1.25</v>
      </c>
      <c r="AA36" s="51">
        <f>AA33</f>
        <v>0.61372245947377413</v>
      </c>
    </row>
    <row r="37" spans="21:27">
      <c r="U37" s="51">
        <f t="shared" si="1"/>
        <v>2.1830567045776528</v>
      </c>
      <c r="V37" s="51">
        <f t="shared" si="0"/>
        <v>8.7478508365891355E-2</v>
      </c>
    </row>
    <row r="38" spans="21:27">
      <c r="U38" s="51">
        <f t="shared" si="1"/>
        <v>2.2822865547857281</v>
      </c>
      <c r="V38" s="51">
        <f t="shared" si="0"/>
        <v>6.3968908046208445E-2</v>
      </c>
    </row>
    <row r="39" spans="21:27">
      <c r="U39" s="51">
        <f t="shared" si="1"/>
        <v>2.3815164049938033</v>
      </c>
      <c r="V39" s="51">
        <f t="shared" si="0"/>
        <v>4.569988070902295E-2</v>
      </c>
    </row>
    <row r="40" spans="21:27">
      <c r="U40" s="51">
        <f t="shared" si="1"/>
        <v>2.4807462552018786</v>
      </c>
      <c r="V40" s="51">
        <f t="shared" si="0"/>
        <v>3.1896259526106731E-2</v>
      </c>
    </row>
    <row r="41" spans="21:27">
      <c r="U41" s="51">
        <f t="shared" si="1"/>
        <v>2.5799761054099539</v>
      </c>
      <c r="V41" s="51">
        <f t="shared" si="0"/>
        <v>2.1749185983899813E-2</v>
      </c>
    </row>
    <row r="42" spans="21:27">
      <c r="U42" s="51">
        <f t="shared" si="1"/>
        <v>2.6792059556180292</v>
      </c>
      <c r="V42" s="51">
        <f t="shared" si="0"/>
        <v>1.4488546488791608E-2</v>
      </c>
    </row>
    <row r="43" spans="21:27">
      <c r="U43" s="51">
        <f t="shared" si="1"/>
        <v>2.7784358058261045</v>
      </c>
      <c r="V43" s="51">
        <f t="shared" si="0"/>
        <v>9.4294245755793919E-3</v>
      </c>
    </row>
    <row r="44" spans="21:27" ht="20.25" customHeight="1">
      <c r="U44" s="51">
        <f t="shared" si="1"/>
        <v>2.8776656560341798</v>
      </c>
      <c r="V44" s="51">
        <f t="shared" si="0"/>
        <v>5.9954822866968805E-3</v>
      </c>
    </row>
    <row r="45" spans="21:27">
      <c r="U45" s="51">
        <f t="shared" si="1"/>
        <v>2.9768955062422551</v>
      </c>
      <c r="V45" s="51">
        <f t="shared" si="0"/>
        <v>3.7242739410159697E-3</v>
      </c>
    </row>
    <row r="46" spans="21:27">
      <c r="U46" s="51">
        <f t="shared" si="1"/>
        <v>3.0761253564503304</v>
      </c>
      <c r="V46" s="51">
        <f t="shared" si="0"/>
        <v>2.260152134061862E-3</v>
      </c>
    </row>
    <row r="47" spans="21:27">
      <c r="U47" s="51">
        <f t="shared" si="1"/>
        <v>3.1753552066584056</v>
      </c>
      <c r="V47" s="51">
        <f t="shared" si="0"/>
        <v>1.3400231116534327E-3</v>
      </c>
    </row>
    <row r="52" spans="2:2" ht="18">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409575</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RowHeight="15"/>
  <cols>
    <col min="1" max="1" width="5.85546875" style="78" customWidth="1"/>
    <col min="2" max="2" width="9.140625" style="78" customWidth="1"/>
    <col min="3" max="16384" width="9.140625" style="78"/>
  </cols>
  <sheetData>
    <row r="2" spans="2:2" ht="23.25">
      <c r="B2" s="77" t="s">
        <v>248</v>
      </c>
    </row>
    <row r="19" spans="2:4" ht="15.75" thickBot="1"/>
    <row r="20" spans="2:4" ht="18.75" thickBot="1">
      <c r="B20" s="78" t="s">
        <v>249</v>
      </c>
      <c r="C20" s="79">
        <v>0.1</v>
      </c>
      <c r="D20" s="90" t="s">
        <v>283</v>
      </c>
    </row>
    <row r="21" spans="2:4" ht="18.75" thickBot="1">
      <c r="B21" s="78" t="s">
        <v>250</v>
      </c>
      <c r="C21" s="80">
        <v>0.2</v>
      </c>
    </row>
    <row r="22" spans="2:4" ht="18">
      <c r="B22" s="78" t="s">
        <v>251</v>
      </c>
      <c r="C22" s="81">
        <f>C20*C21</f>
        <v>2.0000000000000004E-2</v>
      </c>
    </row>
    <row r="23" spans="2:4">
      <c r="C23" s="81"/>
    </row>
    <row r="24" spans="2:4" ht="18">
      <c r="B24" s="78" t="s">
        <v>252</v>
      </c>
      <c r="C24" s="81">
        <f>1-C25</f>
        <v>0.28000000000000003</v>
      </c>
      <c r="D24" s="78" t="s">
        <v>253</v>
      </c>
    </row>
    <row r="25" spans="2:4" ht="18">
      <c r="B25" s="78" t="s">
        <v>254</v>
      </c>
      <c r="C25" s="81">
        <f>1-C20-C21+C22</f>
        <v>0.72</v>
      </c>
      <c r="D25" s="78" t="s">
        <v>255</v>
      </c>
    </row>
    <row r="26" spans="2:4" ht="15.75" thickBot="1"/>
    <row r="27" spans="2:4" ht="15.75" thickBot="1">
      <c r="C27" s="82" t="s">
        <v>280</v>
      </c>
      <c r="D27" s="79">
        <v>50</v>
      </c>
    </row>
    <row r="28" spans="2:4">
      <c r="C28" s="82" t="s">
        <v>256</v>
      </c>
      <c r="D28" s="81">
        <f>D27*C24</f>
        <v>14.000000000000002</v>
      </c>
    </row>
    <row r="29" spans="2:4">
      <c r="C29" s="82" t="s">
        <v>257</v>
      </c>
      <c r="D29" s="81">
        <f>D27/C25</f>
        <v>69.444444444444443</v>
      </c>
    </row>
    <row r="30" spans="2:4" ht="15.75" thickBot="1"/>
    <row r="31" spans="2:4" ht="15.75" thickBot="1">
      <c r="B31" s="82" t="s">
        <v>258</v>
      </c>
      <c r="C31" s="79">
        <v>2</v>
      </c>
      <c r="D31" s="78" t="s">
        <v>259</v>
      </c>
    </row>
    <row r="33" spans="2:5">
      <c r="B33" s="82" t="s">
        <v>260</v>
      </c>
      <c r="C33" s="83">
        <f>CEILING(D29,1)</f>
        <v>70</v>
      </c>
      <c r="D33" s="78">
        <f>C33/$C$31</f>
        <v>35</v>
      </c>
      <c r="E33" s="78" t="str">
        <f>IF(D33-ROUND(D33,0)=0,"&lt;-- divisible","")</f>
        <v>&lt;-- divisible</v>
      </c>
    </row>
    <row r="34" spans="2:5">
      <c r="C34" s="83">
        <f>C33+1</f>
        <v>71</v>
      </c>
      <c r="D34" s="78">
        <f t="shared" ref="D34:D37" si="0">C34/$C$31</f>
        <v>35.5</v>
      </c>
      <c r="E34" s="78" t="str">
        <f t="shared" ref="E34:E37" si="1">IF(D34-ROUND(D34,0)=0,"&lt;-- divisible","")</f>
        <v/>
      </c>
    </row>
    <row r="35" spans="2:5">
      <c r="C35" s="83">
        <f>C34+1</f>
        <v>72</v>
      </c>
      <c r="D35" s="78">
        <f t="shared" si="0"/>
        <v>36</v>
      </c>
      <c r="E35" s="78" t="str">
        <f t="shared" si="1"/>
        <v>&lt;-- divisible</v>
      </c>
    </row>
    <row r="36" spans="2:5">
      <c r="C36" s="83">
        <f>C35+1</f>
        <v>73</v>
      </c>
      <c r="D36" s="78">
        <f t="shared" si="0"/>
        <v>36.5</v>
      </c>
      <c r="E36" s="78" t="str">
        <f t="shared" si="1"/>
        <v/>
      </c>
    </row>
    <row r="37" spans="2:5">
      <c r="C37" s="83">
        <f>C36+1</f>
        <v>74</v>
      </c>
      <c r="D37" s="78">
        <f t="shared" si="0"/>
        <v>37</v>
      </c>
      <c r="E37" s="78" t="str">
        <f t="shared" si="1"/>
        <v>&lt;-- divisible</v>
      </c>
    </row>
    <row r="39" spans="2:5">
      <c r="B39" s="82" t="s">
        <v>261</v>
      </c>
      <c r="C39" s="83">
        <f>_xlfn.XLOOKUP("&lt;-- divisible",E33:E37,C33:C37,"NOT FOUND", 0,1)</f>
        <v>70</v>
      </c>
      <c r="D39" s="78" t="s">
        <v>262</v>
      </c>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RowHeight="15"/>
  <cols>
    <col min="1" max="1" width="5.28515625" style="78" customWidth="1"/>
    <col min="2" max="16384" width="9.140625" style="78"/>
  </cols>
  <sheetData>
    <row r="2" spans="2:2" ht="23.25">
      <c r="B2" s="77" t="s">
        <v>263</v>
      </c>
    </row>
    <row r="3" spans="2:2" ht="23.25">
      <c r="B3" s="84"/>
    </row>
    <row r="28" spans="3:9" ht="15.75" thickBot="1"/>
    <row r="29" spans="3:9" ht="18.75" thickBot="1">
      <c r="C29" s="78" t="s">
        <v>249</v>
      </c>
      <c r="D29" s="79">
        <v>0.1</v>
      </c>
      <c r="E29" s="90" t="s">
        <v>283</v>
      </c>
    </row>
    <row r="30" spans="3:9" ht="18.75" thickBot="1">
      <c r="C30" s="78" t="s">
        <v>250</v>
      </c>
      <c r="D30" s="79">
        <v>0.01</v>
      </c>
      <c r="E30" s="78" t="s">
        <v>264</v>
      </c>
    </row>
    <row r="31" spans="3:9" ht="18.75" thickBot="1">
      <c r="C31" s="78" t="s">
        <v>265</v>
      </c>
      <c r="D31" s="79">
        <v>0.03</v>
      </c>
      <c r="E31" s="78" t="s">
        <v>266</v>
      </c>
    </row>
    <row r="32" spans="3:9">
      <c r="D32" s="85"/>
      <c r="F32" s="86"/>
      <c r="G32" s="86"/>
      <c r="H32" s="86"/>
      <c r="I32" s="86"/>
    </row>
    <row r="33" spans="3:9">
      <c r="D33" s="85"/>
      <c r="F33" s="86" t="s">
        <v>267</v>
      </c>
      <c r="G33" s="86" t="s">
        <v>268</v>
      </c>
      <c r="H33" s="86" t="s">
        <v>269</v>
      </c>
      <c r="I33" s="86" t="s">
        <v>270</v>
      </c>
    </row>
    <row r="34" spans="3:9" ht="18">
      <c r="C34" s="78" t="s">
        <v>251</v>
      </c>
      <c r="D34" s="87">
        <f>D29*D30</f>
        <v>1E-3</v>
      </c>
      <c r="E34" s="88" t="s">
        <v>271</v>
      </c>
      <c r="F34" s="87">
        <f>D34-D37</f>
        <v>9.7000000000000005E-4</v>
      </c>
      <c r="G34" s="87">
        <f>D29-F34-F36-D37</f>
        <v>9.6030000000000004E-2</v>
      </c>
      <c r="H34" s="89">
        <f>D37+SUM(F34:G36)</f>
        <v>0.13573000000000002</v>
      </c>
      <c r="I34" s="89">
        <f>1-H34</f>
        <v>0.86426999999999998</v>
      </c>
    </row>
    <row r="35" spans="3:9" ht="18">
      <c r="C35" s="78" t="s">
        <v>272</v>
      </c>
      <c r="D35" s="87">
        <f>D29*D31</f>
        <v>3.0000000000000001E-3</v>
      </c>
      <c r="E35" s="88" t="s">
        <v>273</v>
      </c>
      <c r="F35" s="87">
        <f>D36-D37</f>
        <v>2.6999999999999995E-4</v>
      </c>
      <c r="G35" s="87">
        <f>D30-F34-F35-D37</f>
        <v>8.7299999999999999E-3</v>
      </c>
      <c r="H35" s="87"/>
      <c r="I35" s="87"/>
    </row>
    <row r="36" spans="3:9" ht="18">
      <c r="C36" s="78" t="s">
        <v>274</v>
      </c>
      <c r="D36" s="87">
        <f>D30*D31</f>
        <v>2.9999999999999997E-4</v>
      </c>
      <c r="E36" s="88" t="s">
        <v>275</v>
      </c>
      <c r="F36" s="87">
        <f>D35-D37</f>
        <v>2.97E-3</v>
      </c>
      <c r="G36" s="87">
        <f>D31-F36-F35-D37</f>
        <v>2.673E-2</v>
      </c>
      <c r="H36" s="87"/>
      <c r="I36" s="87"/>
    </row>
    <row r="37" spans="3:9" ht="18">
      <c r="C37" s="78" t="s">
        <v>276</v>
      </c>
      <c r="D37" s="87">
        <f>D29*D30*D31</f>
        <v>3.0000000000000001E-5</v>
      </c>
      <c r="E37" s="88" t="s">
        <v>277</v>
      </c>
      <c r="F37" s="89">
        <f>SUM(F34:F36)</f>
        <v>4.2100000000000002E-3</v>
      </c>
      <c r="G37" s="89">
        <f>SUM(G34:G36)</f>
        <v>0.13149</v>
      </c>
      <c r="H37" s="87"/>
      <c r="I37" s="87"/>
    </row>
    <row r="39" spans="3:9" ht="18">
      <c r="C39" s="78" t="s">
        <v>278</v>
      </c>
      <c r="D39" s="87">
        <f>D29+D30+D31-D34-D35-D36+D37</f>
        <v>0.13573000000000002</v>
      </c>
      <c r="E39" s="78" t="s">
        <v>253</v>
      </c>
    </row>
    <row r="40" spans="3:9" ht="18">
      <c r="C40" s="78" t="s">
        <v>279</v>
      </c>
      <c r="D40" s="87">
        <f>1-D39</f>
        <v>0.86426999999999998</v>
      </c>
      <c r="E40" s="78" t="s">
        <v>255</v>
      </c>
    </row>
    <row r="41" spans="3:9" ht="15.75" thickBot="1"/>
    <row r="42" spans="3:9" ht="15.75" thickBot="1">
      <c r="D42" s="82" t="s">
        <v>280</v>
      </c>
      <c r="E42" s="79">
        <v>67</v>
      </c>
    </row>
    <row r="43" spans="3:9">
      <c r="D43" s="82" t="s">
        <v>256</v>
      </c>
      <c r="E43" s="81">
        <f>E42*D39</f>
        <v>9.093910000000001</v>
      </c>
    </row>
    <row r="44" spans="3:9">
      <c r="D44" s="82" t="s">
        <v>257</v>
      </c>
      <c r="E44" s="81">
        <f>E42/D40</f>
        <v>77.522070649218421</v>
      </c>
    </row>
    <row r="45" spans="3:9" ht="15.75" thickBot="1">
      <c r="C45" s="86"/>
    </row>
    <row r="46" spans="3:9" ht="15.75" thickBot="1">
      <c r="C46" s="82" t="s">
        <v>258</v>
      </c>
      <c r="D46" s="79">
        <v>2</v>
      </c>
      <c r="E46" s="78" t="s">
        <v>259</v>
      </c>
    </row>
    <row r="47" spans="3:9">
      <c r="C47" s="86"/>
    </row>
    <row r="48" spans="3:9">
      <c r="C48" s="82" t="s">
        <v>260</v>
      </c>
      <c r="D48" s="83">
        <f>CEILING(E44,1)</f>
        <v>78</v>
      </c>
      <c r="E48" s="78">
        <f>D48/$D$46</f>
        <v>39</v>
      </c>
      <c r="F48" s="78" t="str">
        <f>IF(E48-ROUND(E48,0)=0,"&lt;-- divisible","")</f>
        <v>&lt;-- divisible</v>
      </c>
    </row>
    <row r="49" spans="3:6">
      <c r="C49" s="86"/>
      <c r="D49" s="83">
        <f>D48+1</f>
        <v>79</v>
      </c>
      <c r="E49" s="78">
        <f t="shared" ref="E49:E52" si="0">D49/$D$46</f>
        <v>39.5</v>
      </c>
      <c r="F49" s="78" t="str">
        <f t="shared" ref="F49:F52" si="1">IF(E49-ROUND(E49,0)=0,"&lt;-- divisible","")</f>
        <v/>
      </c>
    </row>
    <row r="50" spans="3:6">
      <c r="D50" s="83">
        <f>D49+1</f>
        <v>80</v>
      </c>
      <c r="E50" s="78">
        <f t="shared" si="0"/>
        <v>40</v>
      </c>
      <c r="F50" s="78" t="str">
        <f t="shared" si="1"/>
        <v>&lt;-- divisible</v>
      </c>
    </row>
    <row r="51" spans="3:6">
      <c r="D51" s="83">
        <f>D50+1</f>
        <v>81</v>
      </c>
      <c r="E51" s="78">
        <f t="shared" si="0"/>
        <v>40.5</v>
      </c>
      <c r="F51" s="78" t="str">
        <f t="shared" si="1"/>
        <v/>
      </c>
    </row>
    <row r="52" spans="3:6">
      <c r="D52" s="83">
        <f>D51+1</f>
        <v>82</v>
      </c>
      <c r="E52" s="78">
        <f t="shared" si="0"/>
        <v>41</v>
      </c>
      <c r="F52" s="78" t="str">
        <f t="shared" si="1"/>
        <v>&lt;-- divisible</v>
      </c>
    </row>
    <row r="54" spans="3:6">
      <c r="C54" s="82" t="s">
        <v>261</v>
      </c>
      <c r="D54" s="83">
        <f>_xlfn.XLOOKUP("&lt;-- divisible",F48:F52,D48:D52,"NOT FOUND", 0,1)</f>
        <v>78</v>
      </c>
      <c r="E54" s="78" t="s">
        <v>262</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194</v>
      </c>
    </row>
    <row r="2" spans="2:15" ht="13.5"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168</v>
      </c>
    </row>
    <row r="7" spans="2:15" ht="15.75">
      <c r="B7" s="40" t="s">
        <v>169</v>
      </c>
    </row>
    <row r="8" spans="2:15" ht="15.7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8">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5"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8">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122</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40</v>
      </c>
      <c r="C14" s="7">
        <f>(C3+1)*C13^2*C10^2/(C3*C6^2)</f>
        <v>385.43237110883928</v>
      </c>
    </row>
    <row r="18" spans="2:5">
      <c r="E18" s="5"/>
    </row>
    <row r="19" spans="2:5" ht="14.25">
      <c r="C19" s="16" t="s">
        <v>63</v>
      </c>
      <c r="D19" s="16" t="s">
        <v>64</v>
      </c>
      <c r="E19" s="16" t="s">
        <v>66</v>
      </c>
    </row>
    <row r="20" spans="2:5">
      <c r="B20" s="1" t="s">
        <v>11</v>
      </c>
      <c r="C20" s="1">
        <f>CEILING(C11,1)</f>
        <v>3</v>
      </c>
      <c r="D20" s="1">
        <f>C20*C3</f>
        <v>3</v>
      </c>
      <c r="E20" s="1">
        <f>C20+D20</f>
        <v>6</v>
      </c>
    </row>
    <row r="26" spans="2:5" ht="18">
      <c r="B26" s="28" t="s">
        <v>123</v>
      </c>
    </row>
    <row r="27" spans="2:5" ht="20.25" customHeight="1"/>
    <row r="50" spans="2:7">
      <c r="G50" s="6"/>
    </row>
    <row r="51" spans="2:7">
      <c r="G51" s="6"/>
    </row>
    <row r="52" spans="2:7">
      <c r="G52" s="6"/>
    </row>
    <row r="53" spans="2:7">
      <c r="B53" s="9" t="s">
        <v>125</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122</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41</v>
      </c>
      <c r="C14" s="7">
        <f>2*C13^2*C10^2/(C6^2)</f>
        <v>1291.5811103807084</v>
      </c>
    </row>
    <row r="18" spans="2:5">
      <c r="E18" s="5"/>
    </row>
    <row r="19" spans="2:5">
      <c r="C19" s="9"/>
      <c r="D19" s="9"/>
    </row>
    <row r="20" spans="2:5">
      <c r="B20" s="1" t="s">
        <v>11</v>
      </c>
      <c r="C20" s="1">
        <f>CEILING(C11,1)</f>
        <v>3</v>
      </c>
    </row>
    <row r="26" spans="2:5" ht="18">
      <c r="B26" s="28" t="s">
        <v>123</v>
      </c>
    </row>
    <row r="27" spans="2:5" ht="20.25" customHeight="1"/>
    <row r="35" spans="2:2">
      <c r="B35" s="9" t="s">
        <v>125</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116</v>
      </c>
    </row>
    <row r="2" spans="2:5" ht="13.5" thickBot="1">
      <c r="C2" s="14"/>
      <c r="E2" s="9" t="s">
        <v>122</v>
      </c>
    </row>
    <row r="3" spans="2:5" ht="13.5" thickBot="1">
      <c r="B3" s="1" t="s">
        <v>1</v>
      </c>
      <c r="C3" s="2">
        <v>0.8</v>
      </c>
    </row>
    <row r="4" spans="2:5" ht="13.5" thickBot="1">
      <c r="B4" s="8" t="s">
        <v>59</v>
      </c>
      <c r="C4" s="2">
        <v>0.05</v>
      </c>
      <c r="D4" s="1" t="s">
        <v>20</v>
      </c>
    </row>
    <row r="5" spans="2:5" ht="16.5" thickBot="1">
      <c r="B5" s="1" t="s">
        <v>82</v>
      </c>
      <c r="C5" s="18">
        <v>0.1</v>
      </c>
      <c r="D5" s="1" t="s">
        <v>83</v>
      </c>
    </row>
    <row r="6" spans="2:5" ht="16.5" thickBot="1">
      <c r="B6" s="1" t="s">
        <v>85</v>
      </c>
      <c r="C6" s="18">
        <v>0.3</v>
      </c>
      <c r="D6" s="1" t="s">
        <v>87</v>
      </c>
    </row>
    <row r="7" spans="2:5" ht="13.5" thickBot="1">
      <c r="C7" s="4"/>
    </row>
    <row r="8" spans="2:5" ht="13.5" thickBot="1">
      <c r="B8" s="12" t="s">
        <v>17</v>
      </c>
      <c r="C8" s="19">
        <f>C6-C5</f>
        <v>0.19999999999999998</v>
      </c>
      <c r="D8" s="1" t="s">
        <v>84</v>
      </c>
    </row>
    <row r="10" spans="2:5" ht="15.75">
      <c r="B10" s="1" t="s">
        <v>111</v>
      </c>
      <c r="C10" s="1">
        <v>5</v>
      </c>
      <c r="D10" s="1" t="s">
        <v>86</v>
      </c>
    </row>
    <row r="11" spans="2:5">
      <c r="B11" s="1" t="s">
        <v>0</v>
      </c>
      <c r="C11" s="7">
        <v>3</v>
      </c>
    </row>
    <row r="18" spans="2:5">
      <c r="B18" s="1" t="s">
        <v>58</v>
      </c>
      <c r="C18" s="1">
        <v>0.80651155791193363</v>
      </c>
      <c r="E18" s="5"/>
    </row>
    <row r="19" spans="2:5">
      <c r="C19" s="16"/>
      <c r="D19" s="16"/>
      <c r="E19" s="16"/>
    </row>
    <row r="20" spans="2:5">
      <c r="B20" s="1" t="s">
        <v>11</v>
      </c>
      <c r="C20" s="1">
        <f>CEILING(C11,1)</f>
        <v>3</v>
      </c>
      <c r="D20" s="1" t="s">
        <v>129</v>
      </c>
    </row>
    <row r="21" spans="2:5">
      <c r="B21" s="1" t="s">
        <v>112</v>
      </c>
      <c r="C21" s="1">
        <f>C10</f>
        <v>5</v>
      </c>
      <c r="D21" s="1" t="s">
        <v>114</v>
      </c>
    </row>
    <row r="23" spans="2:5">
      <c r="D23" s="9" t="s">
        <v>121</v>
      </c>
    </row>
    <row r="25" spans="2:5" ht="20.25" customHeight="1">
      <c r="B25" s="1" t="s">
        <v>113</v>
      </c>
    </row>
    <row r="26" spans="2:5">
      <c r="B26" s="1" t="s">
        <v>88</v>
      </c>
    </row>
    <row r="28" spans="2:5" ht="15.75">
      <c r="B28" s="1" t="s">
        <v>115</v>
      </c>
    </row>
    <row r="29" spans="2:5">
      <c r="D29" s="9"/>
    </row>
    <row r="30" spans="2:5" ht="18">
      <c r="B30" s="28" t="s">
        <v>123</v>
      </c>
    </row>
    <row r="39" spans="2:7">
      <c r="B39" s="9" t="s">
        <v>128</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125</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90</v>
      </c>
    </row>
    <row r="3" spans="2:4" ht="18.75" customHeight="1" thickBot="1">
      <c r="B3" s="21" t="s">
        <v>91</v>
      </c>
    </row>
    <row r="4" spans="2:4">
      <c r="B4" s="1" t="s">
        <v>92</v>
      </c>
      <c r="C4" s="22">
        <v>1.0308417465824675</v>
      </c>
      <c r="D4" s="1" t="s">
        <v>93</v>
      </c>
    </row>
    <row r="5" spans="2:4">
      <c r="B5" s="1" t="s">
        <v>94</v>
      </c>
      <c r="C5" s="23">
        <v>0.92586500000000005</v>
      </c>
      <c r="D5" s="1" t="s">
        <v>95</v>
      </c>
    </row>
    <row r="6" spans="2:4">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25">
      <c r="B18" s="20" t="s">
        <v>109</v>
      </c>
      <c r="C18" s="26">
        <f>(C15+C16)/2</f>
        <v>48.233977696776819</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2023-01-26T21:41:10Z</dcterms:modified>
  <cp:category>Sample Size Estimation</cp:category>
</cp:coreProperties>
</file>