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embeddings/oleObject1.bin" ContentType="application/vnd.openxmlformats-officedocument.oleObject"/>
  <Override PartName="/xl/drawings/drawing14.xml" ContentType="application/vnd.openxmlformats-officedocument.drawing+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3/Section 2.3 - Sample Size/"/>
    </mc:Choice>
  </mc:AlternateContent>
  <xr:revisionPtr revIDLastSave="24" documentId="13_ncr:1_{F1364C2D-9FB4-4296-9DA9-C50109BEB799}" xr6:coauthVersionLast="47" xr6:coauthVersionMax="47" xr10:uidLastSave="{C8709C44-6970-44FF-ABB4-7E6FF390F906}"/>
  <bookViews>
    <workbookView xWindow="-120" yWindow="-120" windowWidth="25440" windowHeight="1539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Dropouts - 2 rates" sheetId="29" r:id="rId11"/>
    <sheet name="Dropouts - 3 rates" sheetId="30" r:id="rId12"/>
    <sheet name="Scaled BE - HVD" sheetId="26" r:id="rId13"/>
    <sheet name="Given Precision, Parallel" sheetId="17" r:id="rId14"/>
    <sheet name="Given Precision, Crossover" sheetId="18" r:id="rId15"/>
    <sheet name="Difference Between Proportions" sheetId="23" r:id="rId16"/>
    <sheet name="Variance Correction" sheetId="19" r:id="rId17"/>
    <sheet name="ISV" sheetId="24" state="hidden" r:id="rId1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39" i="30" l="1"/>
  <c r="E43" i="30" s="1"/>
  <c r="D37" i="30"/>
  <c r="D36" i="30"/>
  <c r="F35" i="30"/>
  <c r="D35" i="30"/>
  <c r="F36" i="30" s="1"/>
  <c r="F34" i="30"/>
  <c r="F37" i="30" s="1"/>
  <c r="D34" i="30"/>
  <c r="C22" i="29"/>
  <c r="C25" i="29" s="1"/>
  <c r="C8" i="1"/>
  <c r="O20" i="28"/>
  <c r="C20"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AD16" i="8"/>
  <c r="AD17" i="8"/>
  <c r="U19" i="27"/>
  <c r="V18" i="27"/>
  <c r="AD24" i="8"/>
  <c r="AD25" i="8"/>
  <c r="AD27" i="8"/>
  <c r="AD28" i="8"/>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8"/>
  <c r="C17" i="7"/>
  <c r="C17" i="12"/>
  <c r="C17" i="13"/>
  <c r="C17" i="28"/>
  <c r="C17" i="11"/>
  <c r="C16" i="12"/>
  <c r="C16" i="1"/>
  <c r="C16" i="28"/>
  <c r="C17" i="14"/>
  <c r="C16" i="11"/>
  <c r="C17" i="1"/>
  <c r="C16" i="27"/>
  <c r="C17" i="27"/>
  <c r="C24" i="29" l="1"/>
  <c r="D28" i="29" s="1"/>
  <c r="D29" i="29"/>
  <c r="C33" i="29" s="1"/>
  <c r="G36" i="30"/>
  <c r="G34" i="30"/>
  <c r="G37" i="30" s="1"/>
  <c r="G35" i="30"/>
  <c r="D40" i="30"/>
  <c r="E44" i="30" s="1"/>
  <c r="D48" i="30" s="1"/>
  <c r="C18" i="27"/>
  <c r="C18" i="11"/>
  <c r="C18" i="14"/>
  <c r="C18" i="28"/>
  <c r="C18" i="1"/>
  <c r="C18" i="12"/>
  <c r="C18" i="13"/>
  <c r="C18" i="7"/>
  <c r="C18" i="8"/>
  <c r="D49" i="30" l="1"/>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<sst xmlns="http://schemas.openxmlformats.org/spreadsheetml/2006/main" count="1043" uniqueCount="284">
  <si>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</si>
  <si>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</si>
  <si>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</si>
  <si>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</si>
  <si>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</si>
  <si>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</si>
  <si>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</si>
  <si>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</si>
  <si>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</si>
  <si>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</si>
  <si>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</si>
  <si>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</si>
  <si>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</si>
  <si>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</si>
  <si>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</si>
  <si>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</si>
  <si>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</si>
  <si>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</si>
  <si>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</si>
  <si>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</si>
  <si>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</si>
  <si>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</si>
  <si>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</si>
  <si>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</si>
  <si>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</si>
  <si>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</si>
  <si>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</si>
  <si>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</si>
  <si>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</si>
  <si>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</si>
  <si>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</si>
  <si>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</si>
  <si>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</si>
  <si>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</si>
  <si>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</si>
  <si>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</si>
  <si>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</si>
  <si>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</si>
  <si>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</si>
  <si>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</si>
  <si>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</si>
  <si>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</si>
  <si>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</si>
  <si>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</si>
  <si>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</si>
  <si>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</si>
  <si>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</si>
  <si>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</si>
  <si>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</si>
  <si>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</si>
  <si>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</si>
  <si>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</si>
  <si>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</si>
  <si>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</si>
  <si>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</si>
  <si>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</si>
  <si>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</si>
  <si>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</si>
  <si>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</si>
  <si>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</si>
  <si>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</si>
  <si>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</si>
  <si>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</si>
  <si>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</si>
  <si>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</si>
  <si>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</si>
  <si>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</si>
  <si>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</si>
  <si>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</si>
  <si>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</si>
  <si>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</si>
  <si>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</si>
  <si>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</si>
  <si>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</si>
  <si>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</si>
  <si>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</si>
  <si>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</si>
  <si>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</si>
  <si>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</si>
  <si>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</si>
  <si>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</si>
  <si>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</si>
  <si>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</si>
  <si>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</si>
  <si>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</si>
  <si>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</si>
  <si>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</si>
  <si>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</si>
  <si>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</si>
  <si>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</si>
  <si>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</si>
  <si>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</si>
  <si>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</si>
  <si>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</si>
  <si>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</si>
  <si>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</si>
  <si>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</si>
  <si>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</si>
  <si>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</si>
  <si>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</si>
  <si>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</si>
  <si>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</si>
  <si>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</si>
  <si>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</si>
  <si>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</si>
  <si>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</si>
  <si>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</si>
  <si>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</si>
  <si>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</si>
  <si>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</si>
  <si>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</si>
  <si>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</si>
  <si>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</si>
  <si>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</si>
  <si>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</si>
  <si>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</si>
  <si>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</si>
  <si>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</si>
  <si>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</si>
  <si>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</si>
  <si>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</si>
  <si>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</si>
  <si>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</si>
  <si>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</si>
  <si>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</si>
  <si>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</si>
  <si>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</si>
  <si>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</si>
  <si>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</si>
  <si>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</si>
  <si>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</si>
  <si>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</si>
  <si>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</si>
  <si>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</si>
  <si>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</si>
  <si>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</si>
  <si>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</si>
  <si>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</si>
  <si>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</si>
  <si>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</si>
  <si>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</si>
  <si>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</si>
  <si>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</si>
  <si>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</si>
  <si>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</si>
  <si>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</si>
  <si>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</si>
  <si>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</si>
  <si>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</si>
  <si>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</si>
  <si>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</si>
  <si>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</si>
  <si>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</si>
  <si>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</si>
  <si>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</si>
  <si>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</si>
  <si>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</si>
  <si>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</si>
  <si>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</si>
  <si>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</si>
  <si>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</si>
  <si>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</si>
  <si>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</si>
  <si>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</si>
  <si>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</si>
  <si>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</si>
  <si>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</si>
  <si>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</si>
  <si>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</si>
  <si>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</si>
  <si>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</si>
  <si>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</si>
  <si>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</si>
  <si>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</si>
  <si>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</si>
  <si>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</si>
  <si>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</si>
  <si>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</si>
  <si>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</si>
  <si>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</si>
  <si>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</si>
  <si>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</si>
  <si>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</si>
  <si>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</si>
  <si>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</si>
  <si>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</si>
  <si>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</si>
  <si>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</si>
  <si>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</si>
  <si>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</si>
  <si>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</si>
  <si>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</si>
  <si>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</si>
  <si>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</si>
  <si>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</si>
  <si>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</si>
  <si>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</si>
  <si>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</si>
  <si>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</si>
  <si>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</si>
  <si>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</si>
  <si>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</si>
  <si>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</si>
  <si>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</si>
  <si>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</si>
  <si>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</si>
  <si>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</si>
  <si>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</si>
  <si>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</si>
  <si>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</si>
  <si>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</si>
  <si>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</si>
  <si>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</si>
  <si>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</si>
  <si>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</si>
  <si>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</si>
  <si>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</si>
  <si>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</si>
  <si>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</si>
  <si>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</si>
  <si>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</si>
  <si>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</si>
  <si>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</si>
  <si>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</si>
  <si>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</si>
  <si>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</si>
  <si>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</si>
  <si>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</si>
  <si>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</si>
  <si>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</si>
  <si>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</si>
  <si>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</si>
  <si>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</si>
  <si>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</si>
  <si>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</si>
  <si>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</si>
  <si>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</si>
  <si>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</si>
  <si>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</si>
  <si>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</si>
  <si>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</si>
  <si>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</si>
  <si>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</si>
  <si>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</si>
  <si>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</si>
  <si>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</si>
  <si>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</si>
  <si>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</si>
  <si>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</si>
  <si>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</si>
  <si>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</si>
  <si>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</si>
  <si>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</si>
  <si>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</si>
  <si>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</si>
  <si>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</si>
  <si>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</si>
  <si>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</si>
  <si>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</si>
  <si>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</si>
  <si>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</si>
  <si>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</si>
  <si>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</si>
  <si>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</si>
  <si>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Background dropout probability. Use 0.1 for a 2WXO, 0.15 for a semi-replicate or long half-life 2WXO.</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</si>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</sst>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58">
    <font>
      <sz val="10"/>
      <name val="Arial"/>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3">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s>
  <cellStyleXfs count="5">
    <xf numFmtId="0" fontId="0" fillId="0" borderId="0"/>
    <xf numFmtId="0" fontId="18" fillId="0" borderId="0" applyNumberFormat="0" applyFill="0" applyBorder="0" applyAlignment="0" applyProtection="0">
      <alignment vertical="top"/>
      <protection locked="0"/>
    </xf>
    <xf numFmtId="9" fontId="2" fillId="0" borderId="0" applyFont="0" applyFill="0" applyBorder="0" applyAlignment="0" applyProtection="0"/>
    <xf numFmtId="43" fontId="38" fillId="0" borderId="0" applyFont="0" applyFill="0" applyBorder="0" applyAlignment="0" applyProtection="0"/>
    <xf numFmtId="0" fontId="1" fillId="0" borderId="0"/>
  </cellStyleXfs>
  <cellXfs count="91">
    <xf numFmtId="0" fontId="0" fillId="0" borderId="0" xfId="0"/>
    <xf numFmtId="0" fontId="0" fillId="2" borderId="0" xfId="0" applyFill="1"/>
    <xf numFmtId="9" fontId="6" fillId="2" borderId="1" xfId="0" applyNumberFormat="1" applyFont="1" applyFill="1" applyBorder="1"/>
    <xf numFmtId="0" fontId="6" fillId="2" borderId="1" xfId="0" applyFont="1" applyFill="1" applyBorder="1"/>
    <xf numFmtId="9" fontId="8" fillId="2" borderId="0" xfId="0" applyNumberFormat="1" applyFont="1" applyFill="1"/>
    <xf numFmtId="9" fontId="0" fillId="2" borderId="0" xfId="0" applyNumberFormat="1" applyFill="1"/>
    <xf numFmtId="0" fontId="7" fillId="2" borderId="0" xfId="0" applyFont="1" applyFill="1"/>
    <xf numFmtId="0" fontId="8" fillId="2" borderId="0" xfId="0" applyFont="1" applyFill="1"/>
    <xf numFmtId="0" fontId="10" fillId="2" borderId="0" xfId="0" applyFont="1" applyFill="1"/>
    <xf numFmtId="0" fontId="4" fillId="2" borderId="0" xfId="0" applyFont="1" applyFill="1"/>
    <xf numFmtId="0" fontId="6" fillId="2" borderId="0" xfId="0" applyFont="1" applyFill="1"/>
    <xf numFmtId="0" fontId="0" fillId="2" borderId="1" xfId="0" applyFill="1" applyBorder="1"/>
    <xf numFmtId="0" fontId="9" fillId="2" borderId="0" xfId="0" applyFont="1" applyFill="1"/>
    <xf numFmtId="164" fontId="6" fillId="2" borderId="1" xfId="0" applyNumberFormat="1" applyFont="1" applyFill="1" applyBorder="1"/>
    <xf numFmtId="9" fontId="6" fillId="2" borderId="0" xfId="0" applyNumberFormat="1" applyFont="1" applyFill="1"/>
    <xf numFmtId="0" fontId="5" fillId="2" borderId="0" xfId="0" applyFont="1" applyFill="1"/>
    <xf numFmtId="0" fontId="4" fillId="2" borderId="0" xfId="0" applyFont="1" applyFill="1" applyAlignment="1">
      <alignment horizontal="right"/>
    </xf>
    <xf numFmtId="0" fontId="16" fillId="2" borderId="0" xfId="0" applyFont="1" applyFill="1"/>
    <xf numFmtId="9" fontId="6" fillId="2" borderId="1" xfId="2" applyFont="1" applyFill="1" applyBorder="1"/>
    <xf numFmtId="9" fontId="0" fillId="2" borderId="1" xfId="2" applyFont="1" applyFill="1" applyBorder="1"/>
    <xf numFmtId="0" fontId="19" fillId="2" borderId="0" xfId="0" applyFont="1" applyFill="1"/>
    <xf numFmtId="0" fontId="20" fillId="2" borderId="0" xfId="0" applyFont="1" applyFill="1"/>
    <xf numFmtId="0" fontId="6" fillId="2" borderId="2" xfId="2" applyNumberFormat="1" applyFont="1" applyFill="1" applyBorder="1"/>
    <xf numFmtId="0" fontId="6" fillId="2" borderId="3" xfId="2" applyNumberFormat="1" applyFont="1" applyFill="1" applyBorder="1"/>
    <xf numFmtId="0" fontId="6" fillId="2" borderId="3" xfId="0" applyFont="1" applyFill="1" applyBorder="1"/>
    <xf numFmtId="0" fontId="21" fillId="2" borderId="0" xfId="0" applyFont="1" applyFill="1"/>
    <xf numFmtId="165" fontId="22" fillId="2" borderId="0" xfId="0" applyNumberFormat="1" applyFont="1" applyFill="1"/>
    <xf numFmtId="2" fontId="22" fillId="2" borderId="0" xfId="0" applyNumberFormat="1" applyFont="1" applyFill="1"/>
    <xf numFmtId="0" fontId="24" fillId="2" borderId="0" xfId="0" applyFont="1" applyFill="1"/>
    <xf numFmtId="9" fontId="28" fillId="2" borderId="1" xfId="0" applyNumberFormat="1" applyFont="1" applyFill="1" applyBorder="1"/>
    <xf numFmtId="0" fontId="28" fillId="2" borderId="1" xfId="0" applyFont="1" applyFill="1" applyBorder="1"/>
    <xf numFmtId="0" fontId="29" fillId="2" borderId="0" xfId="0" applyFont="1" applyFill="1"/>
    <xf numFmtId="164" fontId="0" fillId="2" borderId="0" xfId="0" applyNumberFormat="1" applyFill="1"/>
    <xf numFmtId="0" fontId="18" fillId="2" borderId="0" xfId="1" applyFill="1" applyAlignment="1" applyProtection="1"/>
    <xf numFmtId="164" fontId="28" fillId="2" borderId="1" xfId="0" applyNumberFormat="1" applyFont="1" applyFill="1" applyBorder="1"/>
    <xf numFmtId="166" fontId="0" fillId="2" borderId="0" xfId="0" applyNumberFormat="1" applyFill="1"/>
    <xf numFmtId="0" fontId="30" fillId="2" borderId="0" xfId="0" applyFont="1" applyFill="1"/>
    <xf numFmtId="0" fontId="5" fillId="2" borderId="0" xfId="0" applyFont="1" applyFill="1" applyAlignment="1">
      <alignment horizontal="left"/>
    </xf>
    <xf numFmtId="0" fontId="5" fillId="2" borderId="4" xfId="0" applyFont="1" applyFill="1" applyBorder="1"/>
    <xf numFmtId="0" fontId="0" fillId="2" borderId="4" xfId="0" applyFill="1" applyBorder="1"/>
    <xf numFmtId="0" fontId="31" fillId="2" borderId="0" xfId="0" applyFont="1" applyFill="1"/>
    <xf numFmtId="0" fontId="31" fillId="2" borderId="4" xfId="0" applyFont="1" applyFill="1" applyBorder="1"/>
    <xf numFmtId="0" fontId="18" fillId="3" borderId="0" xfId="1" applyFill="1" applyAlignment="1" applyProtection="1"/>
    <xf numFmtId="10" fontId="6" fillId="2" borderId="1" xfId="0" applyNumberFormat="1" applyFont="1" applyFill="1" applyBorder="1"/>
    <xf numFmtId="0" fontId="2" fillId="2" borderId="0" xfId="0" applyFont="1" applyFill="1"/>
    <xf numFmtId="10" fontId="28" fillId="2" borderId="1" xfId="0" applyNumberFormat="1" applyFont="1" applyFill="1" applyBorder="1"/>
    <xf numFmtId="167" fontId="0" fillId="2" borderId="0" xfId="0" applyNumberFormat="1" applyFill="1"/>
    <xf numFmtId="0" fontId="36" fillId="2" borderId="0" xfId="0" applyFont="1" applyFill="1"/>
    <xf numFmtId="0" fontId="37" fillId="2" borderId="0" xfId="0" applyFont="1" applyFill="1"/>
    <xf numFmtId="0" fontId="6" fillId="2" borderId="1" xfId="3" applyNumberFormat="1" applyFont="1" applyFill="1" applyBorder="1"/>
    <xf numFmtId="10" fontId="0" fillId="2" borderId="0" xfId="0" applyNumberFormat="1" applyFill="1"/>
    <xf numFmtId="0" fontId="39" fillId="2" borderId="0" xfId="0" applyFont="1" applyFill="1"/>
    <xf numFmtId="10" fontId="40" fillId="2" borderId="0" xfId="0" applyNumberFormat="1" applyFont="1" applyFill="1"/>
    <xf numFmtId="167" fontId="39" fillId="2" borderId="0" xfId="0" applyNumberFormat="1" applyFont="1" applyFill="1"/>
    <xf numFmtId="0" fontId="40" fillId="2" borderId="0" xfId="0" applyFont="1" applyFill="1"/>
    <xf numFmtId="164" fontId="39" fillId="2" borderId="0" xfId="0" applyNumberFormat="1" applyFont="1" applyFill="1"/>
    <xf numFmtId="0" fontId="32" fillId="4" borderId="5" xfId="0" applyFont="1" applyFill="1" applyBorder="1"/>
    <xf numFmtId="0" fontId="0" fillId="4" borderId="6" xfId="0" applyFill="1" applyBorder="1"/>
    <xf numFmtId="0" fontId="0" fillId="4" borderId="7" xfId="0" applyFill="1" applyBorder="1"/>
    <xf numFmtId="0" fontId="41" fillId="4" borderId="8" xfId="0" applyFont="1" applyFill="1" applyBorder="1"/>
    <xf numFmtId="0" fontId="2" fillId="4" borderId="9" xfId="0" applyFont="1" applyFill="1" applyBorder="1"/>
    <xf numFmtId="0" fontId="41" fillId="4" borderId="10" xfId="0" applyFont="1" applyFill="1" applyBorder="1"/>
    <xf numFmtId="164" fontId="42" fillId="4" borderId="4" xfId="2" applyNumberFormat="1" applyFont="1" applyFill="1" applyBorder="1"/>
    <xf numFmtId="0" fontId="0" fillId="4" borderId="11" xfId="0" applyFill="1" applyBorder="1"/>
    <xf numFmtId="164" fontId="28" fillId="3" borderId="1" xfId="0" applyNumberFormat="1" applyFont="1" applyFill="1" applyBorder="1"/>
    <xf numFmtId="0" fontId="0" fillId="5" borderId="0" xfId="0" applyFill="1"/>
    <xf numFmtId="0" fontId="15" fillId="5" borderId="0" xfId="0" applyFont="1" applyFill="1"/>
    <xf numFmtId="0" fontId="32" fillId="5" borderId="0" xfId="0" applyFont="1" applyFill="1" applyAlignment="1">
      <alignment horizontal="right" vertical="top"/>
    </xf>
    <xf numFmtId="0" fontId="17" fillId="5" borderId="0" xfId="0" applyFont="1" applyFill="1"/>
    <xf numFmtId="0" fontId="2" fillId="5" borderId="0" xfId="0" applyFont="1" applyFill="1"/>
    <xf numFmtId="0" fontId="6" fillId="5" borderId="0" xfId="0" applyFont="1" applyFill="1"/>
    <xf numFmtId="0" fontId="26" fillId="5" borderId="0" xfId="1" applyFont="1" applyFill="1" applyAlignment="1" applyProtection="1"/>
    <xf numFmtId="0" fontId="25" fillId="5" borderId="0" xfId="0" applyFont="1" applyFill="1"/>
    <xf numFmtId="0" fontId="4" fillId="5" borderId="0" xfId="0" applyFont="1" applyFill="1"/>
    <xf numFmtId="0" fontId="3" fillId="5" borderId="0" xfId="0" applyFont="1" applyFill="1"/>
    <xf numFmtId="0" fontId="27" fillId="5" borderId="0" xfId="1" applyFont="1" applyFill="1" applyAlignment="1" applyProtection="1"/>
    <xf numFmtId="0" fontId="41" fillId="2" borderId="0" xfId="0" applyFont="1" applyFill="1"/>
    <xf numFmtId="0" fontId="3" fillId="5" borderId="0" xfId="0" applyFont="1" applyFill="1" applyAlignment="1">
      <alignment horizontal="left" vertical="top" wrapText="1"/>
    </xf>
    <xf numFmtId="0" fontId="48" fillId="3" borderId="0" xfId="4" applyFont="1" applyFill="1"/>
    <xf numFmtId="0" fontId="1" fillId="3" borderId="0" xfId="4" applyFill="1"/>
    <xf numFmtId="0" fontId="50" fillId="3" borderId="1" xfId="4" applyFont="1" applyFill="1" applyBorder="1"/>
    <xf numFmtId="0" fontId="50" fillId="3" borderId="12" xfId="4" applyFont="1" applyFill="1" applyBorder="1"/>
    <xf numFmtId="0" fontId="52" fillId="3" borderId="0" xfId="4" applyFont="1" applyFill="1"/>
    <xf numFmtId="0" fontId="47" fillId="3" borderId="0" xfId="4" applyFont="1" applyFill="1" applyAlignment="1">
      <alignment horizontal="right"/>
    </xf>
    <xf numFmtId="0" fontId="53" fillId="3" borderId="0" xfId="4" applyFont="1" applyFill="1"/>
    <xf numFmtId="0" fontId="54" fillId="3" borderId="0" xfId="4" applyFont="1" applyFill="1"/>
    <xf numFmtId="0" fontId="50" fillId="3" borderId="0" xfId="4" applyFont="1" applyFill="1"/>
    <xf numFmtId="0" fontId="47" fillId="3" borderId="0" xfId="4" applyFont="1" applyFill="1"/>
    <xf numFmtId="0" fontId="55" fillId="3" borderId="0" xfId="4" applyFont="1" applyFill="1"/>
    <xf numFmtId="0" fontId="1" fillId="3" borderId="0" xfId="4" applyFill="1" applyAlignment="1">
      <alignment horizontal="right"/>
    </xf>
    <xf numFmtId="0" fontId="56" fillId="3" borderId="0" xfId="4" applyFont="1" applyFill="1"/>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3.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5.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58</xdr:row>
      <xdr:rowOff>40105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421938" y="1246439"/>
          <a:ext cx="4946484" cy="862614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CBDE4113-5951-40D5-81B1-6CA88905D668}"/>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708BA9DC-42AD-4B66-B701-119EFC17D879}"/>
            </a:ext>
          </a:extLst>
        </xdr:cNvPr>
        <xdr:cNvSpPr/>
      </xdr:nvSpPr>
      <xdr:spPr>
        <a:xfrm>
          <a:off x="619125" y="847725"/>
          <a:ext cx="2676525"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FCE63EA4-7FF4-4EF1-8F5A-41F44B221D85}"/>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8E68A71-8CE8-4E80-ABBB-5E29E1F42AD6}"/>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2FEA8877-7E76-427D-B978-BA0389D41787}"/>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BCFA03F9-DDB4-4F4D-AE83-CC1E643384BE}"/>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10D3F290-254F-4519-85E0-3E9BCD4F1F3E}"/>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EFFB632B-541C-441B-8399-C1CA9469F41F}"/>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34A05F91-3AE6-4929-8D2E-0450A11FA5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161926</xdr:colOff>
      <xdr:row>18</xdr:row>
      <xdr:rowOff>38100</xdr:rowOff>
    </xdr:from>
    <xdr:to>
      <xdr:col>10</xdr:col>
      <xdr:colOff>219075</xdr:colOff>
      <xdr:row>29</xdr:row>
      <xdr:rowOff>161925</xdr:rowOff>
    </xdr:to>
    <xdr:sp macro="" textlink="">
      <xdr:nvSpPr>
        <xdr:cNvPr id="11" name="TextBox 10">
          <a:extLst>
            <a:ext uri="{FF2B5EF4-FFF2-40B4-BE49-F238E27FC236}">
              <a16:creationId xmlns:a16="http://schemas.microsoft.com/office/drawing/2014/main" id="{24FC9E44-4906-CB1D-3B65-0DB6B9FB400B}"/>
            </a:ext>
          </a:extLst>
        </xdr:cNvPr>
        <xdr:cNvSpPr txBox="1"/>
      </xdr:nvSpPr>
      <xdr:spPr>
        <a:xfrm>
          <a:off x="2990851" y="3571875"/>
          <a:ext cx="3105149" cy="245745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independents happening together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endParaRPr lang="en-CA" sz="100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will drop out of a clinical study (e.g. 10%) and a different chance that they will be removed due to a specific adverse event (e.g. 20%), then the total dropout rate would NOT be 30%. It would be equal to pA + pB - pA</a:t>
          </a:r>
          <a:r>
            <a:rPr lang="en-CA" sz="1000">
              <a:solidFill>
                <a:schemeClr val="dk1"/>
              </a:solidFill>
              <a:latin typeface="+mn-lt"/>
              <a:ea typeface="+mn-ea"/>
              <a:cs typeface="+mn-cs"/>
              <a:sym typeface="Symbol" panose="05050102010706020507" pitchFamily="18" charset="2"/>
            </a:rPr>
            <a:t></a:t>
          </a:r>
          <a:r>
            <a:rPr lang="en-CA" sz="1000">
              <a:solidFill>
                <a:schemeClr val="dk1"/>
              </a:solidFill>
              <a:latin typeface="+mn-lt"/>
              <a:ea typeface="+mn-ea"/>
              <a:cs typeface="+mn-cs"/>
            </a:rPr>
            <a:t>B. </a:t>
          </a:r>
        </a:p>
        <a:p>
          <a:pPr marL="0" marR="0" lvl="0" indent="0" defTabSz="914400" eaLnBrk="1" fontAlgn="auto" latinLnBrk="0" hangingPunct="1">
            <a:lnSpc>
              <a:spcPct val="100000"/>
            </a:lnSpc>
            <a:spcBef>
              <a:spcPts val="0"/>
            </a:spcBef>
            <a:spcAft>
              <a:spcPts val="0"/>
            </a:spcAft>
            <a:buClrTx/>
            <a:buSzTx/>
            <a:buFontTx/>
            <a:buNone/>
            <a:tabLst/>
            <a:defRPr/>
          </a:pPr>
          <a:endParaRPr lang="en-CA" sz="100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increases the number of completed subjects to properly account for dropouts using the formula #Completed/(1-Total Dropout Rate).</a:t>
          </a:r>
        </a:p>
        <a:p>
          <a:pPr marL="0" indent="0"/>
          <a:endParaRPr lang="en-CA" sz="1000">
            <a:solidFill>
              <a:schemeClr val="dk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CE482FDA-1F3B-46DC-9271-2963CC135923}"/>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C5FB3ABE-9C4E-4EC9-9E27-D0B9F1CB74BC}"/>
            </a:ext>
          </a:extLst>
        </xdr:cNvPr>
        <xdr:cNvSpPr/>
      </xdr:nvSpPr>
      <xdr:spPr>
        <a:xfrm>
          <a:off x="1190625" y="1333500"/>
          <a:ext cx="2676525"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6B342648-3A45-4315-9194-6D852557B5B4}"/>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F9D63BB6-A2D4-48DF-BBEE-360CDF7EE8E5}"/>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713E85A3-C539-4B89-8468-B34AEFC01197}"/>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54E9B34A-C8DC-419C-90E5-9A2ED841BD04}"/>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58D6C2B8-96EE-4ABC-9CD8-3A3CAF270AC1}"/>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25491547-A969-4BEE-938F-94CFC2D50CCF}"/>
            </a:ext>
          </a:extLst>
        </xdr:cNvPr>
        <xdr:cNvSpPr/>
      </xdr:nvSpPr>
      <xdr:spPr>
        <a:xfrm>
          <a:off x="1762125" y="2428875"/>
          <a:ext cx="2724150" cy="2381250"/>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1CAFB9DD-5147-4067-909A-AFDDD73EBC7B}"/>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B207E920-9590-46CF-9B99-A293DC06F3C2}"/>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A57235F-AB8B-48F6-9268-D3197A9530B7}"/>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2DAD6D3D-2C46-4ECD-B11E-99993C8135E1}"/>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18098E6A-F3AF-47D2-A3E1-262713AC8AD3}"/>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F907F673-87EC-4616-B82A-43E81284EB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98D78F7-EB63-489C-A57E-242549E7829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6C92773E-A353-433A-8E00-CF406950CA44}"/>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3.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282</v>
      </c>
    </row>
    <row r="3" spans="2:9" ht="20.25">
      <c r="C3" s="66" t="s">
        <v>242</v>
      </c>
    </row>
    <row r="4" spans="2:9">
      <c r="B4" s="68" t="s">
        <v>80</v>
      </c>
    </row>
    <row r="6" spans="2:9">
      <c r="B6" s="69" t="s">
        <v>283</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77" t="s">
        <v>130</v>
      </c>
      <c r="C30" s="77"/>
      <c r="D30" s="77"/>
      <c r="E30" s="77"/>
      <c r="F30" s="77"/>
      <c r="G30" s="77"/>
      <c r="H30" s="77"/>
      <c r="I30" s="77"/>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3"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3"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28</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26</v>
      </c>
      <c r="U12" s="44"/>
    </row>
    <row r="13" spans="2:31">
      <c r="B13" s="1" t="s">
        <v>8</v>
      </c>
      <c r="C13" s="1">
        <f>TINV(C4*2,C12)</f>
        <v>1.7056179197592738</v>
      </c>
      <c r="Y13" s="1" t="b">
        <v>0</v>
      </c>
      <c r="AC13" s="1" t="b">
        <v>1</v>
      </c>
    </row>
    <row r="14" spans="2:31">
      <c r="B14" s="1" t="s">
        <v>3</v>
      </c>
      <c r="C14" s="1">
        <f>(SQRT(C11)*(LN(C6)-LN(C8)))/(SQRT(2*C10^2))</f>
        <v>-4.1704403673383288</v>
      </c>
      <c r="U14" s="44" t="s">
        <v>205</v>
      </c>
      <c r="V14" s="44" t="s">
        <v>227</v>
      </c>
      <c r="W14" s="44"/>
      <c r="Y14" s="9" t="s">
        <v>220</v>
      </c>
      <c r="AC14" s="9" t="s">
        <v>222</v>
      </c>
    </row>
    <row r="15" spans="2:31">
      <c r="B15" s="1" t="s">
        <v>4</v>
      </c>
      <c r="C15" s="1">
        <f>(SQRT(C11)*(LN(C6)-LN(C7)))/(SQRT(2*C10^2))</f>
        <v>2.6114979087146866</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0.9921058506008289</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0.18466638314524716</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0.80743946745558171</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workbookViewId="0">
      <selection activeCell="C20" sqref="C20"/>
    </sheetView>
  </sheetViews>
  <sheetFormatPr defaultRowHeight="15"/>
  <cols>
    <col min="1" max="1" width="5.85546875" style="79" customWidth="1"/>
    <col min="2" max="2" width="9.140625" style="79" customWidth="1"/>
    <col min="3" max="16384" width="9.140625" style="79"/>
  </cols>
  <sheetData>
    <row r="2" spans="2:2" ht="23.25">
      <c r="B2" s="78" t="s">
        <v>248</v>
      </c>
    </row>
    <row r="19" spans="2:4" ht="15.75" thickBot="1"/>
    <row r="20" spans="2:4" ht="18.75" thickBot="1">
      <c r="B20" s="79" t="s">
        <v>249</v>
      </c>
      <c r="C20" s="80">
        <v>0.1</v>
      </c>
    </row>
    <row r="21" spans="2:4" ht="18.75" thickBot="1">
      <c r="B21" s="79" t="s">
        <v>250</v>
      </c>
      <c r="C21" s="81">
        <v>0.2</v>
      </c>
    </row>
    <row r="22" spans="2:4" ht="18">
      <c r="B22" s="79" t="s">
        <v>251</v>
      </c>
      <c r="C22" s="82">
        <f>C20*C21</f>
        <v>2.0000000000000004E-2</v>
      </c>
    </row>
    <row r="23" spans="2:4">
      <c r="C23" s="82"/>
    </row>
    <row r="24" spans="2:4" ht="18">
      <c r="B24" s="79" t="s">
        <v>252</v>
      </c>
      <c r="C24" s="82">
        <f>1-C25</f>
        <v>0.28000000000000003</v>
      </c>
      <c r="D24" s="79" t="s">
        <v>253</v>
      </c>
    </row>
    <row r="25" spans="2:4" ht="18">
      <c r="B25" s="79" t="s">
        <v>254</v>
      </c>
      <c r="C25" s="82">
        <f>1-C20-C21+C22</f>
        <v>0.72</v>
      </c>
      <c r="D25" s="79" t="s">
        <v>255</v>
      </c>
    </row>
    <row r="26" spans="2:4" ht="15.75" thickBot="1"/>
    <row r="27" spans="2:4" ht="15.75" thickBot="1">
      <c r="C27" s="83" t="s">
        <v>281</v>
      </c>
      <c r="D27" s="80">
        <v>50</v>
      </c>
    </row>
    <row r="28" spans="2:4">
      <c r="C28" s="83" t="s">
        <v>256</v>
      </c>
      <c r="D28" s="82">
        <f>D27*C24</f>
        <v>14.000000000000002</v>
      </c>
    </row>
    <row r="29" spans="2:4">
      <c r="C29" s="83" t="s">
        <v>257</v>
      </c>
      <c r="D29" s="82">
        <f>D27/C25</f>
        <v>69.444444444444443</v>
      </c>
    </row>
    <row r="30" spans="2:4" ht="15.75" thickBot="1"/>
    <row r="31" spans="2:4" ht="15.75" thickBot="1">
      <c r="B31" s="83" t="s">
        <v>258</v>
      </c>
      <c r="C31" s="80">
        <v>2</v>
      </c>
      <c r="D31" s="79" t="s">
        <v>259</v>
      </c>
    </row>
    <row r="33" spans="2:5">
      <c r="B33" s="83" t="s">
        <v>260</v>
      </c>
      <c r="C33" s="84">
        <f>CEILING(D29,1)</f>
        <v>70</v>
      </c>
      <c r="D33" s="79">
        <f>C33/$C$31</f>
        <v>35</v>
      </c>
      <c r="E33" s="79" t="str">
        <f>IF(D33-ROUND(D33,0)=0,"&lt;-- divisible","")</f>
        <v>&lt;-- divisible</v>
      </c>
    </row>
    <row r="34" spans="2:5">
      <c r="C34" s="84">
        <f>C33+1</f>
        <v>71</v>
      </c>
      <c r="D34" s="79">
        <f t="shared" ref="D34:D37" si="0">C34/$C$31</f>
        <v>35.5</v>
      </c>
      <c r="E34" s="79" t="str">
        <f t="shared" ref="E34:E37" si="1">IF(D34-ROUND(D34,0)=0,"&lt;-- divisible","")</f>
        <v/>
      </c>
    </row>
    <row r="35" spans="2:5">
      <c r="C35" s="84">
        <f>C34+1</f>
        <v>72</v>
      </c>
      <c r="D35" s="79">
        <f t="shared" si="0"/>
        <v>36</v>
      </c>
      <c r="E35" s="79" t="str">
        <f t="shared" si="1"/>
        <v>&lt;-- divisible</v>
      </c>
    </row>
    <row r="36" spans="2:5">
      <c r="C36" s="84">
        <f>C35+1</f>
        <v>73</v>
      </c>
      <c r="D36" s="79">
        <f t="shared" si="0"/>
        <v>36.5</v>
      </c>
      <c r="E36" s="79" t="str">
        <f t="shared" si="1"/>
        <v/>
      </c>
    </row>
    <row r="37" spans="2:5">
      <c r="C37" s="84">
        <f>C36+1</f>
        <v>74</v>
      </c>
      <c r="D37" s="79">
        <f t="shared" si="0"/>
        <v>37</v>
      </c>
      <c r="E37" s="79" t="str">
        <f t="shared" si="1"/>
        <v>&lt;-- divisible</v>
      </c>
    </row>
    <row r="39" spans="2:5">
      <c r="B39" s="83" t="s">
        <v>261</v>
      </c>
      <c r="C39" s="84">
        <f>_xlfn.XLOOKUP("&lt;-- divisible",E33:E37,C33:C37,"NOT FOUND", 0,1)</f>
        <v>70</v>
      </c>
      <c r="D39" s="79" t="s">
        <v>262</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RowHeight="15"/>
  <cols>
    <col min="1" max="1" width="5.28515625" style="79" customWidth="1"/>
    <col min="2" max="16384" width="9.140625" style="79"/>
  </cols>
  <sheetData>
    <row r="2" spans="2:2" ht="23.25">
      <c r="B2" s="78" t="s">
        <v>263</v>
      </c>
    </row>
    <row r="3" spans="2:2" ht="23.25">
      <c r="B3" s="85"/>
    </row>
    <row r="28" spans="3:9" ht="15.75" thickBot="1"/>
    <row r="29" spans="3:9" ht="18.75" thickBot="1">
      <c r="C29" s="79" t="s">
        <v>249</v>
      </c>
      <c r="D29" s="80">
        <v>0.1</v>
      </c>
      <c r="E29" s="79" t="s">
        <v>264</v>
      </c>
    </row>
    <row r="30" spans="3:9" ht="18.75" thickBot="1">
      <c r="C30" s="79" t="s">
        <v>250</v>
      </c>
      <c r="D30" s="80">
        <v>0.01</v>
      </c>
      <c r="E30" s="79" t="s">
        <v>265</v>
      </c>
    </row>
    <row r="31" spans="3:9" ht="18.75" thickBot="1">
      <c r="C31" s="79" t="s">
        <v>266</v>
      </c>
      <c r="D31" s="80">
        <v>0.03</v>
      </c>
      <c r="E31" s="79" t="s">
        <v>267</v>
      </c>
    </row>
    <row r="32" spans="3:9">
      <c r="D32" s="86"/>
      <c r="F32" s="87"/>
      <c r="G32" s="87"/>
      <c r="H32" s="87"/>
      <c r="I32" s="87"/>
    </row>
    <row r="33" spans="3:9">
      <c r="D33" s="86"/>
      <c r="F33" s="87" t="s">
        <v>268</v>
      </c>
      <c r="G33" s="87" t="s">
        <v>269</v>
      </c>
      <c r="H33" s="87" t="s">
        <v>270</v>
      </c>
      <c r="I33" s="87" t="s">
        <v>271</v>
      </c>
    </row>
    <row r="34" spans="3:9" ht="18">
      <c r="C34" s="79" t="s">
        <v>251</v>
      </c>
      <c r="D34" s="88">
        <f>D29*D30</f>
        <v>1E-3</v>
      </c>
      <c r="E34" s="89" t="s">
        <v>272</v>
      </c>
      <c r="F34" s="88">
        <f>D34-D37</f>
        <v>9.7000000000000005E-4</v>
      </c>
      <c r="G34" s="88">
        <f>D29-F34-F36-D37</f>
        <v>9.6030000000000004E-2</v>
      </c>
      <c r="H34" s="90">
        <f>D37+SUM(F34:G36)</f>
        <v>0.13573000000000002</v>
      </c>
      <c r="I34" s="90">
        <f>1-H34</f>
        <v>0.86426999999999998</v>
      </c>
    </row>
    <row r="35" spans="3:9" ht="18">
      <c r="C35" s="79" t="s">
        <v>273</v>
      </c>
      <c r="D35" s="88">
        <f>D29*D31</f>
        <v>3.0000000000000001E-3</v>
      </c>
      <c r="E35" s="89" t="s">
        <v>274</v>
      </c>
      <c r="F35" s="88">
        <f>D36-D37</f>
        <v>2.6999999999999995E-4</v>
      </c>
      <c r="G35" s="88">
        <f>D30-F34-F35-D37</f>
        <v>8.7299999999999999E-3</v>
      </c>
      <c r="H35" s="88"/>
      <c r="I35" s="88"/>
    </row>
    <row r="36" spans="3:9" ht="18">
      <c r="C36" s="79" t="s">
        <v>275</v>
      </c>
      <c r="D36" s="88">
        <f>D30*D31</f>
        <v>2.9999999999999997E-4</v>
      </c>
      <c r="E36" s="89" t="s">
        <v>276</v>
      </c>
      <c r="F36" s="88">
        <f>D35-D37</f>
        <v>2.97E-3</v>
      </c>
      <c r="G36" s="88">
        <f>D31-F36-F35-D37</f>
        <v>2.673E-2</v>
      </c>
      <c r="H36" s="88"/>
      <c r="I36" s="88"/>
    </row>
    <row r="37" spans="3:9" ht="18">
      <c r="C37" s="79" t="s">
        <v>277</v>
      </c>
      <c r="D37" s="88">
        <f>D29*D30*D31</f>
        <v>3.0000000000000001E-5</v>
      </c>
      <c r="E37" s="89" t="s">
        <v>278</v>
      </c>
      <c r="F37" s="90">
        <f>SUM(F34:F36)</f>
        <v>4.2100000000000002E-3</v>
      </c>
      <c r="G37" s="90">
        <f>SUM(G34:G36)</f>
        <v>0.13149</v>
      </c>
      <c r="H37" s="88"/>
      <c r="I37" s="88"/>
    </row>
    <row r="39" spans="3:9" ht="18">
      <c r="C39" s="79" t="s">
        <v>279</v>
      </c>
      <c r="D39" s="88">
        <f>D29+D30+D31-D34-D35-D36+D37</f>
        <v>0.13573000000000002</v>
      </c>
      <c r="E39" s="79" t="s">
        <v>253</v>
      </c>
    </row>
    <row r="40" spans="3:9" ht="18">
      <c r="C40" s="79" t="s">
        <v>280</v>
      </c>
      <c r="D40" s="88">
        <f>1-D39</f>
        <v>0.86426999999999998</v>
      </c>
      <c r="E40" s="79" t="s">
        <v>255</v>
      </c>
    </row>
    <row r="41" spans="3:9" ht="15.75" thickBot="1"/>
    <row r="42" spans="3:9" ht="15.75" thickBot="1">
      <c r="D42" s="83" t="s">
        <v>281</v>
      </c>
      <c r="E42" s="80">
        <v>67</v>
      </c>
    </row>
    <row r="43" spans="3:9">
      <c r="D43" s="83" t="s">
        <v>256</v>
      </c>
      <c r="E43" s="82">
        <f>E42*D39</f>
        <v>9.093910000000001</v>
      </c>
    </row>
    <row r="44" spans="3:9">
      <c r="D44" s="83" t="s">
        <v>257</v>
      </c>
      <c r="E44" s="82">
        <f>E42/D40</f>
        <v>77.522070649218421</v>
      </c>
    </row>
    <row r="45" spans="3:9" ht="15.75" thickBot="1">
      <c r="C45" s="87"/>
    </row>
    <row r="46" spans="3:9" ht="15.75" thickBot="1">
      <c r="C46" s="83" t="s">
        <v>258</v>
      </c>
      <c r="D46" s="80">
        <v>2</v>
      </c>
      <c r="E46" s="79" t="s">
        <v>259</v>
      </c>
    </row>
    <row r="47" spans="3:9">
      <c r="C47" s="87"/>
    </row>
    <row r="48" spans="3:9">
      <c r="C48" s="83" t="s">
        <v>260</v>
      </c>
      <c r="D48" s="84">
        <f>CEILING(E44,1)</f>
        <v>78</v>
      </c>
      <c r="E48" s="79">
        <f>D48/$D$46</f>
        <v>39</v>
      </c>
      <c r="F48" s="79" t="str">
        <f>IF(E48-ROUND(E48,0)=0,"&lt;-- divisible","")</f>
        <v>&lt;-- divisible</v>
      </c>
    </row>
    <row r="49" spans="3:6">
      <c r="C49" s="87"/>
      <c r="D49" s="84">
        <f>D48+1</f>
        <v>79</v>
      </c>
      <c r="E49" s="79">
        <f t="shared" ref="E49:E52" si="0">D49/$D$46</f>
        <v>39.5</v>
      </c>
      <c r="F49" s="79" t="str">
        <f t="shared" ref="F49:F52" si="1">IF(E49-ROUND(E49,0)=0,"&lt;-- divisible","")</f>
        <v/>
      </c>
    </row>
    <row r="50" spans="3:6">
      <c r="D50" s="84">
        <f>D49+1</f>
        <v>80</v>
      </c>
      <c r="E50" s="79">
        <f t="shared" si="0"/>
        <v>40</v>
      </c>
      <c r="F50" s="79" t="str">
        <f t="shared" si="1"/>
        <v>&lt;-- divisible</v>
      </c>
    </row>
    <row r="51" spans="3:6">
      <c r="D51" s="84">
        <f>D50+1</f>
        <v>81</v>
      </c>
      <c r="E51" s="79">
        <f t="shared" si="0"/>
        <v>40.5</v>
      </c>
      <c r="F51" s="79" t="str">
        <f t="shared" si="1"/>
        <v/>
      </c>
    </row>
    <row r="52" spans="3:6">
      <c r="D52" s="84">
        <f>D51+1</f>
        <v>82</v>
      </c>
      <c r="E52" s="79">
        <f t="shared" si="0"/>
        <v>41</v>
      </c>
      <c r="F52" s="79" t="str">
        <f t="shared" si="1"/>
        <v>&lt;-- divisible</v>
      </c>
    </row>
    <row r="54" spans="3:6">
      <c r="C54" s="83" t="s">
        <v>261</v>
      </c>
      <c r="D54" s="84">
        <f>_xlfn.XLOOKUP("&lt;-- divisible",F48:F52,D48:D52,"NOT FOUND", 0,1)</f>
        <v>78</v>
      </c>
      <c r="E54" s="79"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3"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2023-01-26T19:39:01Z</dcterms:modified>
  <cp:category>Sample Size Estimation</cp:category>
</cp:coreProperties>
</file>