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harts/chart2.xml" ContentType="application/vnd.openxmlformats-officedocument.drawingml.chart+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3.xml" ContentType="application/vnd.openxmlformats-officedocument.spreadsheetml.comments+xml"/>
  <Override PartName="/xl/charts/chart3.xml" ContentType="application/vnd.openxmlformats-officedocument.drawingml.chart+xml"/>
  <Override PartName="/xl/drawings/drawing5.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4.xml" ContentType="application/vnd.openxmlformats-officedocument.spreadsheetml.comments+xml"/>
  <Override PartName="/xl/charts/chart4.xml" ContentType="application/vnd.openxmlformats-officedocument.drawingml.chart+xml"/>
  <Override PartName="/xl/drawings/drawing6.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5.xml" ContentType="application/vnd.openxmlformats-officedocument.spreadsheetml.comments+xml"/>
  <Override PartName="/xl/charts/chart5.xml" ContentType="application/vnd.openxmlformats-officedocument.drawingml.chart+xml"/>
  <Override PartName="/xl/drawings/drawing7.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omments6.xml" ContentType="application/vnd.openxmlformats-officedocument.spreadsheetml.comments+xml"/>
  <Override PartName="/xl/charts/chart6.xml" ContentType="application/vnd.openxmlformats-officedocument.drawingml.chart+xml"/>
  <Override PartName="/xl/drawings/drawing8.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omments7.xml" ContentType="application/vnd.openxmlformats-officedocument.spreadsheetml.comments+xml"/>
  <Override PartName="/xl/charts/chart7.xml" ContentType="application/vnd.openxmlformats-officedocument.drawingml.chart+xml"/>
  <Override PartName="/xl/drawings/drawing9.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omments8.xml" ContentType="application/vnd.openxmlformats-officedocument.spreadsheetml.comments+xml"/>
  <Override PartName="/xl/charts/chart8.xml" ContentType="application/vnd.openxmlformats-officedocument.drawingml.chart+xml"/>
  <Override PartName="/xl/drawings/drawing10.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9.xml" ContentType="application/vnd.openxmlformats-officedocument.spreadsheetml.comments+xml"/>
  <Override PartName="/xl/charts/chart9.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embeddings/oleObject1.bin" ContentType="application/vnd.openxmlformats-officedocument.oleObject"/>
  <Override PartName="/xl/drawings/drawing14.xml" ContentType="application/vnd.openxmlformats-officedocument.drawing+xml"/>
  <Override PartName="/xl/ctrlProps/ctrlProp53.xml" ContentType="application/vnd.ms-excel.controlproperties+xml"/>
  <Override PartName="/xl/drawings/drawing15.xml" ContentType="application/vnd.openxmlformats-officedocument.drawing+xml"/>
  <Override PartName="/xl/ctrlProps/ctrlProp54.xml" ContentType="application/vnd.ms-excel.controlproperties+xml"/>
  <Override PartName="/xl/drawings/drawing16.xml" ContentType="application/vnd.openxmlformats-officedocument.drawing+xml"/>
  <Override PartName="/xl/ctrlProps/ctrlProp55.xml" ContentType="application/vnd.ms-excel.controlproperties+xml"/>
  <Override PartName="/xl/drawings/drawing17.xml" ContentType="application/vnd.openxmlformats-officedocument.drawing+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928" codeName="{AE6600E7-7A62-396C-DE95-9942FA9DD81E}"/>
  <workbookPr codeName="ThisWorkbook" autoCompressPictures="0" defaultThemeVersion="124226"/>
  <mc:AlternateContent xmlns:mc="http://schemas.openxmlformats.org/markup-compatibility/2006">
    <mc:Choice Requires="x15">
      <x15ac:absPath xmlns:x15ac="http://schemas.microsoft.com/office/spreadsheetml/2010/11/ac" url="https://utoronto-my.sharepoint.com/personal/d_dubins_utoronto_ca/Documents/Lectures/PHC331 2023/Section 2.3 - Sample Size/"/>
    </mc:Choice>
  </mc:AlternateContent>
  <xr:revisionPtr revIDLastSave="204" documentId="13_ncr:1_{F1364C2D-9FB4-4296-9DA9-C50109BEB799}" xr6:coauthVersionLast="47" xr6:coauthVersionMax="47" xr10:uidLastSave="{3667E0AB-10DE-4127-A7F8-DF39F3F81A82}"/>
  <bookViews>
    <workbookView xWindow="-120" yWindow="-120" windowWidth="25440" windowHeight="15390" xr2:uid="{00000000-000D-0000-FFFF-FFFF00000000}"/>
  </bookViews>
  <sheets>
    <sheet name="Intro" sheetId="20" r:id="rId1"/>
    <sheet name="Superiority, Parallel" sheetId="7" r:id="rId2"/>
    <sheet name="Superiority, Crossover" sheetId="8" r:id="rId3"/>
    <sheet name="Equivalence, Parallel" sheetId="11" r:id="rId4"/>
    <sheet name="Equivalence, Crossover" sheetId="12" r:id="rId5"/>
    <sheet name="Non-inferiority, Parallel" sheetId="13" r:id="rId6"/>
    <sheet name="Non-inferiority, Crossover" sheetId="14" r:id="rId7"/>
    <sheet name="Bioequivalence, Parallel" sheetId="28" r:id="rId8"/>
    <sheet name="Bioequivalence, Crossover" sheetId="1" r:id="rId9"/>
    <sheet name="Bioequivalence, Replicate" sheetId="27" r:id="rId10"/>
    <sheet name="Dropouts - 2 rates" sheetId="29" r:id="rId11"/>
    <sheet name="Dropouts - 3 rates" sheetId="30" r:id="rId12"/>
    <sheet name="Scaled BE - HVD" sheetId="26" r:id="rId13"/>
    <sheet name="Given Precision, Parallel" sheetId="17" r:id="rId14"/>
    <sheet name="Given Precision, Crossover" sheetId="18" r:id="rId15"/>
    <sheet name="Difference Between Proportions" sheetId="23" r:id="rId16"/>
    <sheet name="Variance Correction" sheetId="19" r:id="rId17"/>
    <sheet name="ISV" sheetId="24" state="hidden" r:id="rId18"/>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D39" i="30" l="1"/>
  <c r="E43" i="30" s="1"/>
  <c r="D37" i="30"/>
  <c r="D36" i="30"/>
  <c r="F35" i="30"/>
  <c r="D35" i="30"/>
  <c r="F36" i="30" s="1"/>
  <c r="F34" i="30"/>
  <c r="F37" i="30" s="1"/>
  <c r="D34" i="30"/>
  <c r="C22" i="29"/>
  <c r="C25" i="29" s="1"/>
  <c r="C8" i="1"/>
  <c r="O20" i="28"/>
  <c r="C20" i="8"/>
  <c r="X11" i="8" s="1"/>
  <c r="C20" i="28"/>
  <c r="C12" i="28"/>
  <c r="C13" i="28"/>
  <c r="Z32" i="28"/>
  <c r="Z33" i="28"/>
  <c r="V11" i="28"/>
  <c r="C10" i="28"/>
  <c r="C15" i="28"/>
  <c r="C8" i="28"/>
  <c r="D6" i="28"/>
  <c r="C14" i="28"/>
  <c r="D20" i="28"/>
  <c r="E20" i="28"/>
  <c r="Z35" i="28"/>
  <c r="Z36" i="28"/>
  <c r="W11" i="28"/>
  <c r="V15" i="28"/>
  <c r="C20" i="27"/>
  <c r="Y6" i="27"/>
  <c r="Z2" i="27"/>
  <c r="Z32" i="27"/>
  <c r="Z33" i="27"/>
  <c r="C12" i="27"/>
  <c r="C13" i="27"/>
  <c r="V11" i="27"/>
  <c r="V15" i="27"/>
  <c r="C10" i="27"/>
  <c r="C15" i="27"/>
  <c r="C8" i="27"/>
  <c r="Z35" i="27"/>
  <c r="Z36" i="27"/>
  <c r="X11" i="28"/>
  <c r="Y11" i="28"/>
  <c r="Z16" i="28"/>
  <c r="Z17" i="28"/>
  <c r="Z19" i="28"/>
  <c r="Z20" i="28"/>
  <c r="AA11" i="28"/>
  <c r="AB11" i="28"/>
  <c r="U16" i="28"/>
  <c r="C14" i="27"/>
  <c r="D6" i="27"/>
  <c r="W11" i="27"/>
  <c r="X11" i="27"/>
  <c r="Y11" i="27"/>
  <c r="K7" i="14"/>
  <c r="K7" i="13"/>
  <c r="U17" i="28"/>
  <c r="V16" i="28"/>
  <c r="AD16" i="28"/>
  <c r="AD17" i="28"/>
  <c r="AD19" i="28"/>
  <c r="AD20" i="28"/>
  <c r="Z16" i="27"/>
  <c r="Z17" i="27"/>
  <c r="AA11" i="27"/>
  <c r="AB11" i="27"/>
  <c r="U16" i="27"/>
  <c r="Z19" i="27"/>
  <c r="Z20" i="27"/>
  <c r="C25" i="7"/>
  <c r="V17" i="28"/>
  <c r="U18" i="28"/>
  <c r="U17" i="27"/>
  <c r="V16" i="27"/>
  <c r="AD16" i="27"/>
  <c r="AD17" i="27"/>
  <c r="AD19" i="27"/>
  <c r="AD20" i="27"/>
  <c r="V11" i="1"/>
  <c r="V15" i="1"/>
  <c r="Z35" i="1"/>
  <c r="Z36" i="1"/>
  <c r="Z32" i="1"/>
  <c r="Z33" i="1"/>
  <c r="AE25" i="14"/>
  <c r="AE28" i="14"/>
  <c r="V11" i="14"/>
  <c r="V12" i="14"/>
  <c r="W15" i="14"/>
  <c r="W12" i="14"/>
  <c r="AA11" i="14"/>
  <c r="AB11" i="14"/>
  <c r="U16" i="14"/>
  <c r="W16" i="14"/>
  <c r="U17" i="14"/>
  <c r="W17" i="14"/>
  <c r="U18" i="14"/>
  <c r="W18" i="14"/>
  <c r="U19" i="14"/>
  <c r="W19" i="14"/>
  <c r="U20" i="14"/>
  <c r="W20" i="14"/>
  <c r="U21" i="14"/>
  <c r="W21" i="14"/>
  <c r="U22" i="14"/>
  <c r="W22" i="14"/>
  <c r="U23" i="14"/>
  <c r="W23" i="14"/>
  <c r="U24" i="14"/>
  <c r="W24" i="14"/>
  <c r="U25" i="14"/>
  <c r="W25" i="14"/>
  <c r="U26" i="14"/>
  <c r="W26" i="14"/>
  <c r="U27" i="14"/>
  <c r="W27" i="14"/>
  <c r="U28" i="14"/>
  <c r="W28" i="14"/>
  <c r="U29" i="14"/>
  <c r="W29" i="14"/>
  <c r="U30" i="14"/>
  <c r="W30" i="14"/>
  <c r="U31" i="14"/>
  <c r="W31" i="14"/>
  <c r="U32" i="14"/>
  <c r="W32" i="14"/>
  <c r="U33" i="14"/>
  <c r="W33" i="14"/>
  <c r="U34" i="14"/>
  <c r="W34" i="14"/>
  <c r="U35" i="14"/>
  <c r="W35" i="14"/>
  <c r="U36" i="14"/>
  <c r="W36" i="14"/>
  <c r="U37" i="14"/>
  <c r="W37" i="14"/>
  <c r="U38" i="14"/>
  <c r="W38" i="14"/>
  <c r="U39" i="14"/>
  <c r="W39" i="14"/>
  <c r="U40" i="14"/>
  <c r="W40" i="14"/>
  <c r="U41" i="14"/>
  <c r="W41" i="14"/>
  <c r="U42" i="14"/>
  <c r="W42" i="14"/>
  <c r="U43" i="14"/>
  <c r="W43" i="14"/>
  <c r="U44" i="14"/>
  <c r="W44" i="14"/>
  <c r="U45" i="14"/>
  <c r="W45" i="14"/>
  <c r="U46" i="14"/>
  <c r="W46" i="14"/>
  <c r="U47" i="14"/>
  <c r="W47" i="14"/>
  <c r="AA25" i="14"/>
  <c r="AA28" i="14"/>
  <c r="AE17" i="14"/>
  <c r="AE20" i="14"/>
  <c r="V15" i="14"/>
  <c r="V16" i="14"/>
  <c r="V17" i="14"/>
  <c r="V18" i="14"/>
  <c r="V19" i="14"/>
  <c r="V20" i="14"/>
  <c r="V21" i="14"/>
  <c r="V22" i="14"/>
  <c r="V23" i="14"/>
  <c r="V24" i="14"/>
  <c r="V25" i="14"/>
  <c r="V26" i="14"/>
  <c r="V27" i="14"/>
  <c r="V28" i="14"/>
  <c r="V29" i="14"/>
  <c r="V30" i="14"/>
  <c r="V31" i="14"/>
  <c r="V32" i="14"/>
  <c r="V33" i="14"/>
  <c r="V34" i="14"/>
  <c r="V35" i="14"/>
  <c r="V36" i="14"/>
  <c r="V37" i="14"/>
  <c r="V38" i="14"/>
  <c r="V39" i="14"/>
  <c r="V40" i="14"/>
  <c r="V41" i="14"/>
  <c r="V42" i="14"/>
  <c r="V43" i="14"/>
  <c r="V44" i="14"/>
  <c r="V45" i="14"/>
  <c r="V46" i="14"/>
  <c r="V47" i="14"/>
  <c r="AA17" i="14"/>
  <c r="AA20" i="14"/>
  <c r="W11" i="14"/>
  <c r="W12" i="13"/>
  <c r="W11" i="13"/>
  <c r="V11" i="13"/>
  <c r="Z19" i="13"/>
  <c r="Z20" i="13"/>
  <c r="W12" i="12"/>
  <c r="C20" i="12"/>
  <c r="W11" i="12"/>
  <c r="V11" i="12"/>
  <c r="V11" i="11"/>
  <c r="V12" i="11"/>
  <c r="W12" i="11"/>
  <c r="C20" i="11"/>
  <c r="D20" i="11"/>
  <c r="W11" i="11"/>
  <c r="W12" i="8"/>
  <c r="W11" i="8"/>
  <c r="V11" i="8"/>
  <c r="Z32" i="8"/>
  <c r="C20" i="7"/>
  <c r="W12" i="7"/>
  <c r="W11" i="7"/>
  <c r="V11" i="7"/>
  <c r="V15" i="7"/>
  <c r="Z19" i="14"/>
  <c r="Z20" i="14"/>
  <c r="V12" i="13"/>
  <c r="Z32" i="13"/>
  <c r="V15" i="13"/>
  <c r="Z16" i="13"/>
  <c r="Z17" i="13"/>
  <c r="V12" i="12"/>
  <c r="V15" i="12"/>
  <c r="Z19" i="12"/>
  <c r="Z20" i="12"/>
  <c r="Z16" i="12"/>
  <c r="Z17" i="12"/>
  <c r="C156" i="26"/>
  <c r="C155" i="26"/>
  <c r="C117" i="26"/>
  <c r="C116" i="26"/>
  <c r="C115" i="26"/>
  <c r="C114" i="26"/>
  <c r="D153" i="26"/>
  <c r="C84" i="26"/>
  <c r="C86" i="26"/>
  <c r="C55" i="26"/>
  <c r="C53" i="26"/>
  <c r="C54" i="26"/>
  <c r="C15" i="26"/>
  <c r="C16" i="26"/>
  <c r="C18" i="26"/>
  <c r="C13" i="26"/>
  <c r="C14" i="26"/>
  <c r="B18" i="26"/>
  <c r="C36" i="26"/>
  <c r="C37" i="26"/>
  <c r="C154" i="26"/>
  <c r="C158" i="26"/>
  <c r="C10" i="1"/>
  <c r="C15" i="1"/>
  <c r="C12" i="1"/>
  <c r="C13" i="1"/>
  <c r="D6" i="1"/>
  <c r="C12" i="8"/>
  <c r="C13" i="8" s="1"/>
  <c r="C10" i="7"/>
  <c r="C14" i="7"/>
  <c r="C12" i="7"/>
  <c r="C13" i="7"/>
  <c r="C21" i="23"/>
  <c r="C9" i="24"/>
  <c r="C10" i="24"/>
  <c r="C8" i="23"/>
  <c r="C20" i="23"/>
  <c r="C20" i="17"/>
  <c r="D20" i="17"/>
  <c r="E20" i="17"/>
  <c r="C20" i="13"/>
  <c r="C12" i="18"/>
  <c r="C13" i="18"/>
  <c r="C10" i="18"/>
  <c r="I7" i="12"/>
  <c r="C8" i="7"/>
  <c r="C57" i="19"/>
  <c r="C59" i="19"/>
  <c r="C39" i="19"/>
  <c r="C41" i="19"/>
  <c r="C20" i="19"/>
  <c r="C22" i="19"/>
  <c r="C8" i="18"/>
  <c r="C20" i="18"/>
  <c r="C8" i="11"/>
  <c r="C10" i="12"/>
  <c r="C15" i="12"/>
  <c r="C12" i="17"/>
  <c r="C13" i="17"/>
  <c r="C10" i="17"/>
  <c r="C10" i="14"/>
  <c r="C14" i="14"/>
  <c r="C8" i="14"/>
  <c r="C12" i="14"/>
  <c r="C13" i="14"/>
  <c r="C20" i="14"/>
  <c r="X12" i="14"/>
  <c r="C8" i="13"/>
  <c r="C12" i="13"/>
  <c r="C13" i="13"/>
  <c r="C10" i="13"/>
  <c r="C14" i="13"/>
  <c r="C12" i="12"/>
  <c r="C13" i="12"/>
  <c r="C10" i="11"/>
  <c r="C14" i="11"/>
  <c r="C12" i="11"/>
  <c r="C13" i="11"/>
  <c r="C10" i="8"/>
  <c r="C14" i="8"/>
  <c r="C8" i="17"/>
  <c r="C8" i="8"/>
  <c r="AA11" i="13"/>
  <c r="AB11" i="13"/>
  <c r="U16" i="13"/>
  <c r="Z24" i="12"/>
  <c r="Z25" i="12"/>
  <c r="W15" i="12"/>
  <c r="Z27" i="12"/>
  <c r="Z28" i="12"/>
  <c r="C38" i="26"/>
  <c r="C40" i="26"/>
  <c r="AA17" i="1"/>
  <c r="AA20" i="1"/>
  <c r="AE17" i="13"/>
  <c r="AE20" i="13"/>
  <c r="V16" i="13"/>
  <c r="U17" i="13"/>
  <c r="V17" i="13"/>
  <c r="U18" i="13"/>
  <c r="V18" i="13"/>
  <c r="U19" i="13"/>
  <c r="V19" i="13"/>
  <c r="U20" i="13"/>
  <c r="V20" i="13"/>
  <c r="U21" i="13"/>
  <c r="V21" i="13"/>
  <c r="U22" i="13"/>
  <c r="V22" i="13"/>
  <c r="U23" i="13"/>
  <c r="V23" i="13"/>
  <c r="U24" i="13"/>
  <c r="V24" i="13"/>
  <c r="U25" i="13"/>
  <c r="V25" i="13"/>
  <c r="U26" i="13"/>
  <c r="V26" i="13"/>
  <c r="U27" i="13"/>
  <c r="V27" i="13"/>
  <c r="U28" i="13"/>
  <c r="V28" i="13"/>
  <c r="U29" i="13"/>
  <c r="V29" i="13"/>
  <c r="U30" i="13"/>
  <c r="V30" i="13"/>
  <c r="U31" i="13"/>
  <c r="V31" i="13"/>
  <c r="U32" i="13"/>
  <c r="V32" i="13"/>
  <c r="U33" i="13"/>
  <c r="V33" i="13"/>
  <c r="U34" i="13"/>
  <c r="V34" i="13"/>
  <c r="U35" i="13"/>
  <c r="V35" i="13"/>
  <c r="U36" i="13"/>
  <c r="V36" i="13"/>
  <c r="U37" i="13"/>
  <c r="V37" i="13"/>
  <c r="U38" i="13"/>
  <c r="V38" i="13"/>
  <c r="U39" i="13"/>
  <c r="V39" i="13"/>
  <c r="U40" i="13"/>
  <c r="V40" i="13"/>
  <c r="U41" i="13"/>
  <c r="V41" i="13"/>
  <c r="U42" i="13"/>
  <c r="V42" i="13"/>
  <c r="U43" i="13"/>
  <c r="V43" i="13"/>
  <c r="U44" i="13"/>
  <c r="V44" i="13"/>
  <c r="U45" i="13"/>
  <c r="V45" i="13"/>
  <c r="U46" i="13"/>
  <c r="V46" i="13"/>
  <c r="U47" i="13"/>
  <c r="V47" i="13"/>
  <c r="AA17" i="13"/>
  <c r="AA20" i="13"/>
  <c r="W15" i="13"/>
  <c r="W16" i="13"/>
  <c r="W17" i="13"/>
  <c r="W18" i="13"/>
  <c r="W19" i="13"/>
  <c r="W20" i="13"/>
  <c r="W21" i="13"/>
  <c r="W22" i="13"/>
  <c r="W23" i="13"/>
  <c r="W24" i="13"/>
  <c r="W25" i="13"/>
  <c r="W26" i="13"/>
  <c r="W27" i="13"/>
  <c r="W28" i="13"/>
  <c r="W29" i="13"/>
  <c r="W30" i="13"/>
  <c r="W31" i="13"/>
  <c r="W32" i="13"/>
  <c r="W33" i="13"/>
  <c r="W34" i="13"/>
  <c r="W35" i="13"/>
  <c r="W36" i="13"/>
  <c r="W37" i="13"/>
  <c r="W38" i="13"/>
  <c r="W39" i="13"/>
  <c r="W40" i="13"/>
  <c r="W41" i="13"/>
  <c r="W42" i="13"/>
  <c r="W43" i="13"/>
  <c r="W44" i="13"/>
  <c r="W45" i="13"/>
  <c r="W46" i="13"/>
  <c r="W47" i="13"/>
  <c r="AA25" i="13"/>
  <c r="AA28" i="13"/>
  <c r="AE25" i="13"/>
  <c r="AE28" i="13"/>
  <c r="AE17" i="12"/>
  <c r="AE20" i="12"/>
  <c r="AA11" i="12"/>
  <c r="AB11" i="12"/>
  <c r="U16" i="12"/>
  <c r="V16" i="12"/>
  <c r="U17" i="12"/>
  <c r="V17" i="12"/>
  <c r="U18" i="12"/>
  <c r="V18" i="12"/>
  <c r="U19" i="12"/>
  <c r="V19" i="12"/>
  <c r="U20" i="12"/>
  <c r="V20" i="12"/>
  <c r="U21" i="12"/>
  <c r="V21" i="12"/>
  <c r="U22" i="12"/>
  <c r="V22" i="12"/>
  <c r="U23" i="12"/>
  <c r="V23" i="12"/>
  <c r="U24" i="12"/>
  <c r="V24" i="12"/>
  <c r="U25" i="12"/>
  <c r="V25" i="12"/>
  <c r="U26" i="12"/>
  <c r="V26" i="12"/>
  <c r="U27" i="12"/>
  <c r="V27" i="12"/>
  <c r="U28" i="12"/>
  <c r="V28" i="12"/>
  <c r="U29" i="12"/>
  <c r="V29" i="12"/>
  <c r="U30" i="12"/>
  <c r="V30" i="12"/>
  <c r="U31" i="12"/>
  <c r="V31" i="12"/>
  <c r="U32" i="12"/>
  <c r="V32" i="12"/>
  <c r="U33" i="12"/>
  <c r="V33" i="12"/>
  <c r="U34" i="12"/>
  <c r="V34" i="12"/>
  <c r="U35" i="12"/>
  <c r="V35" i="12"/>
  <c r="U36" i="12"/>
  <c r="V36" i="12"/>
  <c r="U37" i="12"/>
  <c r="V37" i="12"/>
  <c r="U38" i="12"/>
  <c r="V38" i="12"/>
  <c r="U39" i="12"/>
  <c r="V39" i="12"/>
  <c r="U40" i="12"/>
  <c r="V40" i="12"/>
  <c r="U41" i="12"/>
  <c r="V41" i="12"/>
  <c r="U42" i="12"/>
  <c r="V42" i="12"/>
  <c r="U43" i="12"/>
  <c r="V43" i="12"/>
  <c r="U44" i="12"/>
  <c r="V44" i="12"/>
  <c r="U45" i="12"/>
  <c r="V45" i="12"/>
  <c r="U46" i="12"/>
  <c r="V46" i="12"/>
  <c r="U47" i="12"/>
  <c r="V47" i="12"/>
  <c r="AA17" i="12"/>
  <c r="AA20" i="12"/>
  <c r="AE25" i="12"/>
  <c r="AE28" i="12"/>
  <c r="W16" i="12"/>
  <c r="W17" i="12"/>
  <c r="W18" i="12"/>
  <c r="W19" i="12"/>
  <c r="W20" i="12"/>
  <c r="W21" i="12"/>
  <c r="W22" i="12"/>
  <c r="W23" i="12"/>
  <c r="W24" i="12"/>
  <c r="W25" i="12"/>
  <c r="W26" i="12"/>
  <c r="W27" i="12"/>
  <c r="W28" i="12"/>
  <c r="W29" i="12"/>
  <c r="W30" i="12"/>
  <c r="W31" i="12"/>
  <c r="W32" i="12"/>
  <c r="W33" i="12"/>
  <c r="W34" i="12"/>
  <c r="W35" i="12"/>
  <c r="W36" i="12"/>
  <c r="W37" i="12"/>
  <c r="W38" i="12"/>
  <c r="W39" i="12"/>
  <c r="W40" i="12"/>
  <c r="W41" i="12"/>
  <c r="W42" i="12"/>
  <c r="W43" i="12"/>
  <c r="W44" i="12"/>
  <c r="W45" i="12"/>
  <c r="W46" i="12"/>
  <c r="W47" i="12"/>
  <c r="AA25" i="12"/>
  <c r="AA28" i="12"/>
  <c r="V15" i="8"/>
  <c r="V12" i="8"/>
  <c r="AA11" i="8"/>
  <c r="AB11" i="8"/>
  <c r="U16" i="8"/>
  <c r="V16" i="8"/>
  <c r="U17" i="8"/>
  <c r="V17" i="8"/>
  <c r="U18" i="8"/>
  <c r="V18" i="8"/>
  <c r="U19" i="8"/>
  <c r="V19" i="8"/>
  <c r="U20" i="8"/>
  <c r="V20" i="8"/>
  <c r="U21" i="8"/>
  <c r="V21" i="8"/>
  <c r="U22" i="8"/>
  <c r="V22" i="8"/>
  <c r="U23" i="8"/>
  <c r="V23" i="8"/>
  <c r="U24" i="8"/>
  <c r="V24" i="8"/>
  <c r="U25" i="8"/>
  <c r="V25" i="8"/>
  <c r="U26" i="8"/>
  <c r="V26" i="8"/>
  <c r="U27" i="8"/>
  <c r="V27" i="8"/>
  <c r="U28" i="8"/>
  <c r="V28" i="8"/>
  <c r="U29" i="8"/>
  <c r="V29" i="8"/>
  <c r="U30" i="8"/>
  <c r="V30" i="8"/>
  <c r="U31" i="8"/>
  <c r="V31" i="8"/>
  <c r="U32" i="8"/>
  <c r="V32" i="8"/>
  <c r="U33" i="8"/>
  <c r="V33" i="8"/>
  <c r="U34" i="8"/>
  <c r="V34" i="8"/>
  <c r="U35" i="8"/>
  <c r="V35" i="8"/>
  <c r="U36" i="8"/>
  <c r="V36" i="8"/>
  <c r="U37" i="8"/>
  <c r="V37" i="8"/>
  <c r="U38" i="8"/>
  <c r="V38" i="8"/>
  <c r="U39" i="8"/>
  <c r="V39" i="8"/>
  <c r="U40" i="8"/>
  <c r="V40" i="8"/>
  <c r="U41" i="8"/>
  <c r="V41" i="8"/>
  <c r="U42" i="8"/>
  <c r="V42" i="8"/>
  <c r="U43" i="8"/>
  <c r="V43" i="8"/>
  <c r="U44" i="8"/>
  <c r="V44" i="8"/>
  <c r="U45" i="8"/>
  <c r="V45" i="8"/>
  <c r="U46" i="8"/>
  <c r="V46" i="8"/>
  <c r="U47" i="8"/>
  <c r="V47" i="8"/>
  <c r="AA17" i="8"/>
  <c r="AA20" i="8"/>
  <c r="W15" i="8"/>
  <c r="W16" i="8"/>
  <c r="W17" i="8"/>
  <c r="W18" i="8"/>
  <c r="W19" i="8"/>
  <c r="W20" i="8"/>
  <c r="W21" i="8"/>
  <c r="W22" i="8"/>
  <c r="W23" i="8"/>
  <c r="W24" i="8"/>
  <c r="W25" i="8"/>
  <c r="W26" i="8"/>
  <c r="W27" i="8"/>
  <c r="W28" i="8"/>
  <c r="W29" i="8"/>
  <c r="W30" i="8"/>
  <c r="W31" i="8"/>
  <c r="W32" i="8"/>
  <c r="W33" i="8"/>
  <c r="W34" i="8"/>
  <c r="W35" i="8"/>
  <c r="W36" i="8"/>
  <c r="W37" i="8"/>
  <c r="W38" i="8"/>
  <c r="W39" i="8"/>
  <c r="W40" i="8"/>
  <c r="W41" i="8"/>
  <c r="W42" i="8"/>
  <c r="W43" i="8"/>
  <c r="W44" i="8"/>
  <c r="W45" i="8"/>
  <c r="W46" i="8"/>
  <c r="W47" i="8"/>
  <c r="AA25" i="8"/>
  <c r="AA28" i="8"/>
  <c r="U19" i="28"/>
  <c r="V18" i="28"/>
  <c r="W11" i="1"/>
  <c r="Z19" i="1"/>
  <c r="Z20" i="1"/>
  <c r="C14" i="1"/>
  <c r="Z16" i="8"/>
  <c r="Z17" i="8"/>
  <c r="U18" i="27"/>
  <c r="V17" i="27"/>
  <c r="Z35" i="14"/>
  <c r="Z36" i="14"/>
  <c r="Z27" i="14"/>
  <c r="Z28" i="14"/>
  <c r="Z32" i="14"/>
  <c r="Z33" i="14"/>
  <c r="Z24" i="14"/>
  <c r="Z25" i="14"/>
  <c r="C8" i="12"/>
  <c r="Z35" i="8"/>
  <c r="Z36" i="8"/>
  <c r="Z19" i="8"/>
  <c r="Z20" i="8"/>
  <c r="X11" i="12"/>
  <c r="C14" i="12"/>
  <c r="C14" i="17"/>
  <c r="C14" i="18"/>
  <c r="C118" i="26"/>
  <c r="C119" i="26"/>
  <c r="Z16" i="14"/>
  <c r="Z17" i="14"/>
  <c r="X11" i="7"/>
  <c r="Y11" i="7"/>
  <c r="AD19" i="7"/>
  <c r="AD20" i="7"/>
  <c r="X11" i="14"/>
  <c r="Y11" i="14"/>
  <c r="AD16" i="14"/>
  <c r="AD17" i="14"/>
  <c r="Z35" i="13"/>
  <c r="Z36" i="13"/>
  <c r="Z24" i="13"/>
  <c r="Z25" i="13"/>
  <c r="Z27" i="13"/>
  <c r="Z28" i="13"/>
  <c r="Z33" i="13"/>
  <c r="Z35" i="12"/>
  <c r="Z36" i="12"/>
  <c r="Z32" i="12"/>
  <c r="Z33" i="12"/>
  <c r="Z27" i="11"/>
  <c r="Z28" i="11"/>
  <c r="W15" i="11"/>
  <c r="AA11" i="11"/>
  <c r="AB11" i="11"/>
  <c r="U16" i="11"/>
  <c r="V16" i="11"/>
  <c r="Z24" i="11"/>
  <c r="Z25" i="11"/>
  <c r="C15" i="11"/>
  <c r="Z19" i="11"/>
  <c r="Z20" i="11"/>
  <c r="V15" i="11"/>
  <c r="Z16" i="11"/>
  <c r="Z17" i="11"/>
  <c r="Z35" i="11"/>
  <c r="Z36" i="11"/>
  <c r="Z32" i="11"/>
  <c r="Z33" i="11"/>
  <c r="E20" i="11"/>
  <c r="X11" i="11"/>
  <c r="Y11" i="11"/>
  <c r="Z16" i="7"/>
  <c r="Z17" i="7"/>
  <c r="C57" i="26"/>
  <c r="D20" i="13"/>
  <c r="E20" i="13"/>
  <c r="X11" i="13"/>
  <c r="Y11" i="13"/>
  <c r="X12" i="11"/>
  <c r="Y12" i="11"/>
  <c r="Y11" i="12"/>
  <c r="X12" i="12"/>
  <c r="Y12" i="12"/>
  <c r="Z33" i="8"/>
  <c r="Y12" i="14"/>
  <c r="Z19" i="7"/>
  <c r="Z20" i="7"/>
  <c r="X12" i="13"/>
  <c r="Y12" i="13"/>
  <c r="V12" i="7"/>
  <c r="Z35" i="7"/>
  <c r="D20" i="7"/>
  <c r="W16" i="11"/>
  <c r="Z27" i="8"/>
  <c r="Z28" i="8"/>
  <c r="U20" i="28"/>
  <c r="V19" i="28"/>
  <c r="Z16" i="1"/>
  <c r="Z17" i="1"/>
  <c r="AA11" i="1"/>
  <c r="AB11" i="1"/>
  <c r="U16" i="1"/>
  <c r="U17" i="11"/>
  <c r="V17" i="11"/>
  <c r="AD16" i="7"/>
  <c r="AD17" i="7"/>
  <c r="U19" i="27"/>
  <c r="V18" i="27"/>
  <c r="Z24" i="8"/>
  <c r="Z25" i="8"/>
  <c r="AD19" i="14"/>
  <c r="AD20" i="14"/>
  <c r="AD19" i="11"/>
  <c r="AD20" i="11"/>
  <c r="AD16" i="11"/>
  <c r="AD17" i="11"/>
  <c r="AD24" i="11"/>
  <c r="AD25" i="11"/>
  <c r="AD27" i="11"/>
  <c r="AD28" i="11"/>
  <c r="AD24" i="12"/>
  <c r="AD25" i="12"/>
  <c r="AD27" i="12"/>
  <c r="AD28" i="12"/>
  <c r="AD19" i="13"/>
  <c r="AD20" i="13"/>
  <c r="AD16" i="13"/>
  <c r="AD17" i="13"/>
  <c r="AD19" i="12"/>
  <c r="AD20" i="12"/>
  <c r="AD16" i="12"/>
  <c r="AD17" i="12"/>
  <c r="AD24" i="13"/>
  <c r="AD25" i="13"/>
  <c r="AD27" i="13"/>
  <c r="AD28" i="13"/>
  <c r="AD24" i="14"/>
  <c r="AD25" i="14"/>
  <c r="AD27" i="14"/>
  <c r="AD28" i="14"/>
  <c r="Z36" i="7"/>
  <c r="AA11" i="7"/>
  <c r="AB11" i="7"/>
  <c r="U16" i="7"/>
  <c r="Z32" i="7"/>
  <c r="Z33" i="7"/>
  <c r="Z24" i="7"/>
  <c r="Z25" i="7"/>
  <c r="W15" i="7"/>
  <c r="Z27" i="7"/>
  <c r="Z28" i="7"/>
  <c r="X12" i="7"/>
  <c r="Y12" i="7"/>
  <c r="AD27" i="7"/>
  <c r="AD28" i="7"/>
  <c r="E20" i="7"/>
  <c r="U21" i="28"/>
  <c r="V20" i="28"/>
  <c r="W17" i="11"/>
  <c r="U18" i="11"/>
  <c r="V18" i="11"/>
  <c r="U20" i="27"/>
  <c r="V19" i="27"/>
  <c r="U17" i="7"/>
  <c r="W16" i="7"/>
  <c r="V16" i="7"/>
  <c r="AD24" i="7"/>
  <c r="AD25" i="7"/>
  <c r="U22" i="28"/>
  <c r="V21" i="28"/>
  <c r="U19" i="11"/>
  <c r="W19" i="11"/>
  <c r="W18" i="11"/>
  <c r="U21" i="27"/>
  <c r="V20" i="27"/>
  <c r="W17" i="7"/>
  <c r="V17" i="7"/>
  <c r="U18" i="7"/>
  <c r="U23" i="28"/>
  <c r="V22" i="28"/>
  <c r="V19" i="11"/>
  <c r="U20" i="11"/>
  <c r="W20" i="11"/>
  <c r="V21" i="27"/>
  <c r="U22" i="27"/>
  <c r="V18" i="7"/>
  <c r="W18" i="7"/>
  <c r="U19" i="7"/>
  <c r="V23" i="28"/>
  <c r="U24" i="28"/>
  <c r="V20" i="11"/>
  <c r="U21" i="11"/>
  <c r="U22" i="11"/>
  <c r="V22" i="11"/>
  <c r="U23" i="27"/>
  <c r="V22" i="27"/>
  <c r="W19" i="7"/>
  <c r="U20" i="7"/>
  <c r="V19" i="7"/>
  <c r="V24" i="28"/>
  <c r="U25" i="28"/>
  <c r="V21" i="11"/>
  <c r="U23" i="11"/>
  <c r="U24" i="11"/>
  <c r="W22" i="11"/>
  <c r="W21" i="11"/>
  <c r="V23" i="27"/>
  <c r="U24" i="27"/>
  <c r="W20" i="7"/>
  <c r="U21" i="7"/>
  <c r="V20" i="7"/>
  <c r="W23" i="11"/>
  <c r="U26" i="28"/>
  <c r="V25" i="28"/>
  <c r="V23" i="11"/>
  <c r="U25" i="27"/>
  <c r="V24" i="27"/>
  <c r="W21" i="7"/>
  <c r="V21" i="7"/>
  <c r="U22" i="7"/>
  <c r="U25" i="11"/>
  <c r="W24" i="11"/>
  <c r="V24" i="11"/>
  <c r="U27" i="28"/>
  <c r="V26" i="28"/>
  <c r="V25" i="27"/>
  <c r="U26" i="27"/>
  <c r="W22" i="7"/>
  <c r="U23" i="7"/>
  <c r="V22" i="7"/>
  <c r="U26" i="11"/>
  <c r="V25" i="11"/>
  <c r="W25" i="11"/>
  <c r="U28" i="28"/>
  <c r="V27" i="28"/>
  <c r="U27" i="27"/>
  <c r="V26" i="27"/>
  <c r="W23" i="7"/>
  <c r="U24" i="7"/>
  <c r="V23" i="7"/>
  <c r="U27" i="11"/>
  <c r="V26" i="11"/>
  <c r="W26" i="11"/>
  <c r="V28" i="28"/>
  <c r="U29" i="28"/>
  <c r="V27" i="27"/>
  <c r="U28" i="27"/>
  <c r="V24" i="7"/>
  <c r="W24" i="7"/>
  <c r="U25" i="7"/>
  <c r="U28" i="11"/>
  <c r="W27" i="11"/>
  <c r="V27" i="11"/>
  <c r="U30" i="28"/>
  <c r="V29" i="28"/>
  <c r="U29" i="27"/>
  <c r="V28" i="27"/>
  <c r="V25" i="7"/>
  <c r="U26" i="7"/>
  <c r="W25" i="7"/>
  <c r="V28" i="11"/>
  <c r="W28" i="11"/>
  <c r="U29" i="11"/>
  <c r="U31" i="28"/>
  <c r="V30" i="28"/>
  <c r="V29" i="27"/>
  <c r="U30" i="27"/>
  <c r="V26" i="7"/>
  <c r="U27" i="7"/>
  <c r="W26" i="7"/>
  <c r="U30" i="11"/>
  <c r="W29" i="11"/>
  <c r="V29" i="11"/>
  <c r="U32" i="28"/>
  <c r="V31" i="28"/>
  <c r="U31" i="27"/>
  <c r="V30" i="27"/>
  <c r="W27" i="7"/>
  <c r="V27" i="7"/>
  <c r="U28" i="7"/>
  <c r="V30" i="11"/>
  <c r="U31" i="11"/>
  <c r="W30" i="11"/>
  <c r="V32" i="28"/>
  <c r="U33" i="28"/>
  <c r="U32" i="27"/>
  <c r="V31" i="27"/>
  <c r="W28" i="7"/>
  <c r="V28" i="7"/>
  <c r="U29" i="7"/>
  <c r="V31" i="11"/>
  <c r="W31" i="11"/>
  <c r="U32" i="11"/>
  <c r="V33" i="28"/>
  <c r="U34" i="28"/>
  <c r="U33" i="27"/>
  <c r="V32" i="27"/>
  <c r="U30" i="7"/>
  <c r="V29" i="7"/>
  <c r="W29" i="7"/>
  <c r="V32" i="11"/>
  <c r="U33" i="11"/>
  <c r="W32" i="11"/>
  <c r="U35" i="28"/>
  <c r="V34" i="28"/>
  <c r="U34" i="27"/>
  <c r="V33" i="27"/>
  <c r="V30" i="7"/>
  <c r="U31" i="7"/>
  <c r="W30" i="7"/>
  <c r="V33" i="11"/>
  <c r="U34" i="11"/>
  <c r="W33" i="11"/>
  <c r="U36" i="28"/>
  <c r="V35" i="28"/>
  <c r="U35" i="27"/>
  <c r="V34" i="27"/>
  <c r="W31" i="7"/>
  <c r="U32" i="7"/>
  <c r="V31" i="7"/>
  <c r="V34" i="11"/>
  <c r="U35" i="11"/>
  <c r="W34" i="11"/>
  <c r="U37" i="28"/>
  <c r="V36" i="28"/>
  <c r="V35" i="27"/>
  <c r="U36" i="27"/>
  <c r="W32" i="7"/>
  <c r="U33" i="7"/>
  <c r="V32" i="7"/>
  <c r="V35" i="11"/>
  <c r="U36" i="11"/>
  <c r="W35" i="11"/>
  <c r="V37" i="28"/>
  <c r="U38" i="28"/>
  <c r="V36" i="27"/>
  <c r="U37" i="27"/>
  <c r="V33" i="7"/>
  <c r="U34" i="7"/>
  <c r="W33" i="7"/>
  <c r="W36" i="11"/>
  <c r="V36" i="11"/>
  <c r="U37" i="11"/>
  <c r="U39" i="28"/>
  <c r="V38" i="28"/>
  <c r="U38" i="27"/>
  <c r="V37" i="27"/>
  <c r="W34" i="7"/>
  <c r="U35" i="7"/>
  <c r="V34" i="7"/>
  <c r="V37" i="11"/>
  <c r="U38" i="11"/>
  <c r="W37" i="11"/>
  <c r="U40" i="28"/>
  <c r="V39" i="28"/>
  <c r="V38" i="27"/>
  <c r="U39" i="27"/>
  <c r="W35" i="7"/>
  <c r="U36" i="7"/>
  <c r="V35" i="7"/>
  <c r="V38" i="11"/>
  <c r="U39" i="11"/>
  <c r="W38" i="11"/>
  <c r="U41" i="28"/>
  <c r="V40" i="28"/>
  <c r="U40" i="27"/>
  <c r="V39" i="27"/>
  <c r="U37" i="7"/>
  <c r="W36" i="7"/>
  <c r="V36" i="7"/>
  <c r="W39" i="11"/>
  <c r="V39" i="11"/>
  <c r="U40" i="11"/>
  <c r="V41" i="28"/>
  <c r="U42" i="28"/>
  <c r="V40" i="27"/>
  <c r="U41" i="27"/>
  <c r="W37" i="7"/>
  <c r="V37" i="7"/>
  <c r="U38" i="7"/>
  <c r="W40" i="11"/>
  <c r="V40" i="11"/>
  <c r="U41" i="11"/>
  <c r="U43" i="28"/>
  <c r="V42" i="28"/>
  <c r="U42" i="27"/>
  <c r="V41" i="27"/>
  <c r="V38" i="7"/>
  <c r="U39" i="7"/>
  <c r="W38" i="7"/>
  <c r="V41" i="11"/>
  <c r="U42" i="11"/>
  <c r="W41" i="11"/>
  <c r="U44" i="28"/>
  <c r="V43" i="28"/>
  <c r="V42" i="27"/>
  <c r="U43" i="27"/>
  <c r="V39" i="7"/>
  <c r="W39" i="7"/>
  <c r="U40" i="7"/>
  <c r="V42" i="11"/>
  <c r="U43" i="11"/>
  <c r="W42" i="11"/>
  <c r="U45" i="28"/>
  <c r="V44" i="28"/>
  <c r="U44" i="27"/>
  <c r="V43" i="27"/>
  <c r="V40" i="7"/>
  <c r="U41" i="7"/>
  <c r="W40" i="7"/>
  <c r="W43" i="11"/>
  <c r="V43" i="11"/>
  <c r="U44" i="11"/>
  <c r="V45" i="28"/>
  <c r="U46" i="28"/>
  <c r="V44" i="27"/>
  <c r="U45" i="27"/>
  <c r="W41" i="7"/>
  <c r="U42" i="7"/>
  <c r="V41" i="7"/>
  <c r="W44" i="11"/>
  <c r="V44" i="11"/>
  <c r="U45" i="11"/>
  <c r="U47" i="28"/>
  <c r="V47" i="28"/>
  <c r="AA17" i="28"/>
  <c r="AA20" i="28"/>
  <c r="V46" i="28"/>
  <c r="U46" i="27"/>
  <c r="V45" i="27"/>
  <c r="V42" i="7"/>
  <c r="U43" i="7"/>
  <c r="W42" i="7"/>
  <c r="V45" i="11"/>
  <c r="U46" i="11"/>
  <c r="W45" i="11"/>
  <c r="AE17" i="28"/>
  <c r="AE20" i="28"/>
  <c r="AA33" i="28"/>
  <c r="AA36" i="28"/>
  <c r="V46" i="27"/>
  <c r="U47" i="27"/>
  <c r="V47" i="27"/>
  <c r="AA17" i="27"/>
  <c r="AA20" i="27"/>
  <c r="W43" i="7"/>
  <c r="U44" i="7"/>
  <c r="V43" i="7"/>
  <c r="V46" i="11"/>
  <c r="U47" i="11"/>
  <c r="W46" i="11"/>
  <c r="AA33" i="27"/>
  <c r="AA36" i="27"/>
  <c r="AE17" i="27"/>
  <c r="AE20" i="27"/>
  <c r="W44" i="7"/>
  <c r="V44" i="7"/>
  <c r="U45" i="7"/>
  <c r="W47" i="11"/>
  <c r="V47" i="11"/>
  <c r="AE17" i="11"/>
  <c r="AE20" i="11"/>
  <c r="AA17" i="11"/>
  <c r="AA20" i="11"/>
  <c r="AE25" i="11"/>
  <c r="AE28" i="11"/>
  <c r="AA25" i="11"/>
  <c r="AA28" i="11"/>
  <c r="AA33" i="13"/>
  <c r="AA36" i="13"/>
  <c r="W45" i="7"/>
  <c r="U46" i="7"/>
  <c r="V45" i="7"/>
  <c r="AA33" i="11"/>
  <c r="AA36" i="11"/>
  <c r="AA33" i="12"/>
  <c r="AA36" i="12"/>
  <c r="AA33" i="14"/>
  <c r="AA36" i="14"/>
  <c r="V46" i="7"/>
  <c r="U47" i="7"/>
  <c r="W46" i="7"/>
  <c r="AE25" i="8"/>
  <c r="AE28" i="8"/>
  <c r="V47" i="7"/>
  <c r="W47" i="7"/>
  <c r="AE25" i="7"/>
  <c r="AE28" i="7"/>
  <c r="AA33" i="8"/>
  <c r="AA36" i="8"/>
  <c r="AE17" i="8"/>
  <c r="AE20" i="8"/>
  <c r="AA17" i="7"/>
  <c r="AA20" i="7"/>
  <c r="AE17" i="7"/>
  <c r="AE20" i="7"/>
  <c r="AA33" i="7"/>
  <c r="AA36" i="7"/>
  <c r="AA25" i="7"/>
  <c r="AA28" i="7"/>
  <c r="X11" i="1"/>
  <c r="Y11" i="1"/>
  <c r="U17" i="1"/>
  <c r="V16" i="1"/>
  <c r="AD19" i="1"/>
  <c r="AD20" i="1"/>
  <c r="AD16" i="1"/>
  <c r="AD17" i="1"/>
  <c r="U18" i="1"/>
  <c r="V17" i="1"/>
  <c r="V18" i="1"/>
  <c r="U19" i="1"/>
  <c r="U20" i="1"/>
  <c r="V19" i="1"/>
  <c r="V20" i="1"/>
  <c r="U21" i="1"/>
  <c r="V21" i="1"/>
  <c r="U22" i="1"/>
  <c r="V22" i="1"/>
  <c r="U23" i="1"/>
  <c r="U24" i="1"/>
  <c r="V23" i="1"/>
  <c r="V24" i="1"/>
  <c r="U25" i="1"/>
  <c r="V25" i="1"/>
  <c r="U26" i="1"/>
  <c r="V26" i="1"/>
  <c r="U27" i="1"/>
  <c r="U28" i="1"/>
  <c r="V27" i="1"/>
  <c r="V28" i="1"/>
  <c r="U29" i="1"/>
  <c r="U30" i="1"/>
  <c r="V29" i="1"/>
  <c r="V30" i="1"/>
  <c r="U31" i="1"/>
  <c r="U32" i="1"/>
  <c r="V31" i="1"/>
  <c r="U33" i="1"/>
  <c r="V32" i="1"/>
  <c r="U34" i="1"/>
  <c r="V33" i="1"/>
  <c r="U35" i="1"/>
  <c r="V34" i="1"/>
  <c r="U36" i="1"/>
  <c r="V35" i="1"/>
  <c r="U37" i="1"/>
  <c r="V36" i="1"/>
  <c r="V37" i="1"/>
  <c r="U38" i="1"/>
  <c r="U39" i="1"/>
  <c r="V38" i="1"/>
  <c r="U40" i="1"/>
  <c r="V39" i="1"/>
  <c r="V40" i="1"/>
  <c r="U41" i="1"/>
  <c r="U42" i="1"/>
  <c r="V41" i="1"/>
  <c r="V42" i="1"/>
  <c r="U43" i="1"/>
  <c r="V43" i="1"/>
  <c r="U44" i="1"/>
  <c r="V44" i="1"/>
  <c r="U45" i="1"/>
  <c r="V45" i="1"/>
  <c r="U46" i="1"/>
  <c r="V46" i="1"/>
  <c r="U47" i="1"/>
  <c r="V47" i="1"/>
  <c r="AE17" i="1"/>
  <c r="AE20" i="1"/>
  <c r="AA33" i="1"/>
  <c r="AA36" i="1"/>
  <c r="C11" i="24"/>
  <c r="C13" i="24"/>
  <c r="C15" i="24"/>
  <c r="C12" i="24"/>
  <c r="C14" i="24"/>
  <c r="C16" i="24"/>
  <c r="C18" i="24"/>
  <c r="C17" i="7"/>
  <c r="C17" i="12"/>
  <c r="C17" i="13"/>
  <c r="C17" i="28"/>
  <c r="C17" i="11"/>
  <c r="C16" i="12"/>
  <c r="C16" i="1"/>
  <c r="C16" i="28"/>
  <c r="C17" i="14"/>
  <c r="C16" i="11"/>
  <c r="C17" i="1"/>
  <c r="C16" i="27"/>
  <c r="C17" i="27"/>
  <c r="C17" i="8"/>
  <c r="X12" i="8" l="1"/>
  <c r="Y12" i="8" s="1"/>
  <c r="Y11" i="8"/>
  <c r="C24" i="29"/>
  <c r="D28" i="29" s="1"/>
  <c r="D29" i="29"/>
  <c r="C33" i="29" s="1"/>
  <c r="G36" i="30"/>
  <c r="G34" i="30"/>
  <c r="G37" i="30" s="1"/>
  <c r="G35" i="30"/>
  <c r="D40" i="30"/>
  <c r="E44" i="30" s="1"/>
  <c r="D48" i="30" s="1"/>
  <c r="C18" i="27"/>
  <c r="C18" i="11"/>
  <c r="C18" i="14"/>
  <c r="C18" i="28"/>
  <c r="C18" i="1"/>
  <c r="C18" i="12"/>
  <c r="C18" i="13"/>
  <c r="C18" i="7"/>
  <c r="C18" i="8"/>
  <c r="AD27" i="8" l="1"/>
  <c r="AD28" i="8" s="1"/>
  <c r="AD24" i="8"/>
  <c r="AD25" i="8" s="1"/>
  <c r="AD19" i="8"/>
  <c r="AD20" i="8" s="1"/>
  <c r="AD16" i="8"/>
  <c r="AD17" i="8" s="1"/>
  <c r="D49" i="30"/>
  <c r="E48" i="30"/>
  <c r="F48" i="30" s="1"/>
  <c r="D54" i="30" s="1"/>
  <c r="D33" i="29"/>
  <c r="E33" i="29" s="1"/>
  <c r="C39" i="29" s="1"/>
  <c r="C34" i="29"/>
  <c r="H34" i="30"/>
  <c r="I34" i="30" s="1"/>
  <c r="D34" i="29" l="1"/>
  <c r="E34" i="29" s="1"/>
  <c r="C35" i="29"/>
  <c r="E49" i="30"/>
  <c r="F49" i="30" s="1"/>
  <c r="D50" i="30"/>
  <c r="C36" i="29" l="1"/>
  <c r="D35" i="29"/>
  <c r="E35" i="29" s="1"/>
  <c r="E50" i="30"/>
  <c r="F50" i="30" s="1"/>
  <c r="D51" i="30"/>
  <c r="E51" i="30" l="1"/>
  <c r="F51" i="30" s="1"/>
  <c r="D52" i="30"/>
  <c r="E52" i="30" s="1"/>
  <c r="F52" i="30" s="1"/>
  <c r="D36" i="29"/>
  <c r="E36" i="29" s="1"/>
  <c r="C37" i="29"/>
  <c r="D37" i="29" s="1"/>
  <c r="E37" i="2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100-000001000000}">
      <text>
        <r>
          <rPr>
            <b/>
            <sz val="9"/>
            <color indexed="81"/>
            <rFont val="Tahoma"/>
            <family val="2"/>
          </rPr>
          <t>NCt(t, df, delta=0, errBound=1e-8, maxIters=400)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200-000001000000}">
      <text>
        <r>
          <rPr>
            <b/>
            <sz val="9"/>
            <color indexed="81"/>
            <rFont val="Tahoma"/>
            <family val="2"/>
          </rPr>
          <t>NCt(t, df, delta=0, errBound=1e-8, maxIters=400)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4" authorId="0" shapeId="0" xr:uid="{00000000-0006-0000-0300-000001000000}">
      <text>
        <r>
          <rPr>
            <b/>
            <sz val="9"/>
            <color indexed="81"/>
            <rFont val="Tahoma"/>
            <family val="2"/>
          </rPr>
          <t>In equivalence trials the convention is to set alpha to 2.5% (half of what you'd use in a superiority trial, or 95% CIs to be used in the final analysis</t>
        </r>
      </text>
    </comment>
    <comment ref="C16" authorId="0" shapeId="0" xr:uid="{00000000-0006-0000-0300-000002000000}">
      <text>
        <r>
          <rPr>
            <b/>
            <sz val="9"/>
            <color indexed="81"/>
            <rFont val="Tahoma"/>
            <family val="2"/>
          </rPr>
          <t>NCt(t, df, delta=0, errBound=1e-8, maxIters=400)</t>
        </r>
      </text>
    </comment>
    <comment ref="C17" authorId="0" shapeId="0" xr:uid="{00000000-0006-0000-0300-000003000000}">
      <text>
        <r>
          <rPr>
            <b/>
            <sz val="9"/>
            <color indexed="81"/>
            <rFont val="Tahoma"/>
            <family val="2"/>
          </rPr>
          <t>NCt(t, df, delta=0, errBound=1e-8, maxIters=400)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4" authorId="0" shapeId="0" xr:uid="{00000000-0006-0000-0400-000001000000}">
      <text>
        <r>
          <rPr>
            <b/>
            <sz val="9"/>
            <color indexed="81"/>
            <rFont val="Tahoma"/>
            <family val="2"/>
          </rPr>
          <t>In equivalence trials the convention is to set alpha to 2.5% (half of what you'd use in a superiority trial, or 95% CIs to be used in the final analysis</t>
        </r>
      </text>
    </comment>
    <comment ref="C16" authorId="0" shapeId="0" xr:uid="{00000000-0006-0000-0400-000002000000}">
      <text>
        <r>
          <rPr>
            <b/>
            <sz val="9"/>
            <color indexed="81"/>
            <rFont val="Tahoma"/>
            <family val="2"/>
          </rPr>
          <t>NCt(t, df, delta=0, errBound=1e-8, maxIters=400)</t>
        </r>
      </text>
    </comment>
    <comment ref="C17" authorId="0" shapeId="0" xr:uid="{00000000-0006-0000-0400-000003000000}">
      <text>
        <r>
          <rPr>
            <b/>
            <sz val="9"/>
            <color indexed="81"/>
            <rFont val="Tahoma"/>
            <family val="2"/>
          </rPr>
          <t>NCt(t, df, delta=0, errBound=1e-8, maxIters=400)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500-000001000000}">
      <text>
        <r>
          <rPr>
            <b/>
            <sz val="9"/>
            <color indexed="81"/>
            <rFont val="Tahoma"/>
            <family val="2"/>
          </rPr>
          <t>NCt(t, df, delta=0, errBound=1e-8, maxIters=400)</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600-000001000000}">
      <text>
        <r>
          <rPr>
            <b/>
            <sz val="9"/>
            <color indexed="81"/>
            <rFont val="Tahoma"/>
            <family val="2"/>
          </rPr>
          <t>NCt(t, df, delta=0, errBound=1e-8, maxIters=400)</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B5" authorId="0" shapeId="0" xr:uid="{00000000-0006-0000-0700-000001000000}">
      <text>
        <r>
          <rPr>
            <sz val="9"/>
            <color indexed="81"/>
            <rFont val="Tahoma"/>
            <family val="2"/>
          </rPr>
          <t xml:space="preserve">There are various misconceptions regarding the variability used to power a parallel bioequivalence trial, and what this variance means. In a parallel bioequivalence trial, the variability observed between subjects is the </t>
        </r>
        <r>
          <rPr>
            <b/>
            <sz val="9"/>
            <color indexed="81"/>
            <rFont val="Tahoma"/>
            <family val="2"/>
          </rPr>
          <t>total CV</t>
        </r>
        <r>
          <rPr>
            <sz val="9"/>
            <color indexed="81"/>
            <rFont val="Tahoma"/>
            <family val="2"/>
          </rPr>
          <t xml:space="preserve">, which is composed of both the IntraCV and InterCV (even though there is just one treatment per subject). The mathamatical relationships between these variabilities are provided on the right. </t>
        </r>
        <r>
          <rPr>
            <i/>
            <sz val="9"/>
            <color indexed="81"/>
            <rFont val="Tahoma"/>
            <family val="2"/>
          </rPr>
          <t>The total CV, not the InterCV, should be used to estimate the sample size for a parallel bioequivalence study.</t>
        </r>
        <r>
          <rPr>
            <sz val="9"/>
            <color indexed="81"/>
            <rFont val="Tahoma"/>
            <family val="2"/>
          </rPr>
          <t xml:space="preserve">
</t>
        </r>
        <r>
          <rPr>
            <sz val="9"/>
            <color indexed="81"/>
            <rFont val="Tahoma"/>
            <family val="2"/>
          </rPr>
          <t xml:space="preserve">
If you have literature or pilot estimates of the InterCV and IntraCV from a crossover or replicate study, you can use the </t>
        </r>
        <r>
          <rPr>
            <b/>
            <i/>
            <sz val="9"/>
            <color indexed="81"/>
            <rFont val="Tahoma"/>
            <family val="2"/>
          </rPr>
          <t>Total CV Calculator</t>
        </r>
        <r>
          <rPr>
            <sz val="9"/>
            <color indexed="81"/>
            <rFont val="Tahoma"/>
            <family val="2"/>
          </rPr>
          <t xml:space="preserve"> on the right to estimate the total CV for the drug, and use this value to properly estimate the number of subjects for a parallel study.
If you are looking at data from a previous parallel study, the CV estimated in this study will be </t>
        </r>
        <r>
          <rPr>
            <sz val="9"/>
            <color indexed="81"/>
            <rFont val="Tahoma"/>
            <family val="2"/>
          </rPr>
          <t>total CV</t>
        </r>
        <r>
          <rPr>
            <sz val="9"/>
            <color indexed="81"/>
            <rFont val="Tahoma"/>
            <family val="2"/>
          </rPr>
          <t>, and not InterCV.</t>
        </r>
      </text>
    </comment>
    <comment ref="C16" authorId="0" shapeId="0" xr:uid="{00000000-0006-0000-0700-000002000000}">
      <text>
        <r>
          <rPr>
            <b/>
            <sz val="9"/>
            <color indexed="81"/>
            <rFont val="Tahoma"/>
            <family val="2"/>
          </rPr>
          <t>NCt(t, df, delta=0, errBound=1e-8, maxIters=400)</t>
        </r>
      </text>
    </comment>
    <comment ref="C17" authorId="0" shapeId="0" xr:uid="{00000000-0006-0000-0700-000003000000}">
      <text>
        <r>
          <rPr>
            <b/>
            <sz val="9"/>
            <color indexed="81"/>
            <rFont val="Tahoma"/>
            <family val="2"/>
          </rPr>
          <t>NCt(t, df, delta=0, errBound=1e-8, maxIters=400)</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6" authorId="0" shapeId="0" xr:uid="{00000000-0006-0000-0800-000001000000}">
      <text>
        <r>
          <rPr>
            <b/>
            <sz val="9"/>
            <color indexed="81"/>
            <rFont val="Tahoma"/>
            <family val="2"/>
          </rPr>
          <t>NCt(t, df, delta=0, errBound=1e-8, maxIters=400)</t>
        </r>
      </text>
    </comment>
    <comment ref="C17" authorId="0" shapeId="0" xr:uid="{00000000-0006-0000-0800-000002000000}">
      <text>
        <r>
          <rPr>
            <b/>
            <sz val="9"/>
            <color indexed="81"/>
            <rFont val="Tahoma"/>
            <family val="2"/>
          </rPr>
          <t>NCt(t, df, delta=0, errBound=1e-8, maxIters=400)</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6" authorId="0" shapeId="0" xr:uid="{00000000-0006-0000-0900-000001000000}">
      <text>
        <r>
          <rPr>
            <b/>
            <sz val="9"/>
            <color indexed="81"/>
            <rFont val="Tahoma"/>
            <family val="2"/>
          </rPr>
          <t>NCt(t, df, delta=0, errBound=1e-8, maxIters=400)</t>
        </r>
      </text>
    </comment>
    <comment ref="C17" authorId="0" shapeId="0" xr:uid="{00000000-0006-0000-0900-000002000000}">
      <text>
        <r>
          <rPr>
            <b/>
            <sz val="9"/>
            <color indexed="81"/>
            <rFont val="Tahoma"/>
            <family val="2"/>
          </rPr>
          <t>NCt(t, df, delta=0, errBound=1e-8, maxIters=400)</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ddubins</author>
  </authors>
  <commentList>
    <comment ref="B4" authorId="0" shapeId="0" xr:uid="{00000000-0006-0000-0F00-000001000000}">
      <text>
        <r>
          <rPr>
            <b/>
            <sz val="8"/>
            <color indexed="81"/>
            <rFont val="Tahoma"/>
            <family val="2"/>
          </rPr>
          <t>Also the "point estimate": a ratio of test to reference of the geometric means</t>
        </r>
      </text>
    </comment>
    <comment ref="B10" authorId="0" shapeId="0" xr:uid="{00000000-0006-0000-0F00-000002000000}">
      <text>
        <r>
          <rPr>
            <b/>
            <sz val="8"/>
            <color indexed="81"/>
            <rFont val="Tahoma"/>
            <family val="2"/>
          </rPr>
          <t>Excel uses a 2-tailed test, so for 90% CI use 0.1 in this funciton.</t>
        </r>
      </text>
    </comment>
  </commentList>
</comments>
</file>

<file path=xl/sharedStrings.xml><?xml version="1.0" encoding="utf-8"?>
<sst xmlns="http://schemas.openxmlformats.org/spreadsheetml/2006/main" count="1044" uniqueCount="284">
  <si>
    <t>n</t>
  </si>
  <si>
    <t>Desired Power</t>
  </si>
  <si>
    <t>n-2</t>
  </si>
  <si>
    <t>tau2</t>
  </si>
  <si>
    <t>tau1</t>
  </si>
  <si>
    <t>D</t>
  </si>
  <si>
    <t>Probt(1)</t>
  </si>
  <si>
    <t>Probt(2)</t>
  </si>
  <si>
    <t>t(1-alpha,n-2)</t>
  </si>
  <si>
    <t>Lower Equivalence Limit</t>
  </si>
  <si>
    <t>Upper Equivalence Limit</t>
  </si>
  <si>
    <t>Required Sample Size</t>
  </si>
  <si>
    <t>p</t>
  </si>
  <si>
    <t>t(1-alpha/2,n-2)</t>
  </si>
  <si>
    <t>t(1-alpha/2,nA(r+1)-2)</t>
  </si>
  <si>
    <t>nA(r+1)-2</t>
  </si>
  <si>
    <t>nA</t>
  </si>
  <si>
    <t>d</t>
  </si>
  <si>
    <t>s</t>
  </si>
  <si>
    <t>Common standard deviation</t>
  </si>
  <si>
    <t>Probability of a Type I error (false positive)</t>
  </si>
  <si>
    <t>Probability of not getting a Type II error (not getting a false negative)</t>
  </si>
  <si>
    <r>
      <t>r (note: n</t>
    </r>
    <r>
      <rPr>
        <vertAlign val="subscript"/>
        <sz val="10"/>
        <rFont val="Arial"/>
        <family val="2"/>
      </rPr>
      <t>A</t>
    </r>
    <r>
      <rPr>
        <sz val="10"/>
        <rFont val="Arial"/>
        <family val="2"/>
      </rPr>
      <t>*r=n</t>
    </r>
    <r>
      <rPr>
        <vertAlign val="subscript"/>
        <sz val="10"/>
        <rFont val="Arial"/>
        <family val="2"/>
      </rPr>
      <t>B</t>
    </r>
    <r>
      <rPr>
        <sz val="10"/>
        <rFont val="Arial"/>
        <family val="2"/>
      </rPr>
      <t>)</t>
    </r>
  </si>
  <si>
    <r>
      <t>This is the 'allocation ratio' of n</t>
    </r>
    <r>
      <rPr>
        <vertAlign val="subscript"/>
        <sz val="10"/>
        <rFont val="Arial"/>
        <family val="2"/>
      </rPr>
      <t>B</t>
    </r>
    <r>
      <rPr>
        <sz val="10"/>
        <rFont val="Arial"/>
        <family val="2"/>
      </rPr>
      <t xml:space="preserve"> over n</t>
    </r>
    <r>
      <rPr>
        <vertAlign val="subscript"/>
        <sz val="10"/>
        <rFont val="Arial"/>
        <family val="2"/>
      </rPr>
      <t>A</t>
    </r>
    <r>
      <rPr>
        <sz val="10"/>
        <rFont val="Arial"/>
        <family val="2"/>
      </rPr>
      <t xml:space="preserve"> (for equal sample sizes, r=1)</t>
    </r>
  </si>
  <si>
    <r>
      <t>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--&gt; this is the expected clinically relevant difference.</t>
    </r>
  </si>
  <si>
    <t>(total sample size)</t>
  </si>
  <si>
    <r>
      <t>s</t>
    </r>
    <r>
      <rPr>
        <vertAlign val="subscript"/>
        <sz val="10"/>
        <rFont val="Arial"/>
        <family val="2"/>
      </rPr>
      <t>w</t>
    </r>
  </si>
  <si>
    <t>t(1-alpha,nA(r+1)-2)</t>
  </si>
  <si>
    <r>
      <t>Maximum allowable 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--&gt; this is the expected clinically relevant difference.</t>
    </r>
  </si>
  <si>
    <r>
      <t>Maximum allowable difference in means (</t>
    </r>
    <r>
      <rPr>
        <sz val="10"/>
        <rFont val="Symbol"/>
        <family val="1"/>
        <charset val="2"/>
      </rPr>
      <t>m</t>
    </r>
    <r>
      <rPr>
        <vertAlign val="subscript"/>
        <sz val="10"/>
        <rFont val="Arial"/>
        <family val="2"/>
      </rPr>
      <t>A</t>
    </r>
    <r>
      <rPr>
        <sz val="10"/>
        <rFont val="Arial"/>
        <family val="2"/>
      </rPr>
      <t>-</t>
    </r>
    <r>
      <rPr>
        <sz val="10"/>
        <rFont val="Symbol"/>
        <family val="1"/>
        <charset val="2"/>
      </rPr>
      <t>m</t>
    </r>
    <r>
      <rPr>
        <vertAlign val="subscript"/>
        <sz val="10"/>
        <rFont val="Arial"/>
        <family val="2"/>
      </rPr>
      <t>B</t>
    </r>
    <r>
      <rPr>
        <sz val="10"/>
        <rFont val="Arial"/>
        <family val="2"/>
      </rPr>
      <t>) --&gt; this is the expected clinically relevant difference.</t>
    </r>
  </si>
  <si>
    <t>Expected within-subject population standard deviation</t>
  </si>
  <si>
    <t>4 period replicate (ABBA/BAAB)</t>
  </si>
  <si>
    <t>2 period replicate (AA/AB/BA/BB)</t>
  </si>
  <si>
    <t>Multiply n by:</t>
  </si>
  <si>
    <r>
      <t xml:space="preserve">Expected </t>
    </r>
    <r>
      <rPr>
        <sz val="10"/>
        <rFont val="Symbol"/>
        <family val="1"/>
        <charset val="2"/>
      </rPr>
      <t>m</t>
    </r>
    <r>
      <rPr>
        <vertAlign val="subscript"/>
        <sz val="10"/>
        <rFont val="Arial"/>
        <family val="2"/>
      </rPr>
      <t>T</t>
    </r>
    <r>
      <rPr>
        <sz val="10"/>
        <rFont val="Arial"/>
        <family val="2"/>
      </rPr>
      <t>/</t>
    </r>
    <r>
      <rPr>
        <sz val="10"/>
        <rFont val="Symbol"/>
        <family val="1"/>
        <charset val="2"/>
      </rPr>
      <t>m</t>
    </r>
    <r>
      <rPr>
        <vertAlign val="subscript"/>
        <sz val="10"/>
        <rFont val="Arial"/>
        <family val="2"/>
      </rPr>
      <t>R</t>
    </r>
    <r>
      <rPr>
        <sz val="10"/>
        <rFont val="Arial"/>
        <family val="2"/>
      </rPr>
      <t xml:space="preserve"> Ratio</t>
    </r>
  </si>
  <si>
    <r>
      <t>n</t>
    </r>
    <r>
      <rPr>
        <vertAlign val="subscript"/>
        <sz val="10"/>
        <rFont val="Arial"/>
        <family val="2"/>
      </rPr>
      <t>T</t>
    </r>
  </si>
  <si>
    <r>
      <t>n</t>
    </r>
    <r>
      <rPr>
        <vertAlign val="subscript"/>
        <sz val="10"/>
        <rFont val="Arial"/>
        <family val="2"/>
      </rPr>
      <t>T</t>
    </r>
    <r>
      <rPr>
        <sz val="10"/>
        <rFont val="Arial"/>
        <family val="2"/>
      </rPr>
      <t>*(r+1)-2</t>
    </r>
  </si>
  <si>
    <r>
      <t>t(1-alpha,n</t>
    </r>
    <r>
      <rPr>
        <vertAlign val="subscript"/>
        <sz val="10"/>
        <rFont val="Arial"/>
        <family val="2"/>
      </rPr>
      <t>T</t>
    </r>
    <r>
      <rPr>
        <sz val="10"/>
        <rFont val="Arial"/>
        <family val="2"/>
      </rPr>
      <t>(r+1)-2)</t>
    </r>
  </si>
  <si>
    <t>w</t>
  </si>
  <si>
    <t>Half-width of the confidence interval desired.</t>
  </si>
  <si>
    <r>
      <t>(r+1)t^2*</t>
    </r>
    <r>
      <rPr>
        <sz val="10"/>
        <rFont val="Symbol"/>
        <family val="1"/>
        <charset val="2"/>
      </rPr>
      <t>s</t>
    </r>
    <r>
      <rPr>
        <sz val="10"/>
        <rFont val="Arial"/>
        <family val="2"/>
      </rPr>
      <t>^2/(rw^2)</t>
    </r>
  </si>
  <si>
    <r>
      <t>2t^2*</t>
    </r>
    <r>
      <rPr>
        <sz val="10"/>
        <rFont val="Symbol"/>
        <family val="1"/>
        <charset val="2"/>
      </rPr>
      <t>s</t>
    </r>
    <r>
      <rPr>
        <sz val="10"/>
        <rFont val="Arial"/>
        <family val="2"/>
      </rPr>
      <t>^2/(w^2)</t>
    </r>
  </si>
  <si>
    <t>Is the data you're looking at to plan your trials baseline corrected?</t>
  </si>
  <si>
    <t>If so the variance may be too high to plan your sample size around.</t>
  </si>
  <si>
    <t>The variance in baseline-corrected trials can be corrected for:</t>
  </si>
  <si>
    <t>The variance can simply be divided by the factor on the right.</t>
  </si>
  <si>
    <r>
      <t>s</t>
    </r>
    <r>
      <rPr>
        <vertAlign val="superscript"/>
        <sz val="10"/>
        <rFont val="Arial"/>
        <family val="2"/>
      </rPr>
      <t>2</t>
    </r>
    <r>
      <rPr>
        <sz val="10"/>
        <rFont val="Arial"/>
        <family val="2"/>
      </rPr>
      <t xml:space="preserve"> reported</t>
    </r>
  </si>
  <si>
    <t>r</t>
  </si>
  <si>
    <t>Pearson Correlation Coefficient between observations</t>
  </si>
  <si>
    <t>Number of baseline measures taken per individual</t>
  </si>
  <si>
    <t>Variance Correction Factor:</t>
  </si>
  <si>
    <r>
      <t>s</t>
    </r>
    <r>
      <rPr>
        <vertAlign val="superscript"/>
        <sz val="10"/>
        <rFont val="Arial"/>
        <family val="2"/>
      </rPr>
      <t>2</t>
    </r>
    <r>
      <rPr>
        <sz val="10"/>
        <rFont val="Arial"/>
        <family val="2"/>
      </rPr>
      <t xml:space="preserve"> adjusted:</t>
    </r>
  </si>
  <si>
    <t>2. Post-dose Measures Correction.</t>
  </si>
  <si>
    <t>number of post-dose measures</t>
  </si>
  <si>
    <t>correlation between post-dose measures</t>
  </si>
  <si>
    <t>3. Accounting for Baseline(s) and Post-dose Measures as Covariates</t>
  </si>
  <si>
    <t>Repfactor (for Boss Button)</t>
  </si>
  <si>
    <r>
      <t>Expected 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xml:space="preserve"> expected).</t>
    </r>
  </si>
  <si>
    <r>
      <t>1-</t>
    </r>
    <r>
      <rPr>
        <sz val="10"/>
        <rFont val="Symbol"/>
        <family val="1"/>
        <charset val="2"/>
      </rPr>
      <t>b</t>
    </r>
  </si>
  <si>
    <t>a</t>
  </si>
  <si>
    <r>
      <t>n</t>
    </r>
    <r>
      <rPr>
        <vertAlign val="subscript"/>
        <sz val="10"/>
        <rFont val="Arial"/>
        <family val="2"/>
      </rPr>
      <t>A</t>
    </r>
  </si>
  <si>
    <r>
      <t>n</t>
    </r>
    <r>
      <rPr>
        <vertAlign val="subscript"/>
        <sz val="10"/>
        <rFont val="Arial"/>
        <family val="2"/>
      </rPr>
      <t>A</t>
    </r>
    <r>
      <rPr>
        <sz val="10"/>
        <rFont val="Arial"/>
        <family val="2"/>
      </rPr>
      <t>(r+1)-2</t>
    </r>
  </si>
  <si>
    <r>
      <t>t(1-alpha/2,n</t>
    </r>
    <r>
      <rPr>
        <vertAlign val="subscript"/>
        <sz val="10"/>
        <rFont val="Arial"/>
        <family val="2"/>
      </rPr>
      <t>A</t>
    </r>
    <r>
      <rPr>
        <sz val="10"/>
        <rFont val="Arial"/>
        <family val="2"/>
      </rPr>
      <t>(r+1)-2)</t>
    </r>
  </si>
  <si>
    <r>
      <t>n</t>
    </r>
    <r>
      <rPr>
        <b/>
        <vertAlign val="subscript"/>
        <sz val="10"/>
        <rFont val="Arial"/>
        <family val="2"/>
      </rPr>
      <t>A</t>
    </r>
  </si>
  <si>
    <r>
      <t>n</t>
    </r>
    <r>
      <rPr>
        <b/>
        <vertAlign val="subscript"/>
        <sz val="10"/>
        <rFont val="Arial"/>
        <family val="2"/>
      </rPr>
      <t>B</t>
    </r>
  </si>
  <si>
    <t>Probability of a Type I error (false positive).</t>
  </si>
  <si>
    <t>Total</t>
  </si>
  <si>
    <t>Probability of a Type I error (false positive) in the event that there is no significant difference between means</t>
  </si>
  <si>
    <t>Superiority, Parallel</t>
  </si>
  <si>
    <t>Superiority, Crossover</t>
  </si>
  <si>
    <t>Equivalence, Parallel</t>
  </si>
  <si>
    <t>Equivalence, Crossover</t>
  </si>
  <si>
    <t>Non-inferiority, Parallel</t>
  </si>
  <si>
    <t>Non-inferiority, Crossover</t>
  </si>
  <si>
    <t>Bioequivalence, Crossover</t>
  </si>
  <si>
    <t>Bioequivalence, Parallel</t>
  </si>
  <si>
    <t>Bioequivalence, Replicate</t>
  </si>
  <si>
    <t>Given Precision, Parallel</t>
  </si>
  <si>
    <t>Given Precision, Crossover</t>
  </si>
  <si>
    <t>Variance Correction (Baseline and Post-dose Measures)</t>
  </si>
  <si>
    <t>at your fingertips</t>
  </si>
  <si>
    <t>NOTE: This is a 2-tailed test. For a 1-tailed test, multiply alpha by 2 (and pretend it's the same alpha).</t>
  </si>
  <si>
    <r>
      <t>p</t>
    </r>
    <r>
      <rPr>
        <vertAlign val="subscript"/>
        <sz val="10"/>
        <rFont val="Arial"/>
        <family val="2"/>
      </rPr>
      <t>0</t>
    </r>
  </si>
  <si>
    <t>Predefined reference level (non-responder)</t>
  </si>
  <si>
    <t>(This is like d in the other spreadsheets)</t>
  </si>
  <si>
    <r>
      <t>p</t>
    </r>
    <r>
      <rPr>
        <vertAlign val="subscript"/>
        <sz val="10"/>
        <rFont val="Arial"/>
        <family val="2"/>
      </rPr>
      <t>1</t>
    </r>
  </si>
  <si>
    <t>This is the critical number of responders above which the null hypothesis is rejected.</t>
  </si>
  <si>
    <t>Minimum cure rate level we would like to detect</t>
  </si>
  <si>
    <t>H1: a difference exists between treatment and control.</t>
  </si>
  <si>
    <t>References:</t>
  </si>
  <si>
    <t>Intra-Subject Variability Calculator</t>
  </si>
  <si>
    <t>POINT ESTIMATE AND CONFIDENCE INTERVALS to ISV</t>
  </si>
  <si>
    <t>Ratio</t>
  </si>
  <si>
    <t>Ratio of Test to Reference</t>
  </si>
  <si>
    <t>Lower</t>
  </si>
  <si>
    <t>Lower Confidence Interval</t>
  </si>
  <si>
    <t xml:space="preserve">Upper </t>
  </si>
  <si>
    <t>Upper Confidence Interval</t>
  </si>
  <si>
    <t>N</t>
  </si>
  <si>
    <t># Subjects</t>
  </si>
  <si>
    <t>CI range</t>
  </si>
  <si>
    <t>DF</t>
  </si>
  <si>
    <t>T90</t>
  </si>
  <si>
    <t>SEEL</t>
  </si>
  <si>
    <t>SEEH</t>
  </si>
  <si>
    <t>MSEL</t>
  </si>
  <si>
    <t>MSEH</t>
  </si>
  <si>
    <t>ISVL</t>
  </si>
  <si>
    <t>ISVH</t>
  </si>
  <si>
    <t>ISV</t>
  </si>
  <si>
    <t>%</t>
  </si>
  <si>
    <r>
      <t>r</t>
    </r>
    <r>
      <rPr>
        <vertAlign val="subscript"/>
        <sz val="10"/>
        <rFont val="Arial"/>
        <family val="2"/>
      </rPr>
      <t>crit</t>
    </r>
  </si>
  <si>
    <t>Required Responders</t>
  </si>
  <si>
    <r>
      <t xml:space="preserve">H0: a difference of </t>
    </r>
    <r>
      <rPr>
        <sz val="10"/>
        <rFont val="Symbol"/>
        <family val="1"/>
        <charset val="2"/>
      </rPr>
      <t>d</t>
    </r>
    <r>
      <rPr>
        <sz val="10"/>
        <rFont val="Arial"/>
        <family val="2"/>
      </rPr>
      <t xml:space="preserve"> does not exist between treatment and control.</t>
    </r>
  </si>
  <si>
    <t>(# responders out of the total sample size needed to reject the null hypothesis)</t>
  </si>
  <si>
    <r>
      <t>If the results of the study see more than r</t>
    </r>
    <r>
      <rPr>
        <vertAlign val="subscript"/>
        <sz val="10"/>
        <rFont val="Arial"/>
        <family val="2"/>
      </rPr>
      <t>crit</t>
    </r>
    <r>
      <rPr>
        <sz val="10"/>
        <rFont val="Arial"/>
        <family val="2"/>
      </rPr>
      <t xml:space="preserve"> responders, you can reject H0 and conclude there is a more than </t>
    </r>
    <r>
      <rPr>
        <sz val="10"/>
        <rFont val="Symbol"/>
        <family val="1"/>
        <charset val="2"/>
      </rPr>
      <t>d</t>
    </r>
    <r>
      <rPr>
        <sz val="10"/>
        <rFont val="Arial"/>
        <family val="2"/>
      </rPr>
      <t xml:space="preserve"> % difference.</t>
    </r>
  </si>
  <si>
    <t>Difference Between Proportions (Binomial Test)</t>
  </si>
  <si>
    <t>Intrasubject standard deviation, taken from the residual line of an ANOVA model</t>
  </si>
  <si>
    <r>
      <t xml:space="preserve">d = </t>
    </r>
    <r>
      <rPr>
        <sz val="10"/>
        <rFont val="Arial"/>
        <family val="2"/>
      </rPr>
      <t>d</t>
    </r>
    <r>
      <rPr>
        <sz val="10"/>
        <rFont val="Symbol"/>
        <family val="1"/>
        <charset val="2"/>
      </rPr>
      <t>/s</t>
    </r>
  </si>
  <si>
    <r>
      <t xml:space="preserve">d = </t>
    </r>
    <r>
      <rPr>
        <sz val="10"/>
        <rFont val="Arial"/>
        <family val="2"/>
      </rPr>
      <t>d</t>
    </r>
    <r>
      <rPr>
        <sz val="10"/>
        <rFont val="Symbol"/>
        <family val="1"/>
        <charset val="2"/>
      </rPr>
      <t>/s</t>
    </r>
    <r>
      <rPr>
        <vertAlign val="subscript"/>
        <sz val="10"/>
        <rFont val="Arial"/>
        <family val="2"/>
      </rPr>
      <t>w</t>
    </r>
  </si>
  <si>
    <t>intra-subject CV (ISV)</t>
  </si>
  <si>
    <t>(good for smaller sample sizes, &lt;= 170)</t>
  </si>
  <si>
    <t>(Scroll down for an example)</t>
  </si>
  <si>
    <t>EXAMPLE:</t>
  </si>
  <si>
    <t>(Note: this was a typo, Table II gave a total sample size of 87 in the paper).</t>
  </si>
  <si>
    <t>Source: Julious, SA. Statist. Med. 2004; 23:1921–1986</t>
  </si>
  <si>
    <t>(Note: Table VII provided sample size estimates at 90% power.)</t>
  </si>
  <si>
    <r>
      <t>ISV = sqrt(Mean Square Error) / ((</t>
    </r>
    <r>
      <rPr>
        <sz val="10"/>
        <rFont val="Symbol"/>
        <family val="1"/>
        <charset val="2"/>
      </rPr>
      <t>m</t>
    </r>
    <r>
      <rPr>
        <vertAlign val="subscript"/>
        <sz val="10"/>
        <rFont val="Arial"/>
        <family val="2"/>
      </rPr>
      <t>A</t>
    </r>
    <r>
      <rPr>
        <sz val="10"/>
        <rFont val="Arial"/>
        <family val="2"/>
      </rPr>
      <t xml:space="preserve"> + </t>
    </r>
    <r>
      <rPr>
        <sz val="10"/>
        <rFont val="Symbol"/>
        <family val="1"/>
        <charset val="2"/>
      </rPr>
      <t>m</t>
    </r>
    <r>
      <rPr>
        <vertAlign val="subscript"/>
        <sz val="10"/>
        <rFont val="Arial"/>
        <family val="2"/>
      </rPr>
      <t>B</t>
    </r>
    <r>
      <rPr>
        <sz val="10"/>
        <rFont val="Arial"/>
        <family val="2"/>
      </rPr>
      <t>)/2). You can also get a quick and dirty estimate taking 0.5 * total CV (which is just published standard deviation / mean)</t>
    </r>
  </si>
  <si>
    <t>Source: Shein-Chung Chow, Jun Shao, Hansheng Wang. Sample Size Calculations in Clinical Research. Marcel Dekker, Inc. 
New York • Basel 2003.</t>
  </si>
  <si>
    <t>(including responders + non-responders)</t>
  </si>
  <si>
    <t xml:space="preserve">Shein-Chung Chow, Jun Shao, Hansheng Wang. Sample Size Calculations in Clinical Research. Marcel Dekker, Inc. New York • Basel 2003.
</t>
  </si>
  <si>
    <t>Toronto, Ontario, Canada</t>
  </si>
  <si>
    <t>Bioequivalence Limits:</t>
  </si>
  <si>
    <r>
      <rPr>
        <sz val="10"/>
        <rFont val="Symbol"/>
        <family val="1"/>
        <charset val="2"/>
      </rPr>
      <t>s</t>
    </r>
    <r>
      <rPr>
        <sz val="10"/>
        <rFont val="Arial"/>
        <family val="2"/>
      </rPr>
      <t>w0 is the SD at which the BE limits are permitted to be widened (set by an agency)</t>
    </r>
  </si>
  <si>
    <t>BE limits, ln-scale (±)</t>
  </si>
  <si>
    <t>Source:</t>
  </si>
  <si>
    <t>http://www.fda.gov/ohrms/dockets/ac/06/slides/2006-4241s2_4.ppt</t>
  </si>
  <si>
    <t>http://www.fda.gov/ohrms/dockets/ac/06/slides/2006-4241s2_3.ppt</t>
  </si>
  <si>
    <t>Sources:</t>
  </si>
  <si>
    <r>
      <rPr>
        <sz val="10"/>
        <rFont val="Symbol"/>
        <family val="1"/>
        <charset val="2"/>
      </rPr>
      <t>s</t>
    </r>
    <r>
      <rPr>
        <sz val="10"/>
        <rFont val="Arial"/>
        <family val="2"/>
      </rPr>
      <t>wr is either the residual SD (ABE) or the SD of the reference product (replicate design)</t>
    </r>
  </si>
  <si>
    <t xml:space="preserve"> (Note: Dr. Midha and Dr. Sam Haidar propose a value of 0.25 as a permitted SD)</t>
  </si>
  <si>
    <t>http://bebac.at/news/2006-10-06.htm</t>
  </si>
  <si>
    <t>σwr^2</t>
  </si>
  <si>
    <t>(reference product)</t>
  </si>
  <si>
    <t>http://www.springerlink.com/content/u503p62056413677/fulltext.pdf</t>
  </si>
  <si>
    <t>If CVWR &gt; 30%, FDA will use the reference-scaled average BE approach</t>
  </si>
  <si>
    <t>If CVWR &lt; 30%, FDA will use the unscaled average BE approach</t>
  </si>
  <si>
    <t>http://www.fda.gov/ohrms/dockets/ac/06/slides/2006-4241s2_5.ppt</t>
  </si>
  <si>
    <t xml:space="preserve"> (Note: Presentation by Barbara Davit suggests 30% cutoff for IntraCV)*</t>
  </si>
  <si>
    <t>* Calculation of BE limits assumes that the 30% cutoff suggested by Barbara Davit be used as the Permitted SD.</t>
  </si>
  <si>
    <t>Scaled average bioequivalence, based on within subject variability of reference (Dr. Haider notation)</t>
  </si>
  <si>
    <t>Scaled average bioequivalence, based on within subject variability of reference (Dr. Midah notation)</t>
  </si>
  <si>
    <t>Bioequivalence Limits for Point Estimate: 80.00 - 125.00%</t>
  </si>
  <si>
    <t>Widening of Bioequivalence Limits Based on Reference Variability</t>
  </si>
  <si>
    <t>Expansion of Bioequivalence Limits Based on Fixed Sample Size</t>
  </si>
  <si>
    <t>Method B (Haidar et al 2008)</t>
  </si>
  <si>
    <t>Number of Subjects (Completed):</t>
  </si>
  <si>
    <t>Reference/Reference Ratio:</t>
  </si>
  <si>
    <t>t(0.05,n-2)</t>
  </si>
  <si>
    <t>Method C1 (Haidar et al, 2008)</t>
  </si>
  <si>
    <t>*Note: for this method, the ISV would have to be &gt;47%, with n=24 and Ref/Ref = 1.</t>
  </si>
  <si>
    <t>If Ref/Ref &lt;&gt;1, BE limits are not symmetrical about unity.</t>
  </si>
  <si>
    <t>Standard Error of Difference</t>
  </si>
  <si>
    <t>Perhaps take the reciprocal of the largest confidence limit to rectify? Issue not discussed in the Haidar paper.</t>
  </si>
  <si>
    <t>k:</t>
  </si>
  <si>
    <t>σwr</t>
  </si>
  <si>
    <t>Method C2 (Haidar et al, 2008)</t>
  </si>
  <si>
    <t>Other Discussed Approaches</t>
  </si>
  <si>
    <t>Proposed FDA Approach for Scaled Bioequivalence Limits</t>
  </si>
  <si>
    <t>06 October 2006 meeting of the Advisory Committee for Pharmaceutical Sciences (ACPS)</t>
  </si>
  <si>
    <t>Expansion of Bioequivalence Limits Based on Sample Size and Scaling</t>
  </si>
  <si>
    <t>Method D (Haidar et al, 2008)</t>
  </si>
  <si>
    <t>Type II Error (beta)</t>
  </si>
  <si>
    <t>Type I Error (alpha)</t>
  </si>
  <si>
    <t># Subjects Desired in Study (2n):</t>
  </si>
  <si>
    <t>t(alpha,2n-2)</t>
  </si>
  <si>
    <t>t(beta/2,2n-2)</t>
  </si>
  <si>
    <t xml:space="preserve"> (consumer risk)</t>
  </si>
  <si>
    <t>http://www.fda.gov/cder/Guidance/3616fnl.pdf</t>
  </si>
  <si>
    <t>Method C3 (Haidar et al, 2008)</t>
  </si>
  <si>
    <t>σwt^2</t>
  </si>
  <si>
    <t>σd^2</t>
  </si>
  <si>
    <t>θi</t>
  </si>
  <si>
    <t>Permitted SD (σw0):</t>
  </si>
  <si>
    <t>θ:</t>
  </si>
  <si>
    <t>Corresponding Permitted IntraCV:</t>
  </si>
  <si>
    <t>σwr^2:</t>
  </si>
  <si>
    <t>Limits of μT - μR (±sqrt(θ*σwr^2)):</t>
  </si>
  <si>
    <t>Intra-subject Standard Deviation:</t>
  </si>
  <si>
    <t>(IntraCV of Reference)</t>
  </si>
  <si>
    <t>(IntraCV of Test)</t>
  </si>
  <si>
    <t>(Subject by formulation interaction)</t>
  </si>
  <si>
    <t>Limits for (uT - uR):</t>
  </si>
  <si>
    <t>If a Permitted SD of 0.25 is used in this method, it will yield the same results numerically as Dr. Midah.</t>
  </si>
  <si>
    <t>Scaled Bioequivalence Limits - Highly Variable Drugs</t>
  </si>
  <si>
    <t>d.dubins@utoronto.ca</t>
  </si>
  <si>
    <t>Julious, SA. Statist. Med. 2004; 23:1921–1986</t>
  </si>
  <si>
    <t>IntraCV of Reference Product</t>
  </si>
  <si>
    <t xml:space="preserve"> Note: This CV will be used to calculate BE limits for each method on this worksheet.</t>
  </si>
  <si>
    <t>http://www.fda.gov/ohrms/dockets/ac/04/briefing/4034B1_07_Bioequivalence%20Requirments-Draft.pdf</t>
  </si>
  <si>
    <t>Relationship between σw0 and k of Method C1 (below)</t>
  </si>
  <si>
    <t>David Dubins, Ph.D. B.A.Sc.</t>
  </si>
  <si>
    <t>Leslie Dan Faculty of Pharmacy, University of Toronto</t>
  </si>
  <si>
    <t>144 College Street</t>
  </si>
  <si>
    <t>M5S 3M2</t>
  </si>
  <si>
    <t>X</t>
  </si>
  <si>
    <t>A</t>
  </si>
  <si>
    <t>B</t>
  </si>
  <si>
    <t>Treatment A</t>
  </si>
  <si>
    <t>Treatment B</t>
  </si>
  <si>
    <t>STDEV</t>
  </si>
  <si>
    <t>90%CI</t>
  </si>
  <si>
    <t>Mean</t>
  </si>
  <si>
    <t>STDERR</t>
  </si>
  <si>
    <t>x</t>
  </si>
  <si>
    <t>y</t>
  </si>
  <si>
    <t>Point1</t>
  </si>
  <si>
    <t>LOWER:</t>
  </si>
  <si>
    <t>Point2</t>
  </si>
  <si>
    <t>UPPER:</t>
  </si>
  <si>
    <t>STDEV TRT A</t>
  </si>
  <si>
    <t>STDEV TRT B</t>
  </si>
  <si>
    <t>90%CI TRT A</t>
  </si>
  <si>
    <t>90%CI TRT B</t>
  </si>
  <si>
    <t>SCALE:</t>
  </si>
  <si>
    <t>STEP:</t>
  </si>
  <si>
    <t>d LIMITS</t>
  </si>
  <si>
    <t>T/R</t>
  </si>
  <si>
    <t>BE LIMITS</t>
  </si>
  <si>
    <r>
      <t>Lehr's Formula, n=16</t>
    </r>
    <r>
      <rPr>
        <sz val="10"/>
        <rFont val="Symbol"/>
        <family val="1"/>
        <charset val="2"/>
      </rPr>
      <t>s</t>
    </r>
    <r>
      <rPr>
        <vertAlign val="superscript"/>
        <sz val="10"/>
        <rFont val="Arial"/>
        <family val="2"/>
      </rPr>
      <t>2</t>
    </r>
    <r>
      <rPr>
        <sz val="10"/>
        <rFont val="Arial"/>
        <family val="2"/>
      </rPr>
      <t>/d</t>
    </r>
    <r>
      <rPr>
        <vertAlign val="superscript"/>
        <sz val="10"/>
        <rFont val="Arial"/>
        <family val="2"/>
      </rPr>
      <t>2</t>
    </r>
  </si>
  <si>
    <r>
      <t>per group (</t>
    </r>
    <r>
      <rPr>
        <sz val="10"/>
        <rFont val="Symbol"/>
        <family val="1"/>
        <charset val="2"/>
      </rPr>
      <t>a=5%, b=20%)</t>
    </r>
  </si>
  <si>
    <t>Δ</t>
  </si>
  <si>
    <r>
      <t>Expected difference in means (</t>
    </r>
    <r>
      <rPr>
        <sz val="10"/>
        <rFont val="Symbol"/>
        <family val="1"/>
        <charset val="2"/>
      </rPr>
      <t>m</t>
    </r>
    <r>
      <rPr>
        <vertAlign val="subscript"/>
        <sz val="10"/>
        <rFont val="Arial"/>
        <family val="2"/>
      </rPr>
      <t>A</t>
    </r>
    <r>
      <rPr>
        <sz val="10"/>
        <rFont val="Arial"/>
        <family val="2"/>
      </rPr>
      <t>-</t>
    </r>
    <r>
      <rPr>
        <sz val="10"/>
        <rFont val="Symbol"/>
        <family val="1"/>
        <charset val="2"/>
      </rPr>
      <t>m</t>
    </r>
    <r>
      <rPr>
        <vertAlign val="subscript"/>
        <sz val="10"/>
        <rFont val="Arial"/>
        <family val="2"/>
      </rPr>
      <t>B</t>
    </r>
    <r>
      <rPr>
        <sz val="10"/>
        <rFont val="Arial"/>
        <family val="2"/>
      </rPr>
      <t xml:space="preserve"> expected). If Treatment A is better, </t>
    </r>
    <r>
      <rPr>
        <sz val="10"/>
        <rFont val="Symbol"/>
        <family val="1"/>
        <charset val="2"/>
      </rPr>
      <t>D</t>
    </r>
    <r>
      <rPr>
        <sz val="10"/>
        <rFont val="Arial"/>
        <family val="2"/>
      </rPr>
      <t>&lt;0.</t>
    </r>
  </si>
  <si>
    <t>r (note: nT*r=nR)</t>
  </si>
  <si>
    <t>This is the 'allocation ratio' of nR over nT (for equal sample sizes, r=1)</t>
  </si>
  <si>
    <t>3 period replicate (ABB/BAA)</t>
  </si>
  <si>
    <r>
      <t>Dave's note:</t>
    </r>
    <r>
      <rPr>
        <sz val="10"/>
        <rFont val="Arial"/>
        <family val="2"/>
      </rPr>
      <t xml:space="preserve"> in industry for BE studies, the tendency is to use a Test/Reference ratio of 0.95 and a power of 80%.</t>
    </r>
  </si>
  <si>
    <t>Total CV</t>
  </si>
  <si>
    <t>InterCV:</t>
  </si>
  <si>
    <t>IntraCV:</t>
  </si>
  <si>
    <t>Total CV:</t>
  </si>
  <si>
    <r>
      <rPr>
        <b/>
        <sz val="16"/>
        <rFont val="Arial"/>
        <family val="2"/>
      </rPr>
      <t>F</t>
    </r>
    <r>
      <rPr>
        <sz val="16"/>
        <rFont val="Arial"/>
        <family val="2"/>
      </rPr>
      <t xml:space="preserve">ree </t>
    </r>
    <r>
      <rPr>
        <b/>
        <sz val="16"/>
        <rFont val="Arial"/>
        <family val="2"/>
      </rPr>
      <t>A</t>
    </r>
    <r>
      <rPr>
        <sz val="16"/>
        <rFont val="Arial"/>
        <family val="2"/>
      </rPr>
      <t xml:space="preserve">nalysis </t>
    </r>
    <r>
      <rPr>
        <b/>
        <sz val="16"/>
        <rFont val="Arial"/>
        <family val="2"/>
      </rPr>
      <t>R</t>
    </r>
    <r>
      <rPr>
        <sz val="16"/>
        <rFont val="Arial"/>
        <family val="2"/>
      </rPr>
      <t xml:space="preserve">esearch </t>
    </r>
    <r>
      <rPr>
        <b/>
        <sz val="16"/>
        <rFont val="Arial"/>
        <family val="2"/>
      </rPr>
      <t>T</t>
    </r>
    <r>
      <rPr>
        <sz val="16"/>
        <rFont val="Arial"/>
        <family val="2"/>
      </rPr>
      <t>ool</t>
    </r>
  </si>
  <si>
    <r>
      <t xml:space="preserve">for </t>
    </r>
    <r>
      <rPr>
        <b/>
        <sz val="16"/>
        <rFont val="Arial"/>
        <family val="2"/>
      </rPr>
      <t>S</t>
    </r>
    <r>
      <rPr>
        <sz val="16"/>
        <rFont val="Arial"/>
        <family val="2"/>
      </rPr>
      <t xml:space="preserve">ample </t>
    </r>
    <r>
      <rPr>
        <b/>
        <sz val="16"/>
        <rFont val="Arial"/>
        <family val="2"/>
      </rPr>
      <t>S</t>
    </r>
    <r>
      <rPr>
        <sz val="16"/>
        <rFont val="Arial"/>
        <family val="2"/>
      </rPr>
      <t xml:space="preserve">ize </t>
    </r>
    <r>
      <rPr>
        <b/>
        <sz val="16"/>
        <rFont val="Arial"/>
        <family val="2"/>
      </rPr>
      <t>I</t>
    </r>
    <r>
      <rPr>
        <sz val="16"/>
        <rFont val="Arial"/>
        <family val="2"/>
      </rPr>
      <t xml:space="preserve">terative </t>
    </r>
    <r>
      <rPr>
        <b/>
        <sz val="16"/>
        <rFont val="Arial"/>
        <family val="2"/>
      </rPr>
      <t>E</t>
    </r>
    <r>
      <rPr>
        <sz val="16"/>
        <rFont val="Arial"/>
        <family val="2"/>
      </rPr>
      <t>stimation</t>
    </r>
  </si>
  <si>
    <t>https://bebac.at/articles/Sample-Size-Estimation-for-Equivalence-Studies-in-a-Parallel-Design.htm#fn9</t>
  </si>
  <si>
    <t>If you have InterCV &amp; IntraCV</t>
  </si>
  <si>
    <t>from a crossover or replicate trial:</t>
  </si>
  <si>
    <t>Total CV Calculator:</t>
  </si>
  <si>
    <t>See the cell note on Total CV.</t>
  </si>
  <si>
    <t>Subject Dropout Estimator: Background + AE</t>
  </si>
  <si>
    <r>
      <t>p</t>
    </r>
    <r>
      <rPr>
        <vertAlign val="subscript"/>
        <sz val="11"/>
        <color theme="1"/>
        <rFont val="Calibri"/>
        <family val="2"/>
        <scheme val="minor"/>
      </rPr>
      <t>A</t>
    </r>
  </si>
  <si>
    <r>
      <t>p</t>
    </r>
    <r>
      <rPr>
        <vertAlign val="subscript"/>
        <sz val="11"/>
        <color theme="1"/>
        <rFont val="Calibri"/>
        <family val="2"/>
        <scheme val="minor"/>
      </rPr>
      <t>B</t>
    </r>
  </si>
  <si>
    <r>
      <t>p</t>
    </r>
    <r>
      <rPr>
        <vertAlign val="subscript"/>
        <sz val="11"/>
        <color theme="1"/>
        <rFont val="Calibri"/>
        <family val="2"/>
        <scheme val="minor"/>
      </rPr>
      <t>A</t>
    </r>
    <r>
      <rPr>
        <vertAlign val="subscript"/>
        <sz val="11"/>
        <color theme="1"/>
        <rFont val="Symbol"/>
        <family val="1"/>
        <charset val="2"/>
      </rPr>
      <t>Ç</t>
    </r>
    <r>
      <rPr>
        <vertAlign val="subscript"/>
        <sz val="11"/>
        <color theme="1"/>
        <rFont val="Calibri"/>
        <family val="2"/>
        <scheme val="minor"/>
      </rPr>
      <t>B</t>
    </r>
  </si>
  <si>
    <r>
      <t>p</t>
    </r>
    <r>
      <rPr>
        <vertAlign val="subscript"/>
        <sz val="11"/>
        <color theme="1"/>
        <rFont val="Calibri"/>
        <family val="2"/>
        <scheme val="minor"/>
      </rPr>
      <t>A</t>
    </r>
    <r>
      <rPr>
        <vertAlign val="subscript"/>
        <sz val="11"/>
        <color theme="1"/>
        <rFont val="Symbol"/>
        <family val="1"/>
        <charset val="2"/>
      </rPr>
      <t>È</t>
    </r>
    <r>
      <rPr>
        <vertAlign val="subscript"/>
        <sz val="11"/>
        <color theme="1"/>
        <rFont val="Calibri"/>
        <family val="2"/>
        <scheme val="minor"/>
      </rPr>
      <t>B</t>
    </r>
  </si>
  <si>
    <t>(Total Dropout Rate)</t>
  </si>
  <si>
    <r>
      <t>1-p</t>
    </r>
    <r>
      <rPr>
        <vertAlign val="subscript"/>
        <sz val="11"/>
        <color theme="1"/>
        <rFont val="Calibri"/>
        <family val="2"/>
        <scheme val="minor"/>
      </rPr>
      <t>A</t>
    </r>
    <r>
      <rPr>
        <vertAlign val="subscript"/>
        <sz val="11"/>
        <color theme="1"/>
        <rFont val="Symbol"/>
        <family val="1"/>
        <charset val="2"/>
      </rPr>
      <t>È</t>
    </r>
    <r>
      <rPr>
        <vertAlign val="subscript"/>
        <sz val="11"/>
        <color theme="1"/>
        <rFont val="Calibri"/>
        <family val="2"/>
        <scheme val="minor"/>
      </rPr>
      <t>B</t>
    </r>
  </si>
  <si>
    <t>(Subjects Remaining)</t>
  </si>
  <si>
    <t># Dropouts:</t>
  </si>
  <si>
    <t># Enrol:</t>
  </si>
  <si>
    <t>Divisible by:</t>
  </si>
  <si>
    <t xml:space="preserve">  Make the final answer divisible by the number of sequences in the trial.</t>
  </si>
  <si>
    <t>Sample Size:</t>
  </si>
  <si>
    <t>Round up to:</t>
  </si>
  <si>
    <t>subjects</t>
  </si>
  <si>
    <t>Subject Dropout Estimator: Background + AE1 + AE2</t>
  </si>
  <si>
    <t xml:space="preserve">  Probability of AE1</t>
  </si>
  <si>
    <r>
      <t>p</t>
    </r>
    <r>
      <rPr>
        <vertAlign val="subscript"/>
        <sz val="11"/>
        <color theme="1"/>
        <rFont val="Calibri"/>
        <family val="2"/>
        <scheme val="minor"/>
      </rPr>
      <t>C</t>
    </r>
  </si>
  <si>
    <t xml:space="preserve">  Probability of AE2</t>
  </si>
  <si>
    <t>Only 2:</t>
  </si>
  <si>
    <t>Only 1:</t>
  </si>
  <si>
    <t>At least 1:</t>
  </si>
  <si>
    <t>None:</t>
  </si>
  <si>
    <t>AB</t>
  </si>
  <si>
    <r>
      <t>p</t>
    </r>
    <r>
      <rPr>
        <vertAlign val="subscript"/>
        <sz val="11"/>
        <color theme="1"/>
        <rFont val="Calibri"/>
        <family val="2"/>
        <scheme val="minor"/>
      </rPr>
      <t>A</t>
    </r>
    <r>
      <rPr>
        <vertAlign val="subscript"/>
        <sz val="11"/>
        <color theme="1"/>
        <rFont val="Symbol"/>
        <family val="1"/>
        <charset val="2"/>
      </rPr>
      <t>Ç</t>
    </r>
    <r>
      <rPr>
        <vertAlign val="subscript"/>
        <sz val="11"/>
        <color theme="1"/>
        <rFont val="Calibri"/>
        <family val="2"/>
        <scheme val="minor"/>
      </rPr>
      <t>C</t>
    </r>
  </si>
  <si>
    <t>BC</t>
  </si>
  <si>
    <r>
      <t>p</t>
    </r>
    <r>
      <rPr>
        <vertAlign val="subscript"/>
        <sz val="11"/>
        <color theme="1"/>
        <rFont val="Calibri"/>
        <family val="2"/>
        <scheme val="minor"/>
      </rPr>
      <t>B</t>
    </r>
    <r>
      <rPr>
        <vertAlign val="subscript"/>
        <sz val="11"/>
        <color theme="1"/>
        <rFont val="Symbol"/>
        <family val="1"/>
        <charset val="2"/>
      </rPr>
      <t>Ç</t>
    </r>
    <r>
      <rPr>
        <vertAlign val="subscript"/>
        <sz val="11"/>
        <color theme="1"/>
        <rFont val="Calibri"/>
        <family val="2"/>
        <scheme val="minor"/>
      </rPr>
      <t>C</t>
    </r>
  </si>
  <si>
    <t>AC</t>
  </si>
  <si>
    <r>
      <t>p</t>
    </r>
    <r>
      <rPr>
        <vertAlign val="subscript"/>
        <sz val="11"/>
        <color theme="1"/>
        <rFont val="Calibri"/>
        <family val="2"/>
        <scheme val="minor"/>
      </rPr>
      <t>A</t>
    </r>
    <r>
      <rPr>
        <vertAlign val="subscript"/>
        <sz val="11"/>
        <color theme="1"/>
        <rFont val="Symbol"/>
        <family val="1"/>
        <charset val="2"/>
      </rPr>
      <t>Ç</t>
    </r>
    <r>
      <rPr>
        <vertAlign val="subscript"/>
        <sz val="11"/>
        <color theme="1"/>
        <rFont val="Calibri"/>
        <family val="2"/>
      </rPr>
      <t>B</t>
    </r>
    <r>
      <rPr>
        <vertAlign val="subscript"/>
        <sz val="11"/>
        <color theme="1"/>
        <rFont val="Symbol"/>
        <family val="1"/>
        <charset val="2"/>
      </rPr>
      <t>Ç</t>
    </r>
    <r>
      <rPr>
        <vertAlign val="subscript"/>
        <sz val="11"/>
        <color theme="1"/>
        <rFont val="Calibri"/>
        <family val="2"/>
        <scheme val="minor"/>
      </rPr>
      <t>C</t>
    </r>
  </si>
  <si>
    <t>Sum:</t>
  </si>
  <si>
    <r>
      <t>p</t>
    </r>
    <r>
      <rPr>
        <vertAlign val="subscript"/>
        <sz val="11"/>
        <color theme="1"/>
        <rFont val="Calibri"/>
        <family val="2"/>
        <scheme val="minor"/>
      </rPr>
      <t>A</t>
    </r>
    <r>
      <rPr>
        <vertAlign val="subscript"/>
        <sz val="11"/>
        <color theme="1"/>
        <rFont val="Symbol"/>
        <family val="1"/>
        <charset val="2"/>
      </rPr>
      <t>È</t>
    </r>
    <r>
      <rPr>
        <vertAlign val="subscript"/>
        <sz val="11"/>
        <color theme="1"/>
        <rFont val="Calibri"/>
        <family val="2"/>
        <scheme val="minor"/>
      </rPr>
      <t>B</t>
    </r>
    <r>
      <rPr>
        <vertAlign val="subscript"/>
        <sz val="11"/>
        <color theme="1"/>
        <rFont val="Symbol"/>
        <family val="1"/>
        <charset val="2"/>
      </rPr>
      <t>È</t>
    </r>
    <r>
      <rPr>
        <vertAlign val="subscript"/>
        <sz val="11"/>
        <color theme="1"/>
        <rFont val="Calibri"/>
        <family val="2"/>
      </rPr>
      <t>C</t>
    </r>
  </si>
  <si>
    <r>
      <t>1-p</t>
    </r>
    <r>
      <rPr>
        <vertAlign val="subscript"/>
        <sz val="11"/>
        <color theme="1"/>
        <rFont val="Calibri"/>
        <family val="2"/>
        <scheme val="minor"/>
      </rPr>
      <t>A</t>
    </r>
    <r>
      <rPr>
        <vertAlign val="subscript"/>
        <sz val="11"/>
        <color theme="1"/>
        <rFont val="Symbol"/>
        <family val="1"/>
        <charset val="2"/>
      </rPr>
      <t>È</t>
    </r>
    <r>
      <rPr>
        <vertAlign val="subscript"/>
        <sz val="11"/>
        <color theme="1"/>
        <rFont val="Calibri"/>
        <family val="2"/>
        <scheme val="minor"/>
      </rPr>
      <t>B</t>
    </r>
    <r>
      <rPr>
        <vertAlign val="subscript"/>
        <sz val="11"/>
        <color theme="1"/>
        <rFont val="Symbol"/>
        <family val="1"/>
        <charset val="2"/>
      </rPr>
      <t>È</t>
    </r>
    <r>
      <rPr>
        <vertAlign val="subscript"/>
        <sz val="11"/>
        <color theme="1"/>
        <rFont val="Calibri"/>
        <family val="2"/>
      </rPr>
      <t>C</t>
    </r>
  </si>
  <si>
    <t># Completed Subjects:</t>
  </si>
  <si>
    <t>Version 2.9</t>
  </si>
  <si>
    <t>© David Dubins, 2007-2023 (d.dubins@utoronto.ca)</t>
  </si>
  <si>
    <t xml:space="preserve">  Background dropout probability. Suggest 0.1 for a 2WXO, 0.15 for a semi-replicate or long half-life 2WXO.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</si>
</sst>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0.0%"/>
    <numFmt numFmtId="165" formatCode="0.0"/>
    <numFmt numFmtId="166" formatCode="0.00000"/>
    <numFmt numFmtId="167" formatCode="0.00000000000000%"/>
  </numFmts>
  <fonts count="59">
    <font>
      <sz val="10"/>
      <name val="Arial"/>
    </font>
    <font>
      <sz val="11"/>
      <color theme="1"/>
      <name val="Calibri"/>
      <family val="2"/>
      <scheme val="minor"/>
    </font>
    <font>
      <sz val="11"/>
      <color theme="1"/>
      <name val="Calibri"/>
      <family val="2"/>
      <scheme val="minor"/>
    </font>
    <font>
      <sz val="10"/>
      <name val="Arial"/>
      <family val="2"/>
    </font>
    <font>
      <sz val="8"/>
      <name val="Arial"/>
      <family val="2"/>
    </font>
    <font>
      <b/>
      <sz val="10"/>
      <name val="Arial"/>
      <family val="2"/>
    </font>
    <font>
      <sz val="10"/>
      <name val="Arial"/>
      <family val="2"/>
    </font>
    <font>
      <b/>
      <sz val="10"/>
      <color indexed="10"/>
      <name val="Arial"/>
      <family val="2"/>
    </font>
    <font>
      <sz val="10"/>
      <name val="Courier"/>
      <family val="3"/>
    </font>
    <font>
      <sz val="10"/>
      <color indexed="12"/>
      <name val="Arial"/>
      <family val="2"/>
    </font>
    <font>
      <sz val="10"/>
      <name val="Symbol"/>
      <family val="1"/>
      <charset val="2"/>
    </font>
    <font>
      <sz val="10"/>
      <name val="Symbol"/>
      <family val="1"/>
      <charset val="2"/>
    </font>
    <font>
      <vertAlign val="subscript"/>
      <sz val="10"/>
      <name val="Arial"/>
      <family val="2"/>
    </font>
    <font>
      <vertAlign val="superscript"/>
      <sz val="10"/>
      <name val="Arial"/>
      <family val="2"/>
    </font>
    <font>
      <b/>
      <sz val="9"/>
      <color indexed="81"/>
      <name val="Tahoma"/>
      <family val="2"/>
    </font>
    <font>
      <b/>
      <vertAlign val="subscript"/>
      <sz val="10"/>
      <name val="Arial"/>
      <family val="2"/>
    </font>
    <font>
      <sz val="16"/>
      <name val="Arial"/>
      <family val="2"/>
    </font>
    <font>
      <b/>
      <sz val="20"/>
      <name val="Arial"/>
      <family val="2"/>
    </font>
    <font>
      <sz val="7"/>
      <name val="Arial"/>
      <family val="2"/>
    </font>
    <font>
      <u/>
      <sz val="10"/>
      <color indexed="12"/>
      <name val="Arial"/>
      <family val="2"/>
    </font>
    <font>
      <sz val="16"/>
      <name val="Arial"/>
      <family val="2"/>
    </font>
    <font>
      <b/>
      <sz val="10"/>
      <color indexed="17"/>
      <name val="Arial"/>
      <family val="2"/>
    </font>
    <font>
      <sz val="10"/>
      <color indexed="12"/>
      <name val="Arial"/>
      <family val="2"/>
    </font>
    <font>
      <b/>
      <sz val="16"/>
      <color indexed="12"/>
      <name val="Arial"/>
      <family val="2"/>
    </font>
    <font>
      <b/>
      <sz val="8"/>
      <color indexed="81"/>
      <name val="Tahoma"/>
      <family val="2"/>
    </font>
    <font>
      <b/>
      <sz val="14"/>
      <name val="Arial"/>
      <family val="2"/>
    </font>
    <font>
      <sz val="9"/>
      <name val="Arial"/>
      <family val="2"/>
    </font>
    <font>
      <u/>
      <sz val="9"/>
      <color indexed="12"/>
      <name val="Arial"/>
      <family val="2"/>
    </font>
    <font>
      <u/>
      <sz val="8"/>
      <color indexed="12"/>
      <name val="Arial"/>
      <family val="2"/>
    </font>
    <font>
      <b/>
      <sz val="10"/>
      <color rgb="FFFF0000"/>
      <name val="Arial"/>
      <family val="2"/>
    </font>
    <font>
      <sz val="14"/>
      <color rgb="FF0000FF"/>
      <name val="Arial"/>
      <family val="2"/>
    </font>
    <font>
      <sz val="14"/>
      <color rgb="FF008000"/>
      <name val="Arial"/>
      <family val="2"/>
    </font>
    <font>
      <b/>
      <sz val="12"/>
      <color rgb="FFC00000"/>
      <name val="Arial"/>
      <family val="2"/>
    </font>
    <font>
      <b/>
      <i/>
      <sz val="10"/>
      <name val="Arial"/>
      <family val="2"/>
    </font>
    <font>
      <sz val="10"/>
      <color rgb="FF000000"/>
      <name val="Arial"/>
      <family val="2"/>
    </font>
    <font>
      <sz val="8"/>
      <color rgb="FF000000"/>
      <name val="Tahoma"/>
      <family val="2"/>
    </font>
    <font>
      <sz val="9"/>
      <color rgb="FF000000"/>
      <name val="Arial"/>
      <family val="2"/>
    </font>
    <font>
      <b/>
      <sz val="10"/>
      <name val="Arial"/>
      <family val="1"/>
      <charset val="2"/>
    </font>
    <font>
      <sz val="10"/>
      <name val="Calibri"/>
      <family val="2"/>
    </font>
    <font>
      <sz val="10"/>
      <name val="Arial"/>
      <family val="2"/>
    </font>
    <font>
      <sz val="10"/>
      <color theme="0"/>
      <name val="Arial"/>
      <family val="2"/>
    </font>
    <font>
      <b/>
      <sz val="10"/>
      <color theme="0"/>
      <name val="Arial"/>
      <family val="2"/>
    </font>
    <font>
      <i/>
      <sz val="10"/>
      <name val="Arial"/>
      <family val="2"/>
    </font>
    <font>
      <sz val="10"/>
      <color rgb="FF0070C0"/>
      <name val="Arial"/>
      <family val="2"/>
    </font>
    <font>
      <b/>
      <sz val="16"/>
      <name val="Arial"/>
      <family val="2"/>
    </font>
    <font>
      <sz val="9"/>
      <color indexed="81"/>
      <name val="Tahoma"/>
      <family val="2"/>
    </font>
    <font>
      <b/>
      <i/>
      <sz val="9"/>
      <color indexed="81"/>
      <name val="Tahoma"/>
      <family val="2"/>
    </font>
    <font>
      <i/>
      <sz val="9"/>
      <color indexed="81"/>
      <name val="Tahoma"/>
      <family val="2"/>
    </font>
    <font>
      <b/>
      <sz val="11"/>
      <color theme="1"/>
      <name val="Calibri"/>
      <family val="2"/>
      <scheme val="minor"/>
    </font>
    <font>
      <b/>
      <sz val="18"/>
      <color theme="1"/>
      <name val="Calibri"/>
      <family val="2"/>
      <scheme val="minor"/>
    </font>
    <font>
      <vertAlign val="subscript"/>
      <sz val="11"/>
      <color theme="1"/>
      <name val="Calibri"/>
      <family val="2"/>
      <scheme val="minor"/>
    </font>
    <font>
      <b/>
      <sz val="11"/>
      <color rgb="FFFF0000"/>
      <name val="Calibri"/>
      <family val="2"/>
      <scheme val="minor"/>
    </font>
    <font>
      <vertAlign val="subscript"/>
      <sz val="11"/>
      <color theme="1"/>
      <name val="Symbol"/>
      <family val="1"/>
      <charset val="2"/>
    </font>
    <font>
      <sz val="11"/>
      <color rgb="FF0070C0"/>
      <name val="Calibri"/>
      <family val="2"/>
      <scheme val="minor"/>
    </font>
    <font>
      <b/>
      <sz val="11"/>
      <color rgb="FF0070C0"/>
      <name val="Calibri"/>
      <family val="2"/>
      <scheme val="minor"/>
    </font>
    <font>
      <sz val="18"/>
      <color theme="1"/>
      <name val="Calibri"/>
      <family val="2"/>
      <scheme val="minor"/>
    </font>
    <font>
      <sz val="11"/>
      <color theme="4"/>
      <name val="Calibri"/>
      <family val="2"/>
      <scheme val="minor"/>
    </font>
    <font>
      <b/>
      <sz val="11"/>
      <color theme="4"/>
      <name val="Calibri"/>
      <family val="2"/>
      <scheme val="minor"/>
    </font>
    <font>
      <vertAlign val="subscript"/>
      <sz val="11"/>
      <color theme="1"/>
      <name val="Calibri"/>
      <family val="2"/>
    </font>
  </fonts>
  <fills count="6">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8" tint="0.79998168889431442"/>
        <bgColor indexed="64"/>
      </patternFill>
    </fill>
    <fill>
      <patternFill patternType="solid">
        <fgColor theme="8" tint="0.39997558519241921"/>
        <bgColor indexed="64"/>
      </patternFill>
    </fill>
  </fills>
  <borders count="13">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medium">
        <color indexed="64"/>
      </left>
      <right style="medium">
        <color indexed="64"/>
      </right>
      <top/>
      <bottom style="medium">
        <color indexed="64"/>
      </bottom>
      <diagonal/>
    </border>
  </borders>
  <cellStyleXfs count="5">
    <xf numFmtId="0" fontId="0" fillId="0" borderId="0"/>
    <xf numFmtId="0" fontId="19" fillId="0" borderId="0" applyNumberFormat="0" applyFill="0" applyBorder="0" applyAlignment="0" applyProtection="0">
      <alignment vertical="top"/>
      <protection locked="0"/>
    </xf>
    <xf numFmtId="9" fontId="3" fillId="0" borderId="0" applyFont="0" applyFill="0" applyBorder="0" applyAlignment="0" applyProtection="0"/>
    <xf numFmtId="43" fontId="39" fillId="0" borderId="0" applyFont="0" applyFill="0" applyBorder="0" applyAlignment="0" applyProtection="0"/>
    <xf numFmtId="0" fontId="2" fillId="0" borderId="0"/>
  </cellStyleXfs>
  <cellXfs count="92">
    <xf numFmtId="0" fontId="0" fillId="0" borderId="0" xfId="0"/>
    <xf numFmtId="0" fontId="0" fillId="2" borderId="0" xfId="0" applyFill="1"/>
    <xf numFmtId="9" fontId="7" fillId="2" borderId="1" xfId="0" applyNumberFormat="1" applyFont="1" applyFill="1" applyBorder="1"/>
    <xf numFmtId="0" fontId="7" fillId="2" borderId="1" xfId="0" applyFont="1" applyFill="1" applyBorder="1"/>
    <xf numFmtId="9" fontId="9" fillId="2" borderId="0" xfId="0" applyNumberFormat="1" applyFont="1" applyFill="1"/>
    <xf numFmtId="9" fontId="0" fillId="2" borderId="0" xfId="0" applyNumberFormat="1" applyFill="1"/>
    <xf numFmtId="0" fontId="8" fillId="2" borderId="0" xfId="0" applyFont="1" applyFill="1"/>
    <xf numFmtId="0" fontId="9" fillId="2" borderId="0" xfId="0" applyFont="1" applyFill="1"/>
    <xf numFmtId="0" fontId="11" fillId="2" borderId="0" xfId="0" applyFont="1" applyFill="1"/>
    <xf numFmtId="0" fontId="5" fillId="2" borderId="0" xfId="0" applyFont="1" applyFill="1"/>
    <xf numFmtId="0" fontId="7" fillId="2" borderId="0" xfId="0" applyFont="1" applyFill="1"/>
    <xf numFmtId="0" fontId="0" fillId="2" borderId="1" xfId="0" applyFill="1" applyBorder="1"/>
    <xf numFmtId="0" fontId="10" fillId="2" borderId="0" xfId="0" applyFont="1" applyFill="1"/>
    <xf numFmtId="164" fontId="7" fillId="2" borderId="1" xfId="0" applyNumberFormat="1" applyFont="1" applyFill="1" applyBorder="1"/>
    <xf numFmtId="9" fontId="7" fillId="2" borderId="0" xfId="0" applyNumberFormat="1" applyFont="1" applyFill="1"/>
    <xf numFmtId="0" fontId="6" fillId="2" borderId="0" xfId="0" applyFont="1" applyFill="1"/>
    <xf numFmtId="0" fontId="5" fillId="2" borderId="0" xfId="0" applyFont="1" applyFill="1" applyAlignment="1">
      <alignment horizontal="right"/>
    </xf>
    <xf numFmtId="0" fontId="17" fillId="2" borderId="0" xfId="0" applyFont="1" applyFill="1"/>
    <xf numFmtId="9" fontId="7" fillId="2" borderId="1" xfId="2" applyFont="1" applyFill="1" applyBorder="1"/>
    <xf numFmtId="9" fontId="0" fillId="2" borderId="1" xfId="2" applyFont="1" applyFill="1" applyBorder="1"/>
    <xf numFmtId="0" fontId="20" fillId="2" borderId="0" xfId="0" applyFont="1" applyFill="1"/>
    <xf numFmtId="0" fontId="21" fillId="2" borderId="0" xfId="0" applyFont="1" applyFill="1"/>
    <xf numFmtId="0" fontId="7" fillId="2" borderId="2" xfId="2" applyNumberFormat="1" applyFont="1" applyFill="1" applyBorder="1"/>
    <xf numFmtId="0" fontId="7" fillId="2" borderId="3" xfId="2" applyNumberFormat="1" applyFont="1" applyFill="1" applyBorder="1"/>
    <xf numFmtId="0" fontId="7" fillId="2" borderId="3" xfId="0" applyFont="1" applyFill="1" applyBorder="1"/>
    <xf numFmtId="0" fontId="22" fillId="2" borderId="0" xfId="0" applyFont="1" applyFill="1"/>
    <xf numFmtId="165" fontId="23" fillId="2" borderId="0" xfId="0" applyNumberFormat="1" applyFont="1" applyFill="1"/>
    <xf numFmtId="2" fontId="23" fillId="2" borderId="0" xfId="0" applyNumberFormat="1" applyFont="1" applyFill="1"/>
    <xf numFmtId="0" fontId="25" fillId="2" borderId="0" xfId="0" applyFont="1" applyFill="1"/>
    <xf numFmtId="9" fontId="29" fillId="2" borderId="1" xfId="0" applyNumberFormat="1" applyFont="1" applyFill="1" applyBorder="1"/>
    <xf numFmtId="0" fontId="29" fillId="2" borderId="1" xfId="0" applyFont="1" applyFill="1" applyBorder="1"/>
    <xf numFmtId="0" fontId="30" fillId="2" borderId="0" xfId="0" applyFont="1" applyFill="1"/>
    <xf numFmtId="164" fontId="0" fillId="2" borderId="0" xfId="0" applyNumberFormat="1" applyFill="1"/>
    <xf numFmtId="0" fontId="19" fillId="2" borderId="0" xfId="1" applyFill="1" applyAlignment="1" applyProtection="1"/>
    <xf numFmtId="164" fontId="29" fillId="2" borderId="1" xfId="0" applyNumberFormat="1" applyFont="1" applyFill="1" applyBorder="1"/>
    <xf numFmtId="166" fontId="0" fillId="2" borderId="0" xfId="0" applyNumberFormat="1" applyFill="1"/>
    <xf numFmtId="0" fontId="31" fillId="2" borderId="0" xfId="0" applyFont="1" applyFill="1"/>
    <xf numFmtId="0" fontId="6" fillId="2" borderId="0" xfId="0" applyFont="1" applyFill="1" applyAlignment="1">
      <alignment horizontal="left"/>
    </xf>
    <xf numFmtId="0" fontId="6" fillId="2" borderId="4" xfId="0" applyFont="1" applyFill="1" applyBorder="1"/>
    <xf numFmtId="0" fontId="0" fillId="2" borderId="4" xfId="0" applyFill="1" applyBorder="1"/>
    <xf numFmtId="0" fontId="32" fillId="2" borderId="0" xfId="0" applyFont="1" applyFill="1"/>
    <xf numFmtId="0" fontId="32" fillId="2" borderId="4" xfId="0" applyFont="1" applyFill="1" applyBorder="1"/>
    <xf numFmtId="0" fontId="19" fillId="3" borderId="0" xfId="1" applyFill="1" applyAlignment="1" applyProtection="1"/>
    <xf numFmtId="10" fontId="7" fillId="2" borderId="1" xfId="0" applyNumberFormat="1" applyFont="1" applyFill="1" applyBorder="1"/>
    <xf numFmtId="0" fontId="3" fillId="2" borderId="0" xfId="0" applyFont="1" applyFill="1"/>
    <xf numFmtId="10" fontId="29" fillId="2" borderId="1" xfId="0" applyNumberFormat="1" applyFont="1" applyFill="1" applyBorder="1"/>
    <xf numFmtId="167" fontId="0" fillId="2" borderId="0" xfId="0" applyNumberFormat="1" applyFill="1"/>
    <xf numFmtId="0" fontId="37" fillId="2" borderId="0" xfId="0" applyFont="1" applyFill="1"/>
    <xf numFmtId="0" fontId="38" fillId="2" borderId="0" xfId="0" applyFont="1" applyFill="1"/>
    <xf numFmtId="0" fontId="7" fillId="2" borderId="1" xfId="3" applyNumberFormat="1" applyFont="1" applyFill="1" applyBorder="1"/>
    <xf numFmtId="10" fontId="0" fillId="2" borderId="0" xfId="0" applyNumberFormat="1" applyFill="1"/>
    <xf numFmtId="0" fontId="40" fillId="2" borderId="0" xfId="0" applyFont="1" applyFill="1"/>
    <xf numFmtId="10" fontId="41" fillId="2" borderId="0" xfId="0" applyNumberFormat="1" applyFont="1" applyFill="1"/>
    <xf numFmtId="167" fontId="40" fillId="2" borderId="0" xfId="0" applyNumberFormat="1" applyFont="1" applyFill="1"/>
    <xf numFmtId="0" fontId="41" fillId="2" borderId="0" xfId="0" applyFont="1" applyFill="1"/>
    <xf numFmtId="164" fontId="40" fillId="2" borderId="0" xfId="0" applyNumberFormat="1" applyFont="1" applyFill="1"/>
    <xf numFmtId="0" fontId="33" fillId="4" borderId="5" xfId="0" applyFont="1" applyFill="1" applyBorder="1"/>
    <xf numFmtId="0" fontId="0" fillId="4" borderId="6" xfId="0" applyFill="1" applyBorder="1"/>
    <xf numFmtId="0" fontId="0" fillId="4" borderId="7" xfId="0" applyFill="1" applyBorder="1"/>
    <xf numFmtId="0" fontId="42" fillId="4" borderId="8" xfId="0" applyFont="1" applyFill="1" applyBorder="1"/>
    <xf numFmtId="0" fontId="3" fillId="4" borderId="9" xfId="0" applyFont="1" applyFill="1" applyBorder="1"/>
    <xf numFmtId="0" fontId="42" fillId="4" borderId="10" xfId="0" applyFont="1" applyFill="1" applyBorder="1"/>
    <xf numFmtId="164" fontId="43" fillId="4" borderId="4" xfId="2" applyNumberFormat="1" applyFont="1" applyFill="1" applyBorder="1"/>
    <xf numFmtId="0" fontId="0" fillId="4" borderId="11" xfId="0" applyFill="1" applyBorder="1"/>
    <xf numFmtId="164" fontId="29" fillId="3" borderId="1" xfId="0" applyNumberFormat="1" applyFont="1" applyFill="1" applyBorder="1"/>
    <xf numFmtId="0" fontId="0" fillId="5" borderId="0" xfId="0" applyFill="1"/>
    <xf numFmtId="0" fontId="16" fillId="5" borderId="0" xfId="0" applyFont="1" applyFill="1"/>
    <xf numFmtId="0" fontId="33" fillId="5" borderId="0" xfId="0" applyFont="1" applyFill="1" applyAlignment="1">
      <alignment horizontal="right" vertical="top"/>
    </xf>
    <xf numFmtId="0" fontId="18" fillId="5" borderId="0" xfId="0" applyFont="1" applyFill="1"/>
    <xf numFmtId="0" fontId="3" fillId="5" borderId="0" xfId="0" applyFont="1" applyFill="1"/>
    <xf numFmtId="0" fontId="7" fillId="5" borderId="0" xfId="0" applyFont="1" applyFill="1"/>
    <xf numFmtId="0" fontId="27" fillId="5" borderId="0" xfId="1" applyFont="1" applyFill="1" applyAlignment="1" applyProtection="1"/>
    <xf numFmtId="0" fontId="26" fillId="5" borderId="0" xfId="0" applyFont="1" applyFill="1"/>
    <xf numFmtId="0" fontId="5" fillId="5" borderId="0" xfId="0" applyFont="1" applyFill="1"/>
    <xf numFmtId="0" fontId="4" fillId="5" borderId="0" xfId="0" applyFont="1" applyFill="1"/>
    <xf numFmtId="0" fontId="28" fillId="5" borderId="0" xfId="1" applyFont="1" applyFill="1" applyAlignment="1" applyProtection="1"/>
    <xf numFmtId="0" fontId="42" fillId="2" borderId="0" xfId="0" applyFont="1" applyFill="1"/>
    <xf numFmtId="0" fontId="49" fillId="3" borderId="0" xfId="4" applyFont="1" applyFill="1"/>
    <xf numFmtId="0" fontId="2" fillId="3" borderId="0" xfId="4" applyFill="1"/>
    <xf numFmtId="0" fontId="51" fillId="3" borderId="1" xfId="4" applyFont="1" applyFill="1" applyBorder="1"/>
    <xf numFmtId="0" fontId="51" fillId="3" borderId="12" xfId="4" applyFont="1" applyFill="1" applyBorder="1"/>
    <xf numFmtId="0" fontId="53" fillId="3" borderId="0" xfId="4" applyFont="1" applyFill="1"/>
    <xf numFmtId="0" fontId="48" fillId="3" borderId="0" xfId="4" applyFont="1" applyFill="1" applyAlignment="1">
      <alignment horizontal="right"/>
    </xf>
    <xf numFmtId="0" fontId="54" fillId="3" borderId="0" xfId="4" applyFont="1" applyFill="1"/>
    <xf numFmtId="0" fontId="55" fillId="3" borderId="0" xfId="4" applyFont="1" applyFill="1"/>
    <xf numFmtId="0" fontId="51" fillId="3" borderId="0" xfId="4" applyFont="1" applyFill="1"/>
    <xf numFmtId="0" fontId="48" fillId="3" borderId="0" xfId="4" applyFont="1" applyFill="1"/>
    <xf numFmtId="0" fontId="56" fillId="3" borderId="0" xfId="4" applyFont="1" applyFill="1"/>
    <xf numFmtId="0" fontId="2" fillId="3" borderId="0" xfId="4" applyFill="1" applyAlignment="1">
      <alignment horizontal="right"/>
    </xf>
    <xf numFmtId="0" fontId="57" fillId="3" borderId="0" xfId="4" applyFont="1" applyFill="1"/>
    <xf numFmtId="0" fontId="4" fillId="5" borderId="0" xfId="0" applyFont="1" applyFill="1" applyAlignment="1">
      <alignment horizontal="left" vertical="top" wrapText="1"/>
    </xf>
    <xf numFmtId="0" fontId="1" fillId="3" borderId="0" xfId="4" applyFont="1" applyFill="1"/>
  </cellXfs>
  <cellStyles count="5">
    <cellStyle name="Comma" xfId="3" builtinId="3"/>
    <cellStyle name="Hyperlink" xfId="1" builtinId="8"/>
    <cellStyle name="Normal" xfId="0" builtinId="0"/>
    <cellStyle name="Normal 2" xfId="4" xr:uid="{0C6EF0AA-A738-4E0D-B425-BEB570127C88}"/>
    <cellStyle name="Percent" xfId="2" builtinId="5"/>
  </cellStyles>
  <dxfs count="0"/>
  <tableStyles count="0" defaultTableStyle="TableStyleMedium9" defaultPivotStyle="PivotStyleLight16"/>
  <colors>
    <mruColors>
      <color rgb="FFFFFF99"/>
      <color rgb="FFD8E4D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'Superiority, Parallel'!$V$14</c:f>
              <c:strCache>
                <c:ptCount val="1"/>
                <c:pt idx="0">
                  <c:v>Treatment A</c:v>
                </c:pt>
              </c:strCache>
            </c:strRef>
          </c:tx>
          <c:spPr>
            <a:ln w="28575">
              <a:solidFill>
                <a:srgbClr val="FFFF00"/>
              </a:solidFill>
            </a:ln>
          </c:spPr>
          <c:marker>
            <c:symbol val="none"/>
          </c:marker>
          <c:xVal>
            <c:numRef>
              <c:f>'Superiority, Parallel'!$U$15:$U$47</c:f>
              <c:numCache>
                <c:formatCode>General</c:formatCode>
                <c:ptCount val="33"/>
                <c:pt idx="0">
                  <c:v>0</c:v>
                </c:pt>
                <c:pt idx="1">
                  <c:v>9.9393939393939394</c:v>
                </c:pt>
                <c:pt idx="2">
                  <c:v>19.878787878787879</c:v>
                </c:pt>
                <c:pt idx="3">
                  <c:v>29.81818181818182</c:v>
                </c:pt>
                <c:pt idx="4">
                  <c:v>39.757575757575758</c:v>
                </c:pt>
                <c:pt idx="5">
                  <c:v>49.696969696969695</c:v>
                </c:pt>
                <c:pt idx="6">
                  <c:v>59.636363636363633</c:v>
                </c:pt>
                <c:pt idx="7">
                  <c:v>69.575757575757578</c:v>
                </c:pt>
                <c:pt idx="8">
                  <c:v>79.515151515151516</c:v>
                </c:pt>
                <c:pt idx="9">
                  <c:v>89.454545454545453</c:v>
                </c:pt>
                <c:pt idx="10">
                  <c:v>99.393939393939391</c:v>
                </c:pt>
                <c:pt idx="11">
                  <c:v>109.33333333333333</c:v>
                </c:pt>
                <c:pt idx="12">
                  <c:v>119.27272727272727</c:v>
                </c:pt>
                <c:pt idx="13">
                  <c:v>129.21212121212122</c:v>
                </c:pt>
                <c:pt idx="14">
                  <c:v>139.15151515151516</c:v>
                </c:pt>
                <c:pt idx="15">
                  <c:v>149.09090909090909</c:v>
                </c:pt>
                <c:pt idx="16">
                  <c:v>159.03030303030303</c:v>
                </c:pt>
                <c:pt idx="17">
                  <c:v>168.96969696969697</c:v>
                </c:pt>
                <c:pt idx="18">
                  <c:v>178.90909090909091</c:v>
                </c:pt>
                <c:pt idx="19">
                  <c:v>188.84848484848484</c:v>
                </c:pt>
                <c:pt idx="20">
                  <c:v>198.78787878787878</c:v>
                </c:pt>
                <c:pt idx="21">
                  <c:v>208.72727272727272</c:v>
                </c:pt>
                <c:pt idx="22">
                  <c:v>218.66666666666666</c:v>
                </c:pt>
                <c:pt idx="23">
                  <c:v>228.60606060606059</c:v>
                </c:pt>
                <c:pt idx="24">
                  <c:v>238.54545454545453</c:v>
                </c:pt>
                <c:pt idx="25">
                  <c:v>248.48484848484847</c:v>
                </c:pt>
                <c:pt idx="26">
                  <c:v>258.42424242424244</c:v>
                </c:pt>
                <c:pt idx="27">
                  <c:v>268.36363636363637</c:v>
                </c:pt>
                <c:pt idx="28">
                  <c:v>278.30303030303031</c:v>
                </c:pt>
                <c:pt idx="29">
                  <c:v>288.24242424242425</c:v>
                </c:pt>
                <c:pt idx="30">
                  <c:v>298.18181818181819</c:v>
                </c:pt>
                <c:pt idx="31">
                  <c:v>308.12121212121212</c:v>
                </c:pt>
                <c:pt idx="32">
                  <c:v>318.06060606060606</c:v>
                </c:pt>
              </c:numCache>
            </c:numRef>
          </c:xVal>
          <c:yVal>
            <c:numRef>
              <c:f>'Superiority, Parallel'!$V$15:$V$47</c:f>
              <c:numCache>
                <c:formatCode>General</c:formatCode>
                <c:ptCount val="33"/>
                <c:pt idx="0">
                  <c:v>3.3457556441221339E-6</c:v>
                </c:pt>
                <c:pt idx="1">
                  <c:v>8.7649394011783917E-6</c:v>
                </c:pt>
                <c:pt idx="2">
                  <c:v>2.1586797882267536E-5</c:v>
                </c:pt>
                <c:pt idx="3">
                  <c:v>4.9981828671086098E-5</c:v>
                </c:pt>
                <c:pt idx="4">
                  <c:v>1.0879793853904708E-4</c:v>
                </c:pt>
                <c:pt idx="5">
                  <c:v>2.2264543783540088E-4</c:v>
                </c:pt>
                <c:pt idx="6">
                  <c:v>4.2834287111349645E-4</c:v>
                </c:pt>
                <c:pt idx="7">
                  <c:v>7.7473628189698312E-4</c:v>
                </c:pt>
                <c:pt idx="8">
                  <c:v>1.3173490285471054E-3</c:v>
                </c:pt>
                <c:pt idx="9">
                  <c:v>2.1058742047565713E-3</c:v>
                </c:pt>
                <c:pt idx="10">
                  <c:v>3.164817002251043E-3</c:v>
                </c:pt>
                <c:pt idx="11">
                  <c:v>4.4714604123635123E-3</c:v>
                </c:pt>
                <c:pt idx="12">
                  <c:v>5.9392934840752573E-3</c:v>
                </c:pt>
                <c:pt idx="13">
                  <c:v>7.4165988722577278E-3</c:v>
                </c:pt>
                <c:pt idx="14">
                  <c:v>8.7068167558675656E-3</c:v>
                </c:pt>
                <c:pt idx="15">
                  <c:v>9.6094521114314744E-3</c:v>
                </c:pt>
                <c:pt idx="16">
                  <c:v>9.9706267351264838E-3</c:v>
                </c:pt>
                <c:pt idx="17">
                  <c:v>9.7259245972099086E-3</c:v>
                </c:pt>
                <c:pt idx="18">
                  <c:v>8.9191598458717939E-3</c:v>
                </c:pt>
                <c:pt idx="19">
                  <c:v>7.6895620381677134E-3</c:v>
                </c:pt>
                <c:pt idx="20">
                  <c:v>6.2325227407400525E-3</c:v>
                </c:pt>
                <c:pt idx="21">
                  <c:v>4.7490937985305588E-3</c:v>
                </c:pt>
                <c:pt idx="22">
                  <c:v>3.402062060306953E-3</c:v>
                </c:pt>
                <c:pt idx="23">
                  <c:v>2.2911753328812845E-3</c:v>
                </c:pt>
                <c:pt idx="24">
                  <c:v>1.4506379241390902E-3</c:v>
                </c:pt>
                <c:pt idx="25">
                  <c:v>8.6346420391826431E-4</c:v>
                </c:pt>
                <c:pt idx="26">
                  <c:v>4.8318590587977084E-4</c:v>
                </c:pt>
                <c:pt idx="27">
                  <c:v>2.5419604341562314E-4</c:v>
                </c:pt>
                <c:pt idx="28">
                  <c:v>1.2572102811928031E-4</c:v>
                </c:pt>
                <c:pt idx="29">
                  <c:v>5.8456346720510549E-5</c:v>
                </c:pt>
                <c:pt idx="30">
                  <c:v>2.5552890002204227E-5</c:v>
                </c:pt>
                <c:pt idx="31">
                  <c:v>1.0501056362603924E-5</c:v>
                </c:pt>
                <c:pt idx="32">
                  <c:v>4.0570518897450162E-6</c:v>
                </c:pt>
              </c:numCache>
            </c:numRef>
          </c:yVal>
          <c:smooth val="0"/>
          <c:extLst>
            <c:ext xmlns:c16="http://schemas.microsoft.com/office/drawing/2014/chart" uri="{C3380CC4-5D6E-409C-BE32-E72D297353CC}">
              <c16:uniqueId val="{00000000-2448-4DD7-BFD6-BC5B3E950BAD}"/>
            </c:ext>
          </c:extLst>
        </c:ser>
        <c:ser>
          <c:idx val="1"/>
          <c:order val="1"/>
          <c:tx>
            <c:strRef>
              <c:f>'Superiority, Parallel'!$W$14</c:f>
              <c:strCache>
                <c:ptCount val="1"/>
                <c:pt idx="0">
                  <c:v>Treatment B</c:v>
                </c:pt>
              </c:strCache>
            </c:strRef>
          </c:tx>
          <c:spPr>
            <a:ln w="28575">
              <a:solidFill>
                <a:srgbClr val="00B050"/>
              </a:solidFill>
            </a:ln>
          </c:spPr>
          <c:marker>
            <c:symbol val="none"/>
          </c:marker>
          <c:xVal>
            <c:numRef>
              <c:f>'Superiority, Parallel'!$U$15:$U$47</c:f>
              <c:numCache>
                <c:formatCode>General</c:formatCode>
                <c:ptCount val="33"/>
                <c:pt idx="0">
                  <c:v>0</c:v>
                </c:pt>
                <c:pt idx="1">
                  <c:v>9.9393939393939394</c:v>
                </c:pt>
                <c:pt idx="2">
                  <c:v>19.878787878787879</c:v>
                </c:pt>
                <c:pt idx="3">
                  <c:v>29.81818181818182</c:v>
                </c:pt>
                <c:pt idx="4">
                  <c:v>39.757575757575758</c:v>
                </c:pt>
                <c:pt idx="5">
                  <c:v>49.696969696969695</c:v>
                </c:pt>
                <c:pt idx="6">
                  <c:v>59.636363636363633</c:v>
                </c:pt>
                <c:pt idx="7">
                  <c:v>69.575757575757578</c:v>
                </c:pt>
                <c:pt idx="8">
                  <c:v>79.515151515151516</c:v>
                </c:pt>
                <c:pt idx="9">
                  <c:v>89.454545454545453</c:v>
                </c:pt>
                <c:pt idx="10">
                  <c:v>99.393939393939391</c:v>
                </c:pt>
                <c:pt idx="11">
                  <c:v>109.33333333333333</c:v>
                </c:pt>
                <c:pt idx="12">
                  <c:v>119.27272727272727</c:v>
                </c:pt>
                <c:pt idx="13">
                  <c:v>129.21212121212122</c:v>
                </c:pt>
                <c:pt idx="14">
                  <c:v>139.15151515151516</c:v>
                </c:pt>
                <c:pt idx="15">
                  <c:v>149.09090909090909</c:v>
                </c:pt>
                <c:pt idx="16">
                  <c:v>159.03030303030303</c:v>
                </c:pt>
                <c:pt idx="17">
                  <c:v>168.96969696969697</c:v>
                </c:pt>
                <c:pt idx="18">
                  <c:v>178.90909090909091</c:v>
                </c:pt>
                <c:pt idx="19">
                  <c:v>188.84848484848484</c:v>
                </c:pt>
                <c:pt idx="20">
                  <c:v>198.78787878787878</c:v>
                </c:pt>
                <c:pt idx="21">
                  <c:v>208.72727272727272</c:v>
                </c:pt>
                <c:pt idx="22">
                  <c:v>218.66666666666666</c:v>
                </c:pt>
                <c:pt idx="23">
                  <c:v>228.60606060606059</c:v>
                </c:pt>
                <c:pt idx="24">
                  <c:v>238.54545454545453</c:v>
                </c:pt>
                <c:pt idx="25">
                  <c:v>248.48484848484847</c:v>
                </c:pt>
                <c:pt idx="26">
                  <c:v>258.42424242424244</c:v>
                </c:pt>
                <c:pt idx="27">
                  <c:v>268.36363636363637</c:v>
                </c:pt>
                <c:pt idx="28">
                  <c:v>278.30303030303031</c:v>
                </c:pt>
                <c:pt idx="29">
                  <c:v>288.24242424242425</c:v>
                </c:pt>
                <c:pt idx="30">
                  <c:v>298.18181818181819</c:v>
                </c:pt>
                <c:pt idx="31">
                  <c:v>308.12121212121212</c:v>
                </c:pt>
                <c:pt idx="32">
                  <c:v>318.06060606060606</c:v>
                </c:pt>
              </c:numCache>
            </c:numRef>
          </c:xVal>
          <c:yVal>
            <c:numRef>
              <c:f>'Superiority, Parallel'!$W$15:$W$47</c:f>
              <c:numCache>
                <c:formatCode>General</c:formatCode>
                <c:ptCount val="33"/>
                <c:pt idx="0">
                  <c:v>1.4735766939134965E-6</c:v>
                </c:pt>
                <c:pt idx="1">
                  <c:v>4.0570518897450162E-6</c:v>
                </c:pt>
                <c:pt idx="2">
                  <c:v>1.0501056362603924E-5</c:v>
                </c:pt>
                <c:pt idx="3">
                  <c:v>2.5552890002204227E-5</c:v>
                </c:pt>
                <c:pt idx="4">
                  <c:v>5.8456346720510549E-5</c:v>
                </c:pt>
                <c:pt idx="5">
                  <c:v>1.2572102811928031E-4</c:v>
                </c:pt>
                <c:pt idx="6">
                  <c:v>2.5419604341562314E-4</c:v>
                </c:pt>
                <c:pt idx="7">
                  <c:v>4.8318590587977155E-4</c:v>
                </c:pt>
                <c:pt idx="8">
                  <c:v>8.6346420391826431E-4</c:v>
                </c:pt>
                <c:pt idx="9">
                  <c:v>1.4506379241390895E-3</c:v>
                </c:pt>
                <c:pt idx="10">
                  <c:v>2.2911753328812823E-3</c:v>
                </c:pt>
                <c:pt idx="11">
                  <c:v>3.4020620603069508E-3</c:v>
                </c:pt>
                <c:pt idx="12">
                  <c:v>4.749093798530557E-3</c:v>
                </c:pt>
                <c:pt idx="13">
                  <c:v>6.2325227407400525E-3</c:v>
                </c:pt>
                <c:pt idx="14">
                  <c:v>7.6895620381677134E-3</c:v>
                </c:pt>
                <c:pt idx="15">
                  <c:v>8.9191598458717939E-3</c:v>
                </c:pt>
                <c:pt idx="16">
                  <c:v>9.7259245972099086E-3</c:v>
                </c:pt>
                <c:pt idx="17">
                  <c:v>9.9706267351264838E-3</c:v>
                </c:pt>
                <c:pt idx="18">
                  <c:v>9.6094521114314744E-3</c:v>
                </c:pt>
                <c:pt idx="19">
                  <c:v>8.7068167558675656E-3</c:v>
                </c:pt>
                <c:pt idx="20">
                  <c:v>7.4165988722577278E-3</c:v>
                </c:pt>
                <c:pt idx="21">
                  <c:v>5.939293484075259E-3</c:v>
                </c:pt>
                <c:pt idx="22">
                  <c:v>4.4714604123635149E-3</c:v>
                </c:pt>
                <c:pt idx="23">
                  <c:v>3.164817002251043E-3</c:v>
                </c:pt>
                <c:pt idx="24">
                  <c:v>2.105874204756573E-3</c:v>
                </c:pt>
                <c:pt idx="25">
                  <c:v>1.3173490285471065E-3</c:v>
                </c:pt>
                <c:pt idx="26">
                  <c:v>7.7473628189698312E-4</c:v>
                </c:pt>
                <c:pt idx="27">
                  <c:v>4.2834287111349645E-4</c:v>
                </c:pt>
                <c:pt idx="28">
                  <c:v>2.2264543783540088E-4</c:v>
                </c:pt>
                <c:pt idx="29">
                  <c:v>1.0879793853904708E-4</c:v>
                </c:pt>
                <c:pt idx="30">
                  <c:v>4.9981828671086098E-5</c:v>
                </c:pt>
                <c:pt idx="31">
                  <c:v>2.1586797882267536E-5</c:v>
                </c:pt>
                <c:pt idx="32">
                  <c:v>8.7649394011783917E-6</c:v>
                </c:pt>
              </c:numCache>
            </c:numRef>
          </c:yVal>
          <c:smooth val="0"/>
          <c:extLst>
            <c:ext xmlns:c16="http://schemas.microsoft.com/office/drawing/2014/chart" uri="{C3380CC4-5D6E-409C-BE32-E72D297353CC}">
              <c16:uniqueId val="{00000001-2448-4DD7-BFD6-BC5B3E950BAD}"/>
            </c:ext>
          </c:extLst>
        </c:ser>
        <c:ser>
          <c:idx val="2"/>
          <c:order val="2"/>
          <c:spPr>
            <a:ln>
              <a:solidFill>
                <a:srgbClr val="FFFF00"/>
              </a:solidFill>
            </a:ln>
          </c:spPr>
          <c:marker>
            <c:symbol val="none"/>
          </c:marker>
          <c:xVal>
            <c:numRef>
              <c:f>'Superiority, Parallel'!$Z$16:$Z$17</c:f>
              <c:numCache>
                <c:formatCode>General</c:formatCode>
                <c:ptCount val="2"/>
                <c:pt idx="0">
                  <c:v>120</c:v>
                </c:pt>
                <c:pt idx="1">
                  <c:v>120</c:v>
                </c:pt>
              </c:numCache>
            </c:numRef>
          </c:xVal>
          <c:yVal>
            <c:numRef>
              <c:f>'Superiority, Parallel'!$AA$16:$AA$17</c:f>
              <c:numCache>
                <c:formatCode>General</c:formatCode>
                <c:ptCount val="2"/>
                <c:pt idx="0">
                  <c:v>0</c:v>
                </c:pt>
                <c:pt idx="1">
                  <c:v>9.9706267351264838E-3</c:v>
                </c:pt>
              </c:numCache>
            </c:numRef>
          </c:yVal>
          <c:smooth val="0"/>
          <c:extLst>
            <c:ext xmlns:c16="http://schemas.microsoft.com/office/drawing/2014/chart" uri="{C3380CC4-5D6E-409C-BE32-E72D297353CC}">
              <c16:uniqueId val="{00000002-2448-4DD7-BFD6-BC5B3E950BAD}"/>
            </c:ext>
          </c:extLst>
        </c:ser>
        <c:ser>
          <c:idx val="3"/>
          <c:order val="3"/>
          <c:spPr>
            <a:ln>
              <a:solidFill>
                <a:srgbClr val="FFFF00"/>
              </a:solidFill>
            </a:ln>
          </c:spPr>
          <c:marker>
            <c:symbol val="none"/>
          </c:marker>
          <c:xVal>
            <c:numRef>
              <c:f>'Superiority, Parallel'!$Z$19:$Z$20</c:f>
              <c:numCache>
                <c:formatCode>General</c:formatCode>
                <c:ptCount val="2"/>
                <c:pt idx="0">
                  <c:v>200</c:v>
                </c:pt>
                <c:pt idx="1">
                  <c:v>200</c:v>
                </c:pt>
              </c:numCache>
            </c:numRef>
          </c:xVal>
          <c:yVal>
            <c:numRef>
              <c:f>'Superiority, Parallel'!$AA$19:$AA$20</c:f>
              <c:numCache>
                <c:formatCode>General</c:formatCode>
                <c:ptCount val="2"/>
                <c:pt idx="0">
                  <c:v>0</c:v>
                </c:pt>
                <c:pt idx="1">
                  <c:v>9.9706267351264838E-3</c:v>
                </c:pt>
              </c:numCache>
            </c:numRef>
          </c:yVal>
          <c:smooth val="0"/>
          <c:extLst>
            <c:ext xmlns:c16="http://schemas.microsoft.com/office/drawing/2014/chart" uri="{C3380CC4-5D6E-409C-BE32-E72D297353CC}">
              <c16:uniqueId val="{00000003-2448-4DD7-BFD6-BC5B3E950BAD}"/>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2448-4DD7-BFD6-BC5B3E950BAD}"/>
              </c:ext>
            </c:extLst>
          </c:dPt>
          <c:xVal>
            <c:numRef>
              <c:f>'Superiority, Parallel'!$Z$24:$Z$25</c:f>
              <c:numCache>
                <c:formatCode>General</c:formatCode>
                <c:ptCount val="2"/>
                <c:pt idx="0">
                  <c:v>128</c:v>
                </c:pt>
                <c:pt idx="1">
                  <c:v>128</c:v>
                </c:pt>
              </c:numCache>
            </c:numRef>
          </c:xVal>
          <c:yVal>
            <c:numRef>
              <c:f>'Superiority, Parallel'!$AA$24:$AA$25</c:f>
              <c:numCache>
                <c:formatCode>General</c:formatCode>
                <c:ptCount val="2"/>
                <c:pt idx="0">
                  <c:v>0</c:v>
                </c:pt>
                <c:pt idx="1">
                  <c:v>9.9706267351264838E-3</c:v>
                </c:pt>
              </c:numCache>
            </c:numRef>
          </c:yVal>
          <c:smooth val="0"/>
          <c:extLst>
            <c:ext xmlns:c16="http://schemas.microsoft.com/office/drawing/2014/chart" uri="{C3380CC4-5D6E-409C-BE32-E72D297353CC}">
              <c16:uniqueId val="{00000006-2448-4DD7-BFD6-BC5B3E950BAD}"/>
            </c:ext>
          </c:extLst>
        </c:ser>
        <c:ser>
          <c:idx val="5"/>
          <c:order val="5"/>
          <c:spPr>
            <a:ln>
              <a:solidFill>
                <a:srgbClr val="00B050"/>
              </a:solidFill>
            </a:ln>
          </c:spPr>
          <c:marker>
            <c:symbol val="none"/>
          </c:marker>
          <c:xVal>
            <c:numRef>
              <c:f>'Superiority, Parallel'!$Z$27:$Z$28</c:f>
              <c:numCache>
                <c:formatCode>General</c:formatCode>
                <c:ptCount val="2"/>
                <c:pt idx="0">
                  <c:v>208</c:v>
                </c:pt>
                <c:pt idx="1">
                  <c:v>208</c:v>
                </c:pt>
              </c:numCache>
            </c:numRef>
          </c:xVal>
          <c:yVal>
            <c:numRef>
              <c:f>'Superiority, Parallel'!$AA$27:$AA$28</c:f>
              <c:numCache>
                <c:formatCode>General</c:formatCode>
                <c:ptCount val="2"/>
                <c:pt idx="0">
                  <c:v>0</c:v>
                </c:pt>
                <c:pt idx="1">
                  <c:v>9.9706267351264838E-3</c:v>
                </c:pt>
              </c:numCache>
            </c:numRef>
          </c:yVal>
          <c:smooth val="0"/>
          <c:extLst>
            <c:ext xmlns:c16="http://schemas.microsoft.com/office/drawing/2014/chart" uri="{C3380CC4-5D6E-409C-BE32-E72D297353CC}">
              <c16:uniqueId val="{00000007-2448-4DD7-BFD6-BC5B3E950BAD}"/>
            </c:ext>
          </c:extLst>
        </c:ser>
        <c:ser>
          <c:idx val="6"/>
          <c:order val="6"/>
          <c:spPr>
            <a:ln>
              <a:solidFill>
                <a:srgbClr val="FFFF00"/>
              </a:solidFill>
            </a:ln>
          </c:spPr>
          <c:marker>
            <c:symbol val="none"/>
          </c:marker>
          <c:xVal>
            <c:numRef>
              <c:f>'Superiority, Parallel'!$AD$16:$AD$17</c:f>
              <c:numCache>
                <c:formatCode>General</c:formatCode>
                <c:ptCount val="2"/>
                <c:pt idx="0">
                  <c:v>92.565821566118004</c:v>
                </c:pt>
                <c:pt idx="1">
                  <c:v>92.565821566118004</c:v>
                </c:pt>
              </c:numCache>
            </c:numRef>
          </c:xVal>
          <c:yVal>
            <c:numRef>
              <c:f>'Superiority, Parallel'!$AE$16:$AE$17</c:f>
              <c:numCache>
                <c:formatCode>General</c:formatCode>
                <c:ptCount val="2"/>
                <c:pt idx="0">
                  <c:v>0</c:v>
                </c:pt>
                <c:pt idx="1">
                  <c:v>0</c:v>
                </c:pt>
              </c:numCache>
            </c:numRef>
          </c:yVal>
          <c:smooth val="0"/>
          <c:extLst>
            <c:ext xmlns:c16="http://schemas.microsoft.com/office/drawing/2014/chart" uri="{C3380CC4-5D6E-409C-BE32-E72D297353CC}">
              <c16:uniqueId val="{00000008-2448-4DD7-BFD6-BC5B3E950BAD}"/>
            </c:ext>
          </c:extLst>
        </c:ser>
        <c:ser>
          <c:idx val="7"/>
          <c:order val="7"/>
          <c:tx>
            <c:strRef>
              <c:f>'Superiority, Parallel'!$AD$19:$AD$20</c:f>
              <c:strCache>
                <c:ptCount val="2"/>
                <c:pt idx="0">
                  <c:v>227.4341784</c:v>
                </c:pt>
                <c:pt idx="1">
                  <c:v>227.4341784</c:v>
                </c:pt>
              </c:strCache>
            </c:strRef>
          </c:tx>
          <c:spPr>
            <a:ln>
              <a:solidFill>
                <a:srgbClr val="FFFF00"/>
              </a:solidFill>
            </a:ln>
          </c:spPr>
          <c:marker>
            <c:symbol val="none"/>
          </c:marker>
          <c:xVal>
            <c:numRef>
              <c:f>'Superiority, Parallel'!$AD$19:$AD$20</c:f>
              <c:numCache>
                <c:formatCode>General</c:formatCode>
                <c:ptCount val="2"/>
                <c:pt idx="0">
                  <c:v>227.43417843388198</c:v>
                </c:pt>
                <c:pt idx="1">
                  <c:v>227.43417843388198</c:v>
                </c:pt>
              </c:numCache>
            </c:numRef>
          </c:xVal>
          <c:yVal>
            <c:numRef>
              <c:f>'Superiority, Parallel'!$AE$19:$AE$20</c:f>
              <c:numCache>
                <c:formatCode>General</c:formatCode>
                <c:ptCount val="2"/>
                <c:pt idx="0">
                  <c:v>0</c:v>
                </c:pt>
                <c:pt idx="1">
                  <c:v>0</c:v>
                </c:pt>
              </c:numCache>
            </c:numRef>
          </c:yVal>
          <c:smooth val="0"/>
          <c:extLst>
            <c:ext xmlns:c16="http://schemas.microsoft.com/office/drawing/2014/chart" uri="{C3380CC4-5D6E-409C-BE32-E72D297353CC}">
              <c16:uniqueId val="{00000009-2448-4DD7-BFD6-BC5B3E950BAD}"/>
            </c:ext>
          </c:extLst>
        </c:ser>
        <c:ser>
          <c:idx val="8"/>
          <c:order val="8"/>
          <c:spPr>
            <a:ln>
              <a:solidFill>
                <a:srgbClr val="00B050"/>
              </a:solidFill>
            </a:ln>
          </c:spPr>
          <c:marker>
            <c:symbol val="none"/>
          </c:marker>
          <c:xVal>
            <c:numRef>
              <c:f>'Superiority, Parallel'!$AD$24:$AD$25</c:f>
              <c:numCache>
                <c:formatCode>General</c:formatCode>
                <c:ptCount val="2"/>
                <c:pt idx="0">
                  <c:v>100.565821566118</c:v>
                </c:pt>
                <c:pt idx="1">
                  <c:v>100.565821566118</c:v>
                </c:pt>
              </c:numCache>
            </c:numRef>
          </c:xVal>
          <c:yVal>
            <c:numRef>
              <c:f>'Superiority, Parallel'!$AE$24:$AE$25</c:f>
              <c:numCache>
                <c:formatCode>General</c:formatCode>
                <c:ptCount val="2"/>
                <c:pt idx="0">
                  <c:v>0</c:v>
                </c:pt>
                <c:pt idx="1">
                  <c:v>0</c:v>
                </c:pt>
              </c:numCache>
            </c:numRef>
          </c:yVal>
          <c:smooth val="0"/>
          <c:extLst>
            <c:ext xmlns:c16="http://schemas.microsoft.com/office/drawing/2014/chart" uri="{C3380CC4-5D6E-409C-BE32-E72D297353CC}">
              <c16:uniqueId val="{0000000A-2448-4DD7-BFD6-BC5B3E950BAD}"/>
            </c:ext>
          </c:extLst>
        </c:ser>
        <c:ser>
          <c:idx val="9"/>
          <c:order val="9"/>
          <c:spPr>
            <a:ln>
              <a:solidFill>
                <a:srgbClr val="00B050"/>
              </a:solidFill>
            </a:ln>
          </c:spPr>
          <c:marker>
            <c:symbol val="none"/>
          </c:marker>
          <c:xVal>
            <c:numRef>
              <c:f>'Superiority, Parallel'!$AD$27:$AD$28</c:f>
              <c:numCache>
                <c:formatCode>General</c:formatCode>
                <c:ptCount val="2"/>
                <c:pt idx="0">
                  <c:v>235.43417843388198</c:v>
                </c:pt>
                <c:pt idx="1">
                  <c:v>235.43417843388198</c:v>
                </c:pt>
              </c:numCache>
            </c:numRef>
          </c:xVal>
          <c:yVal>
            <c:numRef>
              <c:f>'Superiority, Parallel'!$AE$27:$AE$28</c:f>
              <c:numCache>
                <c:formatCode>General</c:formatCode>
                <c:ptCount val="2"/>
                <c:pt idx="0">
                  <c:v>0</c:v>
                </c:pt>
                <c:pt idx="1">
                  <c:v>0</c:v>
                </c:pt>
              </c:numCache>
            </c:numRef>
          </c:yVal>
          <c:smooth val="0"/>
          <c:extLst>
            <c:ext xmlns:c16="http://schemas.microsoft.com/office/drawing/2014/chart" uri="{C3380CC4-5D6E-409C-BE32-E72D297353CC}">
              <c16:uniqueId val="{0000000B-2448-4DD7-BFD6-BC5B3E950BAD}"/>
            </c:ext>
          </c:extLst>
        </c:ser>
        <c:ser>
          <c:idx val="10"/>
          <c:order val="10"/>
          <c:spPr>
            <a:ln>
              <a:solidFill>
                <a:srgbClr val="FF0000"/>
              </a:solidFill>
            </a:ln>
          </c:spPr>
          <c:marker>
            <c:symbol val="none"/>
          </c:marker>
          <c:xVal>
            <c:numRef>
              <c:f>'Superiority, Parallel'!$Z$32:$Z$33</c:f>
              <c:numCache>
                <c:formatCode>General</c:formatCode>
                <c:ptCount val="2"/>
                <c:pt idx="0">
                  <c:v>160</c:v>
                </c:pt>
                <c:pt idx="1">
                  <c:v>160</c:v>
                </c:pt>
              </c:numCache>
            </c:numRef>
          </c:xVal>
          <c:yVal>
            <c:numRef>
              <c:f>'Superiority, Parallel'!$AA$32:$AA$33</c:f>
              <c:numCache>
                <c:formatCode>General</c:formatCode>
                <c:ptCount val="2"/>
                <c:pt idx="0">
                  <c:v>0</c:v>
                </c:pt>
                <c:pt idx="1">
                  <c:v>9.9706267351264838E-3</c:v>
                </c:pt>
              </c:numCache>
            </c:numRef>
          </c:yVal>
          <c:smooth val="0"/>
          <c:extLst>
            <c:ext xmlns:c16="http://schemas.microsoft.com/office/drawing/2014/chart" uri="{C3380CC4-5D6E-409C-BE32-E72D297353CC}">
              <c16:uniqueId val="{0000000C-2448-4DD7-BFD6-BC5B3E950BAD}"/>
            </c:ext>
          </c:extLst>
        </c:ser>
        <c:ser>
          <c:idx val="11"/>
          <c:order val="11"/>
          <c:spPr>
            <a:ln>
              <a:solidFill>
                <a:srgbClr val="FF0000"/>
              </a:solidFill>
            </a:ln>
          </c:spPr>
          <c:marker>
            <c:symbol val="none"/>
          </c:marker>
          <c:xVal>
            <c:numRef>
              <c:f>'Superiority, Parallel'!$Z$35:$Z$36</c:f>
              <c:numCache>
                <c:formatCode>General</c:formatCode>
                <c:ptCount val="2"/>
                <c:pt idx="0">
                  <c:v>168</c:v>
                </c:pt>
                <c:pt idx="1">
                  <c:v>168</c:v>
                </c:pt>
              </c:numCache>
            </c:numRef>
          </c:xVal>
          <c:yVal>
            <c:numRef>
              <c:f>'Superiority, Parallel'!$AA$35:$AA$36</c:f>
              <c:numCache>
                <c:formatCode>General</c:formatCode>
                <c:ptCount val="2"/>
                <c:pt idx="0">
                  <c:v>0</c:v>
                </c:pt>
                <c:pt idx="1">
                  <c:v>9.9706267351264838E-3</c:v>
                </c:pt>
              </c:numCache>
            </c:numRef>
          </c:yVal>
          <c:smooth val="0"/>
          <c:extLst>
            <c:ext xmlns:c16="http://schemas.microsoft.com/office/drawing/2014/chart" uri="{C3380CC4-5D6E-409C-BE32-E72D297353CC}">
              <c16:uniqueId val="{0000000D-2448-4DD7-BFD6-BC5B3E950BAD}"/>
            </c:ext>
          </c:extLst>
        </c:ser>
        <c:dLbls>
          <c:showLegendKey val="0"/>
          <c:showVal val="0"/>
          <c:showCatName val="0"/>
          <c:showSerName val="0"/>
          <c:showPercent val="0"/>
          <c:showBubbleSize val="0"/>
        </c:dLbls>
        <c:axId val="2146898168"/>
        <c:axId val="2146901592"/>
      </c:scatterChart>
      <c:valAx>
        <c:axId val="2146898168"/>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901592"/>
        <c:crosses val="autoZero"/>
        <c:crossBetween val="midCat"/>
      </c:valAx>
      <c:valAx>
        <c:axId val="214690159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89816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'Superiority, Crossover'!$V$14</c:f>
              <c:strCache>
                <c:ptCount val="1"/>
                <c:pt idx="0">
                  <c:v>Treatment A</c:v>
                </c:pt>
              </c:strCache>
            </c:strRef>
          </c:tx>
          <c:spPr>
            <a:ln w="28575">
              <a:solidFill>
                <a:srgbClr val="FFFF00"/>
              </a:solidFill>
            </a:ln>
          </c:spPr>
          <c:marker>
            <c:symbol val="none"/>
          </c:marker>
          <c:xVal>
            <c:numRef>
              <c:f>'Superiority, Crossover'!$U$15:$U$47</c:f>
              <c:numCache>
                <c:formatCode>General</c:formatCode>
                <c:ptCount val="33"/>
                <c:pt idx="0">
                  <c:v>0</c:v>
                </c:pt>
                <c:pt idx="1">
                  <c:v>5.1515151515151514</c:v>
                </c:pt>
                <c:pt idx="2">
                  <c:v>10.303030303030303</c:v>
                </c:pt>
                <c:pt idx="3">
                  <c:v>15.454545454545453</c:v>
                </c:pt>
                <c:pt idx="4">
                  <c:v>20.606060606060606</c:v>
                </c:pt>
                <c:pt idx="5">
                  <c:v>25.757575757575758</c:v>
                </c:pt>
                <c:pt idx="6">
                  <c:v>30.90909090909091</c:v>
                </c:pt>
                <c:pt idx="7">
                  <c:v>36.060606060606062</c:v>
                </c:pt>
                <c:pt idx="8">
                  <c:v>41.212121212121211</c:v>
                </c:pt>
                <c:pt idx="9">
                  <c:v>46.36363636363636</c:v>
                </c:pt>
                <c:pt idx="10">
                  <c:v>51.515151515151508</c:v>
                </c:pt>
                <c:pt idx="11">
                  <c:v>56.666666666666657</c:v>
                </c:pt>
                <c:pt idx="12">
                  <c:v>61.818181818181806</c:v>
                </c:pt>
                <c:pt idx="13">
                  <c:v>66.969696969696955</c:v>
                </c:pt>
                <c:pt idx="14">
                  <c:v>72.12121212121211</c:v>
                </c:pt>
                <c:pt idx="15">
                  <c:v>77.272727272727266</c:v>
                </c:pt>
                <c:pt idx="16">
                  <c:v>82.424242424242422</c:v>
                </c:pt>
                <c:pt idx="17">
                  <c:v>87.575757575757578</c:v>
                </c:pt>
                <c:pt idx="18">
                  <c:v>92.727272727272734</c:v>
                </c:pt>
                <c:pt idx="19">
                  <c:v>97.87878787878789</c:v>
                </c:pt>
                <c:pt idx="20">
                  <c:v>103.03030303030305</c:v>
                </c:pt>
                <c:pt idx="21">
                  <c:v>108.1818181818182</c:v>
                </c:pt>
                <c:pt idx="22">
                  <c:v>113.33333333333336</c:v>
                </c:pt>
                <c:pt idx="23">
                  <c:v>118.48484848484851</c:v>
                </c:pt>
                <c:pt idx="24">
                  <c:v>123.63636363636367</c:v>
                </c:pt>
                <c:pt idx="25">
                  <c:v>128.78787878787881</c:v>
                </c:pt>
                <c:pt idx="26">
                  <c:v>133.93939393939397</c:v>
                </c:pt>
                <c:pt idx="27">
                  <c:v>139.09090909090912</c:v>
                </c:pt>
                <c:pt idx="28">
                  <c:v>144.24242424242428</c:v>
                </c:pt>
                <c:pt idx="29">
                  <c:v>149.39393939393943</c:v>
                </c:pt>
                <c:pt idx="30">
                  <c:v>154.54545454545459</c:v>
                </c:pt>
                <c:pt idx="31">
                  <c:v>159.69696969696975</c:v>
                </c:pt>
                <c:pt idx="32">
                  <c:v>164.8484848484849</c:v>
                </c:pt>
              </c:numCache>
            </c:numRef>
          </c:xVal>
          <c:yVal>
            <c:numRef>
              <c:f>'Superiority, Crossover'!$V$15:$V$47</c:f>
              <c:numCache>
                <c:formatCode>General</c:formatCode>
                <c:ptCount val="33"/>
                <c:pt idx="0">
                  <c:v>6.6915112882442679E-6</c:v>
                </c:pt>
                <c:pt idx="1">
                  <c:v>1.8137291925126829E-5</c:v>
                </c:pt>
                <c:pt idx="2">
                  <c:v>4.6005238481148204E-5</c:v>
                </c:pt>
                <c:pt idx="3">
                  <c:v>1.0920153534047619E-4</c:v>
                </c:pt>
                <c:pt idx="4">
                  <c:v>2.4256984882431001E-4</c:v>
                </c:pt>
                <c:pt idx="5">
                  <c:v>5.0423327922236841E-4</c:v>
                </c:pt>
                <c:pt idx="6">
                  <c:v>9.8087306428737029E-4</c:v>
                </c:pt>
                <c:pt idx="7">
                  <c:v>1.7855858122449049E-3</c:v>
                </c:pt>
                <c:pt idx="8">
                  <c:v>3.0418322453447957E-3</c:v>
                </c:pt>
                <c:pt idx="9">
                  <c:v>4.8492704641696274E-3</c:v>
                </c:pt>
                <c:pt idx="10">
                  <c:v>7.2344275216876253E-3</c:v>
                </c:pt>
                <c:pt idx="11">
                  <c:v>1.0099934277702938E-2</c:v>
                </c:pt>
                <c:pt idx="12">
                  <c:v>1.3195308262186492E-2</c:v>
                </c:pt>
                <c:pt idx="13">
                  <c:v>1.6132703352552596E-2</c:v>
                </c:pt>
                <c:pt idx="14">
                  <c:v>1.8457860980984869E-2</c:v>
                </c:pt>
                <c:pt idx="15">
                  <c:v>1.9762514802646215E-2</c:v>
                </c:pt>
                <c:pt idx="16">
                  <c:v>1.980111566953164E-2</c:v>
                </c:pt>
                <c:pt idx="17">
                  <c:v>1.8566230084060359E-2</c:v>
                </c:pt>
                <c:pt idx="18">
                  <c:v>1.62908749718845E-2</c:v>
                </c:pt>
                <c:pt idx="19">
                  <c:v>1.3376783801223832E-2</c:v>
                </c:pt>
                <c:pt idx="20">
                  <c:v>1.0278875841821104E-2</c:v>
                </c:pt>
                <c:pt idx="21">
                  <c:v>7.3913905018228197E-3</c:v>
                </c:pt>
                <c:pt idx="22">
                  <c:v>4.9738569396374247E-3</c:v>
                </c:pt>
                <c:pt idx="23">
                  <c:v>3.1321824144568407E-3</c:v>
                </c:pt>
                <c:pt idx="24">
                  <c:v>1.8458118041464236E-3</c:v>
                </c:pt>
                <c:pt idx="25">
                  <c:v>1.0179217781743309E-3</c:v>
                </c:pt>
                <c:pt idx="26">
                  <c:v>5.253249261075088E-4</c:v>
                </c:pt>
                <c:pt idx="27">
                  <c:v>2.5370453191218579E-4</c:v>
                </c:pt>
                <c:pt idx="28">
                  <c:v>1.1466082361099477E-4</c:v>
                </c:pt>
                <c:pt idx="29">
                  <c:v>4.8494055355597236E-5</c:v>
                </c:pt>
                <c:pt idx="30">
                  <c:v>1.919325201047218E-5</c:v>
                </c:pt>
                <c:pt idx="31">
                  <c:v>7.1087827569615689E-6</c:v>
                </c:pt>
                <c:pt idx="32">
                  <c:v>2.4639309576665207E-6</c:v>
                </c:pt>
              </c:numCache>
            </c:numRef>
          </c:yVal>
          <c:smooth val="0"/>
          <c:extLst>
            <c:ext xmlns:c16="http://schemas.microsoft.com/office/drawing/2014/chart" uri="{C3380CC4-5D6E-409C-BE32-E72D297353CC}">
              <c16:uniqueId val="{00000000-B3CD-42A3-9500-9B1F917F71A4}"/>
            </c:ext>
          </c:extLst>
        </c:ser>
        <c:ser>
          <c:idx val="1"/>
          <c:order val="1"/>
          <c:tx>
            <c:strRef>
              <c:f>'Superiority, Crossover'!$W$14</c:f>
              <c:strCache>
                <c:ptCount val="1"/>
                <c:pt idx="0">
                  <c:v>Treatment B</c:v>
                </c:pt>
              </c:strCache>
            </c:strRef>
          </c:tx>
          <c:spPr>
            <a:ln w="28575">
              <a:solidFill>
                <a:srgbClr val="00B050"/>
              </a:solidFill>
            </a:ln>
          </c:spPr>
          <c:marker>
            <c:symbol val="none"/>
          </c:marker>
          <c:xVal>
            <c:numRef>
              <c:f>'Superiority, Crossover'!$U$15:$U$47</c:f>
              <c:numCache>
                <c:formatCode>General</c:formatCode>
                <c:ptCount val="33"/>
                <c:pt idx="0">
                  <c:v>0</c:v>
                </c:pt>
                <c:pt idx="1">
                  <c:v>5.1515151515151514</c:v>
                </c:pt>
                <c:pt idx="2">
                  <c:v>10.303030303030303</c:v>
                </c:pt>
                <c:pt idx="3">
                  <c:v>15.454545454545453</c:v>
                </c:pt>
                <c:pt idx="4">
                  <c:v>20.606060606060606</c:v>
                </c:pt>
                <c:pt idx="5">
                  <c:v>25.757575757575758</c:v>
                </c:pt>
                <c:pt idx="6">
                  <c:v>30.90909090909091</c:v>
                </c:pt>
                <c:pt idx="7">
                  <c:v>36.060606060606062</c:v>
                </c:pt>
                <c:pt idx="8">
                  <c:v>41.212121212121211</c:v>
                </c:pt>
                <c:pt idx="9">
                  <c:v>46.36363636363636</c:v>
                </c:pt>
                <c:pt idx="10">
                  <c:v>51.515151515151508</c:v>
                </c:pt>
                <c:pt idx="11">
                  <c:v>56.666666666666657</c:v>
                </c:pt>
                <c:pt idx="12">
                  <c:v>61.818181818181806</c:v>
                </c:pt>
                <c:pt idx="13">
                  <c:v>66.969696969696955</c:v>
                </c:pt>
                <c:pt idx="14">
                  <c:v>72.12121212121211</c:v>
                </c:pt>
                <c:pt idx="15">
                  <c:v>77.272727272727266</c:v>
                </c:pt>
                <c:pt idx="16">
                  <c:v>82.424242424242422</c:v>
                </c:pt>
                <c:pt idx="17">
                  <c:v>87.575757575757578</c:v>
                </c:pt>
                <c:pt idx="18">
                  <c:v>92.727272727272734</c:v>
                </c:pt>
                <c:pt idx="19">
                  <c:v>97.87878787878789</c:v>
                </c:pt>
                <c:pt idx="20">
                  <c:v>103.03030303030305</c:v>
                </c:pt>
                <c:pt idx="21">
                  <c:v>108.1818181818182</c:v>
                </c:pt>
                <c:pt idx="22">
                  <c:v>113.33333333333336</c:v>
                </c:pt>
                <c:pt idx="23">
                  <c:v>118.48484848484851</c:v>
                </c:pt>
                <c:pt idx="24">
                  <c:v>123.63636363636367</c:v>
                </c:pt>
                <c:pt idx="25">
                  <c:v>128.78787878787881</c:v>
                </c:pt>
                <c:pt idx="26">
                  <c:v>133.93939393939397</c:v>
                </c:pt>
                <c:pt idx="27">
                  <c:v>139.09090909090912</c:v>
                </c:pt>
                <c:pt idx="28">
                  <c:v>144.24242424242428</c:v>
                </c:pt>
                <c:pt idx="29">
                  <c:v>149.39393939393943</c:v>
                </c:pt>
                <c:pt idx="30">
                  <c:v>154.54545454545459</c:v>
                </c:pt>
                <c:pt idx="31">
                  <c:v>159.69696969696975</c:v>
                </c:pt>
                <c:pt idx="32">
                  <c:v>164.8484848484849</c:v>
                </c:pt>
              </c:numCache>
            </c:numRef>
          </c:xVal>
          <c:yVal>
            <c:numRef>
              <c:f>'Superiority, Crossover'!$W$15:$W$47</c:f>
              <c:numCache>
                <c:formatCode>General</c:formatCode>
                <c:ptCount val="33"/>
                <c:pt idx="0">
                  <c:v>7.9918705534527388E-7</c:v>
                </c:pt>
                <c:pt idx="1">
                  <c:v>2.4639309576665516E-6</c:v>
                </c:pt>
                <c:pt idx="2">
                  <c:v>7.1087827569616206E-6</c:v>
                </c:pt>
                <c:pt idx="3">
                  <c:v>1.9193252010472316E-5</c:v>
                </c:pt>
                <c:pt idx="4">
                  <c:v>4.8494055355597541E-5</c:v>
                </c:pt>
                <c:pt idx="5">
                  <c:v>1.146608236109952E-4</c:v>
                </c:pt>
                <c:pt idx="6">
                  <c:v>2.5370453191218693E-4</c:v>
                </c:pt>
                <c:pt idx="7">
                  <c:v>5.2532492610751064E-4</c:v>
                </c:pt>
                <c:pt idx="8">
                  <c:v>1.0179217781743333E-3</c:v>
                </c:pt>
                <c:pt idx="9">
                  <c:v>1.8458118041464293E-3</c:v>
                </c:pt>
                <c:pt idx="10">
                  <c:v>3.1321824144568463E-3</c:v>
                </c:pt>
                <c:pt idx="11">
                  <c:v>4.97385693963743E-3</c:v>
                </c:pt>
                <c:pt idx="12">
                  <c:v>7.391390501822824E-3</c:v>
                </c:pt>
                <c:pt idx="13">
                  <c:v>1.0278875841821104E-2</c:v>
                </c:pt>
                <c:pt idx="14">
                  <c:v>1.3376783801223832E-2</c:v>
                </c:pt>
                <c:pt idx="15">
                  <c:v>1.62908749718845E-2</c:v>
                </c:pt>
                <c:pt idx="16">
                  <c:v>1.8566230084060359E-2</c:v>
                </c:pt>
                <c:pt idx="17">
                  <c:v>1.980111566953164E-2</c:v>
                </c:pt>
                <c:pt idx="18">
                  <c:v>1.9762514802646215E-2</c:v>
                </c:pt>
                <c:pt idx="19">
                  <c:v>1.8457860980984869E-2</c:v>
                </c:pt>
                <c:pt idx="20">
                  <c:v>1.6132703352552596E-2</c:v>
                </c:pt>
                <c:pt idx="21">
                  <c:v>1.3195308262186491E-2</c:v>
                </c:pt>
                <c:pt idx="22">
                  <c:v>1.0099934277702931E-2</c:v>
                </c:pt>
                <c:pt idx="23">
                  <c:v>7.234427521687614E-3</c:v>
                </c:pt>
                <c:pt idx="24">
                  <c:v>4.8492704641696152E-3</c:v>
                </c:pt>
                <c:pt idx="25">
                  <c:v>3.04183224534479E-3</c:v>
                </c:pt>
                <c:pt idx="26">
                  <c:v>1.7855858122448995E-3</c:v>
                </c:pt>
                <c:pt idx="27">
                  <c:v>9.8087306428736726E-4</c:v>
                </c:pt>
                <c:pt idx="28">
                  <c:v>5.0423327922236591E-4</c:v>
                </c:pt>
                <c:pt idx="29">
                  <c:v>2.4256984882430871E-4</c:v>
                </c:pt>
                <c:pt idx="30">
                  <c:v>1.092015353404756E-4</c:v>
                </c:pt>
                <c:pt idx="31">
                  <c:v>4.600523848114792E-5</c:v>
                </c:pt>
                <c:pt idx="32">
                  <c:v>1.8137291925126636E-5</c:v>
                </c:pt>
              </c:numCache>
            </c:numRef>
          </c:yVal>
          <c:smooth val="0"/>
          <c:extLst>
            <c:ext xmlns:c16="http://schemas.microsoft.com/office/drawing/2014/chart" uri="{C3380CC4-5D6E-409C-BE32-E72D297353CC}">
              <c16:uniqueId val="{00000001-B3CD-42A3-9500-9B1F917F71A4}"/>
            </c:ext>
          </c:extLst>
        </c:ser>
        <c:ser>
          <c:idx val="2"/>
          <c:order val="2"/>
          <c:spPr>
            <a:ln>
              <a:solidFill>
                <a:srgbClr val="FFFF00"/>
              </a:solidFill>
            </a:ln>
          </c:spPr>
          <c:marker>
            <c:symbol val="none"/>
          </c:marker>
          <c:xVal>
            <c:numRef>
              <c:f>'Superiority, Crossover'!$Z$16:$Z$17</c:f>
              <c:numCache>
                <c:formatCode>General</c:formatCode>
                <c:ptCount val="2"/>
                <c:pt idx="0">
                  <c:v>60</c:v>
                </c:pt>
                <c:pt idx="1">
                  <c:v>60</c:v>
                </c:pt>
              </c:numCache>
            </c:numRef>
          </c:xVal>
          <c:yVal>
            <c:numRef>
              <c:f>'Superiority, Crossover'!$AA$16:$AA$17</c:f>
              <c:numCache>
                <c:formatCode>General</c:formatCode>
                <c:ptCount val="2"/>
                <c:pt idx="0">
                  <c:v>0</c:v>
                </c:pt>
                <c:pt idx="1">
                  <c:v>1.980111566953164E-2</c:v>
                </c:pt>
              </c:numCache>
            </c:numRef>
          </c:yVal>
          <c:smooth val="0"/>
          <c:extLst>
            <c:ext xmlns:c16="http://schemas.microsoft.com/office/drawing/2014/chart" uri="{C3380CC4-5D6E-409C-BE32-E72D297353CC}">
              <c16:uniqueId val="{00000002-B3CD-42A3-9500-9B1F917F71A4}"/>
            </c:ext>
          </c:extLst>
        </c:ser>
        <c:ser>
          <c:idx val="3"/>
          <c:order val="3"/>
          <c:spPr>
            <a:ln>
              <a:solidFill>
                <a:srgbClr val="FFFF00"/>
              </a:solidFill>
            </a:ln>
          </c:spPr>
          <c:marker>
            <c:symbol val="none"/>
          </c:marker>
          <c:xVal>
            <c:numRef>
              <c:f>'Superiority, Crossover'!$Z$19:$Z$20</c:f>
              <c:numCache>
                <c:formatCode>General</c:formatCode>
                <c:ptCount val="2"/>
                <c:pt idx="0">
                  <c:v>100</c:v>
                </c:pt>
                <c:pt idx="1">
                  <c:v>100</c:v>
                </c:pt>
              </c:numCache>
            </c:numRef>
          </c:xVal>
          <c:yVal>
            <c:numRef>
              <c:f>'Superiority, Crossover'!$AA$19:$AA$20</c:f>
              <c:numCache>
                <c:formatCode>General</c:formatCode>
                <c:ptCount val="2"/>
                <c:pt idx="0">
                  <c:v>0</c:v>
                </c:pt>
                <c:pt idx="1">
                  <c:v>1.980111566953164E-2</c:v>
                </c:pt>
              </c:numCache>
            </c:numRef>
          </c:yVal>
          <c:smooth val="0"/>
          <c:extLst>
            <c:ext xmlns:c16="http://schemas.microsoft.com/office/drawing/2014/chart" uri="{C3380CC4-5D6E-409C-BE32-E72D297353CC}">
              <c16:uniqueId val="{00000003-B3CD-42A3-9500-9B1F917F71A4}"/>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B3CD-42A3-9500-9B1F917F71A4}"/>
              </c:ext>
            </c:extLst>
          </c:dPt>
          <c:xVal>
            <c:numRef>
              <c:f>'Superiority, Crossover'!$Z$24:$Z$25</c:f>
              <c:numCache>
                <c:formatCode>General</c:formatCode>
                <c:ptCount val="2"/>
                <c:pt idx="0">
                  <c:v>70</c:v>
                </c:pt>
                <c:pt idx="1">
                  <c:v>70</c:v>
                </c:pt>
              </c:numCache>
            </c:numRef>
          </c:xVal>
          <c:yVal>
            <c:numRef>
              <c:f>'Superiority, Crossover'!$AA$24:$AA$25</c:f>
              <c:numCache>
                <c:formatCode>General</c:formatCode>
                <c:ptCount val="2"/>
                <c:pt idx="0">
                  <c:v>0</c:v>
                </c:pt>
                <c:pt idx="1">
                  <c:v>1.980111566953164E-2</c:v>
                </c:pt>
              </c:numCache>
            </c:numRef>
          </c:yVal>
          <c:smooth val="0"/>
          <c:extLst>
            <c:ext xmlns:c16="http://schemas.microsoft.com/office/drawing/2014/chart" uri="{C3380CC4-5D6E-409C-BE32-E72D297353CC}">
              <c16:uniqueId val="{00000006-B3CD-42A3-9500-9B1F917F71A4}"/>
            </c:ext>
          </c:extLst>
        </c:ser>
        <c:ser>
          <c:idx val="5"/>
          <c:order val="5"/>
          <c:spPr>
            <a:ln>
              <a:solidFill>
                <a:srgbClr val="00B050"/>
              </a:solidFill>
            </a:ln>
          </c:spPr>
          <c:marker>
            <c:symbol val="none"/>
          </c:marker>
          <c:xVal>
            <c:numRef>
              <c:f>'Superiority, Crossover'!$Z$27:$Z$28</c:f>
              <c:numCache>
                <c:formatCode>General</c:formatCode>
                <c:ptCount val="2"/>
                <c:pt idx="0">
                  <c:v>110</c:v>
                </c:pt>
                <c:pt idx="1">
                  <c:v>110</c:v>
                </c:pt>
              </c:numCache>
            </c:numRef>
          </c:xVal>
          <c:yVal>
            <c:numRef>
              <c:f>'Superiority, Crossover'!$AA$27:$AA$28</c:f>
              <c:numCache>
                <c:formatCode>General</c:formatCode>
                <c:ptCount val="2"/>
                <c:pt idx="0">
                  <c:v>0</c:v>
                </c:pt>
                <c:pt idx="1">
                  <c:v>1.980111566953164E-2</c:v>
                </c:pt>
              </c:numCache>
            </c:numRef>
          </c:yVal>
          <c:smooth val="0"/>
          <c:extLst>
            <c:ext xmlns:c16="http://schemas.microsoft.com/office/drawing/2014/chart" uri="{C3380CC4-5D6E-409C-BE32-E72D297353CC}">
              <c16:uniqueId val="{00000007-B3CD-42A3-9500-9B1F917F71A4}"/>
            </c:ext>
          </c:extLst>
        </c:ser>
        <c:ser>
          <c:idx val="6"/>
          <c:order val="6"/>
          <c:spPr>
            <a:ln>
              <a:solidFill>
                <a:srgbClr val="FFFF00"/>
              </a:solidFill>
            </a:ln>
          </c:spPr>
          <c:marker>
            <c:symbol val="none"/>
          </c:marker>
          <c:xVal>
            <c:numRef>
              <c:f>'Superiority, Crossover'!$AD$16:$AD$17</c:f>
              <c:numCache>
                <c:formatCode>General</c:formatCode>
                <c:ptCount val="2"/>
                <c:pt idx="0">
                  <c:v>7.0950772681191125</c:v>
                </c:pt>
                <c:pt idx="1">
                  <c:v>7.0950772681191125</c:v>
                </c:pt>
              </c:numCache>
            </c:numRef>
          </c:xVal>
          <c:yVal>
            <c:numRef>
              <c:f>'Superiority, Crossover'!$AE$16:$AE$17</c:f>
              <c:numCache>
                <c:formatCode>General</c:formatCode>
                <c:ptCount val="2"/>
                <c:pt idx="0">
                  <c:v>0</c:v>
                </c:pt>
                <c:pt idx="1">
                  <c:v>0</c:v>
                </c:pt>
              </c:numCache>
            </c:numRef>
          </c:yVal>
          <c:smooth val="0"/>
          <c:extLst>
            <c:ext xmlns:c16="http://schemas.microsoft.com/office/drawing/2014/chart" uri="{C3380CC4-5D6E-409C-BE32-E72D297353CC}">
              <c16:uniqueId val="{00000008-B3CD-42A3-9500-9B1F917F71A4}"/>
            </c:ext>
          </c:extLst>
        </c:ser>
        <c:ser>
          <c:idx val="7"/>
          <c:order val="7"/>
          <c:tx>
            <c:strRef>
              <c:f>'Superiority, Crossover'!$AD$19:$AD$20</c:f>
              <c:strCache>
                <c:ptCount val="2"/>
                <c:pt idx="0">
                  <c:v>152.9049227</c:v>
                </c:pt>
                <c:pt idx="1">
                  <c:v>152.9049227</c:v>
                </c:pt>
              </c:strCache>
            </c:strRef>
          </c:tx>
          <c:spPr>
            <a:ln>
              <a:solidFill>
                <a:srgbClr val="FFFF00"/>
              </a:solidFill>
            </a:ln>
          </c:spPr>
          <c:marker>
            <c:symbol val="none"/>
          </c:marker>
          <c:xVal>
            <c:numRef>
              <c:f>'Superiority, Crossover'!$AD$19:$AD$20</c:f>
              <c:numCache>
                <c:formatCode>General</c:formatCode>
                <c:ptCount val="2"/>
                <c:pt idx="0">
                  <c:v>152.9049227318809</c:v>
                </c:pt>
                <c:pt idx="1">
                  <c:v>152.9049227318809</c:v>
                </c:pt>
              </c:numCache>
            </c:numRef>
          </c:xVal>
          <c:yVal>
            <c:numRef>
              <c:f>'Superiority, Crossover'!$AE$19:$AE$20</c:f>
              <c:numCache>
                <c:formatCode>General</c:formatCode>
                <c:ptCount val="2"/>
                <c:pt idx="0">
                  <c:v>0</c:v>
                </c:pt>
                <c:pt idx="1">
                  <c:v>0</c:v>
                </c:pt>
              </c:numCache>
            </c:numRef>
          </c:yVal>
          <c:smooth val="0"/>
          <c:extLst>
            <c:ext xmlns:c16="http://schemas.microsoft.com/office/drawing/2014/chart" uri="{C3380CC4-5D6E-409C-BE32-E72D297353CC}">
              <c16:uniqueId val="{00000009-B3CD-42A3-9500-9B1F917F71A4}"/>
            </c:ext>
          </c:extLst>
        </c:ser>
        <c:ser>
          <c:idx val="8"/>
          <c:order val="8"/>
          <c:spPr>
            <a:ln>
              <a:solidFill>
                <a:srgbClr val="00B050"/>
              </a:solidFill>
            </a:ln>
          </c:spPr>
          <c:marker>
            <c:symbol val="none"/>
          </c:marker>
          <c:xVal>
            <c:numRef>
              <c:f>'Superiority, Crossover'!$AD$24:$AD$25</c:f>
              <c:numCache>
                <c:formatCode>General</c:formatCode>
                <c:ptCount val="2"/>
                <c:pt idx="0">
                  <c:v>17.095077268119113</c:v>
                </c:pt>
                <c:pt idx="1">
                  <c:v>17.095077268119113</c:v>
                </c:pt>
              </c:numCache>
            </c:numRef>
          </c:xVal>
          <c:yVal>
            <c:numRef>
              <c:f>'Superiority, Crossover'!$AE$24:$AE$25</c:f>
              <c:numCache>
                <c:formatCode>General</c:formatCode>
                <c:ptCount val="2"/>
                <c:pt idx="0">
                  <c:v>0</c:v>
                </c:pt>
                <c:pt idx="1">
                  <c:v>0</c:v>
                </c:pt>
              </c:numCache>
            </c:numRef>
          </c:yVal>
          <c:smooth val="0"/>
          <c:extLst>
            <c:ext xmlns:c16="http://schemas.microsoft.com/office/drawing/2014/chart" uri="{C3380CC4-5D6E-409C-BE32-E72D297353CC}">
              <c16:uniqueId val="{0000000A-B3CD-42A3-9500-9B1F917F71A4}"/>
            </c:ext>
          </c:extLst>
        </c:ser>
        <c:ser>
          <c:idx val="9"/>
          <c:order val="9"/>
          <c:spPr>
            <a:ln>
              <a:solidFill>
                <a:srgbClr val="00B050"/>
              </a:solidFill>
            </a:ln>
          </c:spPr>
          <c:marker>
            <c:symbol val="none"/>
          </c:marker>
          <c:xVal>
            <c:numRef>
              <c:f>'Superiority, Crossover'!$AD$27:$AD$28</c:f>
              <c:numCache>
                <c:formatCode>General</c:formatCode>
                <c:ptCount val="2"/>
                <c:pt idx="0">
                  <c:v>162.9049227318809</c:v>
                </c:pt>
                <c:pt idx="1">
                  <c:v>162.9049227318809</c:v>
                </c:pt>
              </c:numCache>
            </c:numRef>
          </c:xVal>
          <c:yVal>
            <c:numRef>
              <c:f>'Superiority, Crossover'!$AE$27:$AE$28</c:f>
              <c:numCache>
                <c:formatCode>General</c:formatCode>
                <c:ptCount val="2"/>
                <c:pt idx="0">
                  <c:v>0</c:v>
                </c:pt>
                <c:pt idx="1">
                  <c:v>0</c:v>
                </c:pt>
              </c:numCache>
            </c:numRef>
          </c:yVal>
          <c:smooth val="0"/>
          <c:extLst>
            <c:ext xmlns:c16="http://schemas.microsoft.com/office/drawing/2014/chart" uri="{C3380CC4-5D6E-409C-BE32-E72D297353CC}">
              <c16:uniqueId val="{0000000B-B3CD-42A3-9500-9B1F917F71A4}"/>
            </c:ext>
          </c:extLst>
        </c:ser>
        <c:ser>
          <c:idx val="10"/>
          <c:order val="10"/>
          <c:spPr>
            <a:ln>
              <a:solidFill>
                <a:srgbClr val="FF0000"/>
              </a:solidFill>
            </a:ln>
          </c:spPr>
          <c:marker>
            <c:symbol val="none"/>
          </c:marker>
          <c:xVal>
            <c:numRef>
              <c:f>'Superiority, Crossover'!$Z$32:$Z$33</c:f>
              <c:numCache>
                <c:formatCode>General</c:formatCode>
                <c:ptCount val="2"/>
                <c:pt idx="0">
                  <c:v>80</c:v>
                </c:pt>
                <c:pt idx="1">
                  <c:v>80</c:v>
                </c:pt>
              </c:numCache>
            </c:numRef>
          </c:xVal>
          <c:yVal>
            <c:numRef>
              <c:f>'Superiority, Crossover'!$AA$32:$AA$33</c:f>
              <c:numCache>
                <c:formatCode>General</c:formatCode>
                <c:ptCount val="2"/>
                <c:pt idx="0">
                  <c:v>0</c:v>
                </c:pt>
                <c:pt idx="1">
                  <c:v>1.980111566953164E-2</c:v>
                </c:pt>
              </c:numCache>
            </c:numRef>
          </c:yVal>
          <c:smooth val="0"/>
          <c:extLst>
            <c:ext xmlns:c16="http://schemas.microsoft.com/office/drawing/2014/chart" uri="{C3380CC4-5D6E-409C-BE32-E72D297353CC}">
              <c16:uniqueId val="{0000000C-B3CD-42A3-9500-9B1F917F71A4}"/>
            </c:ext>
          </c:extLst>
        </c:ser>
        <c:ser>
          <c:idx val="11"/>
          <c:order val="11"/>
          <c:spPr>
            <a:ln>
              <a:solidFill>
                <a:srgbClr val="FF0000"/>
              </a:solidFill>
            </a:ln>
          </c:spPr>
          <c:marker>
            <c:symbol val="none"/>
          </c:marker>
          <c:xVal>
            <c:numRef>
              <c:f>'Superiority, Crossover'!$Z$35:$Z$36</c:f>
              <c:numCache>
                <c:formatCode>General</c:formatCode>
                <c:ptCount val="2"/>
                <c:pt idx="0">
                  <c:v>90</c:v>
                </c:pt>
                <c:pt idx="1">
                  <c:v>90</c:v>
                </c:pt>
              </c:numCache>
            </c:numRef>
          </c:xVal>
          <c:yVal>
            <c:numRef>
              <c:f>'Superiority, Crossover'!$AA$35:$AA$36</c:f>
              <c:numCache>
                <c:formatCode>General</c:formatCode>
                <c:ptCount val="2"/>
                <c:pt idx="0">
                  <c:v>0</c:v>
                </c:pt>
                <c:pt idx="1">
                  <c:v>1.980111566953164E-2</c:v>
                </c:pt>
              </c:numCache>
            </c:numRef>
          </c:yVal>
          <c:smooth val="0"/>
          <c:extLst>
            <c:ext xmlns:c16="http://schemas.microsoft.com/office/drawing/2014/chart" uri="{C3380CC4-5D6E-409C-BE32-E72D297353CC}">
              <c16:uniqueId val="{0000000D-B3CD-42A3-9500-9B1F917F71A4}"/>
            </c:ext>
          </c:extLst>
        </c:ser>
        <c:dLbls>
          <c:showLegendKey val="0"/>
          <c:showVal val="0"/>
          <c:showCatName val="0"/>
          <c:showSerName val="0"/>
          <c:showPercent val="0"/>
          <c:showBubbleSize val="0"/>
        </c:dLbls>
        <c:axId val="2147158040"/>
        <c:axId val="2147161432"/>
      </c:scatterChart>
      <c:valAx>
        <c:axId val="2147158040"/>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161432"/>
        <c:crosses val="autoZero"/>
        <c:crossBetween val="midCat"/>
      </c:valAx>
      <c:valAx>
        <c:axId val="214716143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158040"/>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'Equivalence, Parallel'!$V$14</c:f>
              <c:strCache>
                <c:ptCount val="1"/>
                <c:pt idx="0">
                  <c:v>Treatment A</c:v>
                </c:pt>
              </c:strCache>
            </c:strRef>
          </c:tx>
          <c:spPr>
            <a:ln w="28575">
              <a:solidFill>
                <a:srgbClr val="FFFF00"/>
              </a:solidFill>
            </a:ln>
          </c:spPr>
          <c:marker>
            <c:symbol val="none"/>
          </c:marker>
          <c:xVal>
            <c:numRef>
              <c:f>'Equivalence, Parallel'!$U$15:$U$47</c:f>
              <c:numCache>
                <c:formatCode>General</c:formatCode>
                <c:ptCount val="33"/>
                <c:pt idx="0">
                  <c:v>0</c:v>
                </c:pt>
                <c:pt idx="1">
                  <c:v>12.121212121212121</c:v>
                </c:pt>
                <c:pt idx="2">
                  <c:v>24.242424242424242</c:v>
                </c:pt>
                <c:pt idx="3">
                  <c:v>36.36363636363636</c:v>
                </c:pt>
                <c:pt idx="4">
                  <c:v>48.484848484848484</c:v>
                </c:pt>
                <c:pt idx="5">
                  <c:v>60.606060606060609</c:v>
                </c:pt>
                <c:pt idx="6">
                  <c:v>72.727272727272734</c:v>
                </c:pt>
                <c:pt idx="7">
                  <c:v>84.848484848484858</c:v>
                </c:pt>
                <c:pt idx="8">
                  <c:v>96.969696969696983</c:v>
                </c:pt>
                <c:pt idx="9">
                  <c:v>109.09090909090911</c:v>
                </c:pt>
                <c:pt idx="10">
                  <c:v>121.21212121212123</c:v>
                </c:pt>
                <c:pt idx="11">
                  <c:v>133.33333333333334</c:v>
                </c:pt>
                <c:pt idx="12">
                  <c:v>145.45454545454547</c:v>
                </c:pt>
                <c:pt idx="13">
                  <c:v>157.57575757575759</c:v>
                </c:pt>
                <c:pt idx="14">
                  <c:v>169.69696969696972</c:v>
                </c:pt>
                <c:pt idx="15">
                  <c:v>181.81818181818184</c:v>
                </c:pt>
                <c:pt idx="16">
                  <c:v>193.93939393939397</c:v>
                </c:pt>
                <c:pt idx="17">
                  <c:v>206.06060606060609</c:v>
                </c:pt>
                <c:pt idx="18">
                  <c:v>218.18181818181822</c:v>
                </c:pt>
                <c:pt idx="19">
                  <c:v>230.30303030303034</c:v>
                </c:pt>
                <c:pt idx="20">
                  <c:v>242.42424242424246</c:v>
                </c:pt>
                <c:pt idx="21">
                  <c:v>254.54545454545459</c:v>
                </c:pt>
                <c:pt idx="22">
                  <c:v>266.66666666666669</c:v>
                </c:pt>
                <c:pt idx="23">
                  <c:v>278.78787878787881</c:v>
                </c:pt>
                <c:pt idx="24">
                  <c:v>290.90909090909093</c:v>
                </c:pt>
                <c:pt idx="25">
                  <c:v>303.03030303030306</c:v>
                </c:pt>
                <c:pt idx="26">
                  <c:v>315.15151515151518</c:v>
                </c:pt>
                <c:pt idx="27">
                  <c:v>327.27272727272731</c:v>
                </c:pt>
                <c:pt idx="28">
                  <c:v>339.39393939393943</c:v>
                </c:pt>
                <c:pt idx="29">
                  <c:v>351.51515151515156</c:v>
                </c:pt>
                <c:pt idx="30">
                  <c:v>363.63636363636368</c:v>
                </c:pt>
                <c:pt idx="31">
                  <c:v>375.75757575757581</c:v>
                </c:pt>
                <c:pt idx="32">
                  <c:v>387.87878787878793</c:v>
                </c:pt>
              </c:numCache>
            </c:numRef>
          </c:xVal>
          <c:yVal>
            <c:numRef>
              <c:f>'Equivalence, Parallel'!$V$15:$V$47</c:f>
              <c:numCache>
                <c:formatCode>General</c:formatCode>
                <c:ptCount val="33"/>
                <c:pt idx="0">
                  <c:v>2.6766045152977074E-6</c:v>
                </c:pt>
                <c:pt idx="1">
                  <c:v>6.8541974591718509E-6</c:v>
                </c:pt>
                <c:pt idx="2">
                  <c:v>1.6550295093638804E-5</c:v>
                </c:pt>
                <c:pt idx="3">
                  <c:v>3.7681796203076303E-5</c:v>
                </c:pt>
                <c:pt idx="4">
                  <c:v>8.0897327717729644E-5</c:v>
                </c:pt>
                <c:pt idx="5">
                  <c:v>1.6376213053574513E-4</c:v>
                </c:pt>
                <c:pt idx="6">
                  <c:v>3.1258598953711218E-4</c:v>
                </c:pt>
                <c:pt idx="7">
                  <c:v>5.6260328274556932E-4</c:v>
                </c:pt>
                <c:pt idx="8">
                  <c:v>9.5479852613707073E-4</c:v>
                </c:pt>
                <c:pt idx="9">
                  <c:v>1.5279105957013359E-3</c:v>
                </c:pt>
                <c:pt idx="10">
                  <c:v>2.3054774036885169E-3</c:v>
                </c:pt>
                <c:pt idx="11">
                  <c:v>3.2802014935198738E-3</c:v>
                </c:pt>
                <c:pt idx="12">
                  <c:v>4.4006507073998157E-3</c:v>
                </c:pt>
                <c:pt idx="13">
                  <c:v>5.5668561622342575E-3</c:v>
                </c:pt>
                <c:pt idx="14">
                  <c:v>6.6401795995001695E-3</c:v>
                </c:pt>
                <c:pt idx="15">
                  <c:v>7.4683794750795788E-3</c:v>
                </c:pt>
                <c:pt idx="16">
                  <c:v>7.9204462678126551E-3</c:v>
                </c:pt>
                <c:pt idx="17">
                  <c:v>7.9204462678126551E-3</c:v>
                </c:pt>
                <c:pt idx="18">
                  <c:v>7.4683794750795745E-3</c:v>
                </c:pt>
                <c:pt idx="19">
                  <c:v>6.6401795995001634E-3</c:v>
                </c:pt>
                <c:pt idx="20">
                  <c:v>5.5668561622342523E-3</c:v>
                </c:pt>
                <c:pt idx="21">
                  <c:v>4.4006507073998096E-3</c:v>
                </c:pt>
                <c:pt idx="22">
                  <c:v>3.2802014935198712E-3</c:v>
                </c:pt>
                <c:pt idx="23">
                  <c:v>2.3054774036885138E-3</c:v>
                </c:pt>
                <c:pt idx="24">
                  <c:v>1.527910595701333E-3</c:v>
                </c:pt>
                <c:pt idx="25">
                  <c:v>9.5479852613706987E-4</c:v>
                </c:pt>
                <c:pt idx="26">
                  <c:v>5.6260328274556834E-4</c:v>
                </c:pt>
                <c:pt idx="27">
                  <c:v>3.1258598953711153E-4</c:v>
                </c:pt>
                <c:pt idx="28">
                  <c:v>1.637621305357447E-4</c:v>
                </c:pt>
                <c:pt idx="29">
                  <c:v>8.0897327717729345E-5</c:v>
                </c:pt>
                <c:pt idx="30">
                  <c:v>3.768179620307614E-5</c:v>
                </c:pt>
                <c:pt idx="31">
                  <c:v>1.6550295093638746E-5</c:v>
                </c:pt>
                <c:pt idx="32">
                  <c:v>6.8541974591718144E-6</c:v>
                </c:pt>
              </c:numCache>
            </c:numRef>
          </c:yVal>
          <c:smooth val="0"/>
          <c:extLst>
            <c:ext xmlns:c16="http://schemas.microsoft.com/office/drawing/2014/chart" uri="{C3380CC4-5D6E-409C-BE32-E72D297353CC}">
              <c16:uniqueId val="{00000000-8414-4708-A9D9-D854D68991D3}"/>
            </c:ext>
          </c:extLst>
        </c:ser>
        <c:ser>
          <c:idx val="1"/>
          <c:order val="1"/>
          <c:tx>
            <c:strRef>
              <c:f>'Equivalence, Parallel'!$W$14</c:f>
              <c:strCache>
                <c:ptCount val="1"/>
                <c:pt idx="0">
                  <c:v>Treatment B</c:v>
                </c:pt>
              </c:strCache>
            </c:strRef>
          </c:tx>
          <c:spPr>
            <a:ln w="28575">
              <a:solidFill>
                <a:srgbClr val="00B050"/>
              </a:solidFill>
            </a:ln>
          </c:spPr>
          <c:marker>
            <c:symbol val="none"/>
          </c:marker>
          <c:xVal>
            <c:numRef>
              <c:f>'Equivalence, Parallel'!$U$15:$U$47</c:f>
              <c:numCache>
                <c:formatCode>General</c:formatCode>
                <c:ptCount val="33"/>
                <c:pt idx="0">
                  <c:v>0</c:v>
                </c:pt>
                <c:pt idx="1">
                  <c:v>12.121212121212121</c:v>
                </c:pt>
                <c:pt idx="2">
                  <c:v>24.242424242424242</c:v>
                </c:pt>
                <c:pt idx="3">
                  <c:v>36.36363636363636</c:v>
                </c:pt>
                <c:pt idx="4">
                  <c:v>48.484848484848484</c:v>
                </c:pt>
                <c:pt idx="5">
                  <c:v>60.606060606060609</c:v>
                </c:pt>
                <c:pt idx="6">
                  <c:v>72.727272727272734</c:v>
                </c:pt>
                <c:pt idx="7">
                  <c:v>84.848484848484858</c:v>
                </c:pt>
                <c:pt idx="8">
                  <c:v>96.969696969696983</c:v>
                </c:pt>
                <c:pt idx="9">
                  <c:v>109.09090909090911</c:v>
                </c:pt>
                <c:pt idx="10">
                  <c:v>121.21212121212123</c:v>
                </c:pt>
                <c:pt idx="11">
                  <c:v>133.33333333333334</c:v>
                </c:pt>
                <c:pt idx="12">
                  <c:v>145.45454545454547</c:v>
                </c:pt>
                <c:pt idx="13">
                  <c:v>157.57575757575759</c:v>
                </c:pt>
                <c:pt idx="14">
                  <c:v>169.69696969696972</c:v>
                </c:pt>
                <c:pt idx="15">
                  <c:v>181.81818181818184</c:v>
                </c:pt>
                <c:pt idx="16">
                  <c:v>193.93939393939397</c:v>
                </c:pt>
                <c:pt idx="17">
                  <c:v>206.06060606060609</c:v>
                </c:pt>
                <c:pt idx="18">
                  <c:v>218.18181818181822</c:v>
                </c:pt>
                <c:pt idx="19">
                  <c:v>230.30303030303034</c:v>
                </c:pt>
                <c:pt idx="20">
                  <c:v>242.42424242424246</c:v>
                </c:pt>
                <c:pt idx="21">
                  <c:v>254.54545454545459</c:v>
                </c:pt>
                <c:pt idx="22">
                  <c:v>266.66666666666669</c:v>
                </c:pt>
                <c:pt idx="23">
                  <c:v>278.78787878787881</c:v>
                </c:pt>
                <c:pt idx="24">
                  <c:v>290.90909090909093</c:v>
                </c:pt>
                <c:pt idx="25">
                  <c:v>303.03030303030306</c:v>
                </c:pt>
                <c:pt idx="26">
                  <c:v>315.15151515151518</c:v>
                </c:pt>
                <c:pt idx="27">
                  <c:v>327.27272727272731</c:v>
                </c:pt>
                <c:pt idx="28">
                  <c:v>339.39393939393943</c:v>
                </c:pt>
                <c:pt idx="29">
                  <c:v>351.51515151515156</c:v>
                </c:pt>
                <c:pt idx="30">
                  <c:v>363.63636363636368</c:v>
                </c:pt>
                <c:pt idx="31">
                  <c:v>375.75757575757581</c:v>
                </c:pt>
                <c:pt idx="32">
                  <c:v>387.87878787878793</c:v>
                </c:pt>
              </c:numCache>
            </c:numRef>
          </c:xVal>
          <c:yVal>
            <c:numRef>
              <c:f>'Equivalence, Parallel'!$W$15:$W$47</c:f>
              <c:numCache>
                <c:formatCode>General</c:formatCode>
                <c:ptCount val="33"/>
                <c:pt idx="0">
                  <c:v>2.6766045152977074E-6</c:v>
                </c:pt>
                <c:pt idx="1">
                  <c:v>6.8541974591718509E-6</c:v>
                </c:pt>
                <c:pt idx="2">
                  <c:v>1.6550295093638804E-5</c:v>
                </c:pt>
                <c:pt idx="3">
                  <c:v>3.7681796203076303E-5</c:v>
                </c:pt>
                <c:pt idx="4">
                  <c:v>8.0897327717729644E-5</c:v>
                </c:pt>
                <c:pt idx="5">
                  <c:v>1.6376213053574513E-4</c:v>
                </c:pt>
                <c:pt idx="6">
                  <c:v>3.1258598953711218E-4</c:v>
                </c:pt>
                <c:pt idx="7">
                  <c:v>5.6260328274556932E-4</c:v>
                </c:pt>
                <c:pt idx="8">
                  <c:v>9.5479852613707073E-4</c:v>
                </c:pt>
                <c:pt idx="9">
                  <c:v>1.5279105957013359E-3</c:v>
                </c:pt>
                <c:pt idx="10">
                  <c:v>2.3054774036885169E-3</c:v>
                </c:pt>
                <c:pt idx="11">
                  <c:v>3.2802014935198738E-3</c:v>
                </c:pt>
                <c:pt idx="12">
                  <c:v>4.4006507073998157E-3</c:v>
                </c:pt>
                <c:pt idx="13">
                  <c:v>5.5668561622342575E-3</c:v>
                </c:pt>
                <c:pt idx="14">
                  <c:v>6.6401795995001695E-3</c:v>
                </c:pt>
                <c:pt idx="15">
                  <c:v>7.4683794750795788E-3</c:v>
                </c:pt>
                <c:pt idx="16">
                  <c:v>7.9204462678126551E-3</c:v>
                </c:pt>
                <c:pt idx="17">
                  <c:v>7.9204462678126551E-3</c:v>
                </c:pt>
                <c:pt idx="18">
                  <c:v>7.4683794750795745E-3</c:v>
                </c:pt>
                <c:pt idx="19">
                  <c:v>6.6401795995001634E-3</c:v>
                </c:pt>
                <c:pt idx="20">
                  <c:v>5.5668561622342523E-3</c:v>
                </c:pt>
                <c:pt idx="21">
                  <c:v>4.4006507073998096E-3</c:v>
                </c:pt>
                <c:pt idx="22">
                  <c:v>3.2802014935198712E-3</c:v>
                </c:pt>
                <c:pt idx="23">
                  <c:v>2.3054774036885138E-3</c:v>
                </c:pt>
                <c:pt idx="24">
                  <c:v>1.527910595701333E-3</c:v>
                </c:pt>
                <c:pt idx="25">
                  <c:v>9.5479852613706987E-4</c:v>
                </c:pt>
                <c:pt idx="26">
                  <c:v>5.6260328274556834E-4</c:v>
                </c:pt>
                <c:pt idx="27">
                  <c:v>3.1258598953711153E-4</c:v>
                </c:pt>
                <c:pt idx="28">
                  <c:v>1.637621305357447E-4</c:v>
                </c:pt>
                <c:pt idx="29">
                  <c:v>8.0897327717729345E-5</c:v>
                </c:pt>
                <c:pt idx="30">
                  <c:v>3.768179620307614E-5</c:v>
                </c:pt>
                <c:pt idx="31">
                  <c:v>1.6550295093638746E-5</c:v>
                </c:pt>
                <c:pt idx="32">
                  <c:v>6.8541974591718144E-6</c:v>
                </c:pt>
              </c:numCache>
            </c:numRef>
          </c:yVal>
          <c:smooth val="0"/>
          <c:extLst>
            <c:ext xmlns:c16="http://schemas.microsoft.com/office/drawing/2014/chart" uri="{C3380CC4-5D6E-409C-BE32-E72D297353CC}">
              <c16:uniqueId val="{00000001-8414-4708-A9D9-D854D68991D3}"/>
            </c:ext>
          </c:extLst>
        </c:ser>
        <c:ser>
          <c:idx val="2"/>
          <c:order val="2"/>
          <c:spPr>
            <a:ln>
              <a:solidFill>
                <a:srgbClr val="FFFF00"/>
              </a:solidFill>
            </a:ln>
          </c:spPr>
          <c:marker>
            <c:symbol val="none"/>
          </c:marker>
          <c:xVal>
            <c:numRef>
              <c:f>'Equivalence, Parallel'!$Z$16:$Z$17</c:f>
              <c:numCache>
                <c:formatCode>General</c:formatCode>
                <c:ptCount val="2"/>
                <c:pt idx="0">
                  <c:v>150</c:v>
                </c:pt>
                <c:pt idx="1">
                  <c:v>150</c:v>
                </c:pt>
              </c:numCache>
            </c:numRef>
          </c:xVal>
          <c:yVal>
            <c:numRef>
              <c:f>'Equivalence, Parallel'!$AA$16:$AA$17</c:f>
              <c:numCache>
                <c:formatCode>General</c:formatCode>
                <c:ptCount val="2"/>
                <c:pt idx="0">
                  <c:v>0</c:v>
                </c:pt>
                <c:pt idx="1">
                  <c:v>7.9204462678126551E-3</c:v>
                </c:pt>
              </c:numCache>
            </c:numRef>
          </c:yVal>
          <c:smooth val="0"/>
          <c:extLst>
            <c:ext xmlns:c16="http://schemas.microsoft.com/office/drawing/2014/chart" uri="{C3380CC4-5D6E-409C-BE32-E72D297353CC}">
              <c16:uniqueId val="{00000002-8414-4708-A9D9-D854D68991D3}"/>
            </c:ext>
          </c:extLst>
        </c:ser>
        <c:ser>
          <c:idx val="3"/>
          <c:order val="3"/>
          <c:spPr>
            <a:ln>
              <a:solidFill>
                <a:srgbClr val="FFFF00"/>
              </a:solidFill>
            </a:ln>
          </c:spPr>
          <c:marker>
            <c:symbol val="none"/>
          </c:marker>
          <c:xVal>
            <c:numRef>
              <c:f>'Equivalence, Parallel'!$Z$19:$Z$20</c:f>
              <c:numCache>
                <c:formatCode>General</c:formatCode>
                <c:ptCount val="2"/>
                <c:pt idx="0">
                  <c:v>250</c:v>
                </c:pt>
                <c:pt idx="1">
                  <c:v>250</c:v>
                </c:pt>
              </c:numCache>
            </c:numRef>
          </c:xVal>
          <c:yVal>
            <c:numRef>
              <c:f>'Equivalence, Parallel'!$AA$19:$AA$20</c:f>
              <c:numCache>
                <c:formatCode>General</c:formatCode>
                <c:ptCount val="2"/>
                <c:pt idx="0">
                  <c:v>0</c:v>
                </c:pt>
                <c:pt idx="1">
                  <c:v>7.9204462678126551E-3</c:v>
                </c:pt>
              </c:numCache>
            </c:numRef>
          </c:yVal>
          <c:smooth val="0"/>
          <c:extLst>
            <c:ext xmlns:c16="http://schemas.microsoft.com/office/drawing/2014/chart" uri="{C3380CC4-5D6E-409C-BE32-E72D297353CC}">
              <c16:uniqueId val="{00000003-8414-4708-A9D9-D854D68991D3}"/>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8414-4708-A9D9-D854D68991D3}"/>
              </c:ext>
            </c:extLst>
          </c:dPt>
          <c:xVal>
            <c:numRef>
              <c:f>'Equivalence, Parallel'!$Z$24:$Z$25</c:f>
              <c:numCache>
                <c:formatCode>General</c:formatCode>
                <c:ptCount val="2"/>
                <c:pt idx="0">
                  <c:v>150</c:v>
                </c:pt>
                <c:pt idx="1">
                  <c:v>150</c:v>
                </c:pt>
              </c:numCache>
            </c:numRef>
          </c:xVal>
          <c:yVal>
            <c:numRef>
              <c:f>'Equivalence, Parallel'!$AA$24:$AA$25</c:f>
              <c:numCache>
                <c:formatCode>General</c:formatCode>
                <c:ptCount val="2"/>
                <c:pt idx="0">
                  <c:v>0</c:v>
                </c:pt>
                <c:pt idx="1">
                  <c:v>7.9204462678126551E-3</c:v>
                </c:pt>
              </c:numCache>
            </c:numRef>
          </c:yVal>
          <c:smooth val="0"/>
          <c:extLst>
            <c:ext xmlns:c16="http://schemas.microsoft.com/office/drawing/2014/chart" uri="{C3380CC4-5D6E-409C-BE32-E72D297353CC}">
              <c16:uniqueId val="{00000006-8414-4708-A9D9-D854D68991D3}"/>
            </c:ext>
          </c:extLst>
        </c:ser>
        <c:ser>
          <c:idx val="5"/>
          <c:order val="5"/>
          <c:spPr>
            <a:ln>
              <a:solidFill>
                <a:srgbClr val="00B050"/>
              </a:solidFill>
            </a:ln>
          </c:spPr>
          <c:marker>
            <c:symbol val="none"/>
          </c:marker>
          <c:xVal>
            <c:numRef>
              <c:f>'Equivalence, Parallel'!$Z$27:$Z$28</c:f>
              <c:numCache>
                <c:formatCode>General</c:formatCode>
                <c:ptCount val="2"/>
                <c:pt idx="0">
                  <c:v>250</c:v>
                </c:pt>
                <c:pt idx="1">
                  <c:v>250</c:v>
                </c:pt>
              </c:numCache>
            </c:numRef>
          </c:xVal>
          <c:yVal>
            <c:numRef>
              <c:f>'Equivalence, Parallel'!$AA$27:$AA$28</c:f>
              <c:numCache>
                <c:formatCode>General</c:formatCode>
                <c:ptCount val="2"/>
                <c:pt idx="0">
                  <c:v>0</c:v>
                </c:pt>
                <c:pt idx="1">
                  <c:v>7.9204462678126551E-3</c:v>
                </c:pt>
              </c:numCache>
            </c:numRef>
          </c:yVal>
          <c:smooth val="0"/>
          <c:extLst>
            <c:ext xmlns:c16="http://schemas.microsoft.com/office/drawing/2014/chart" uri="{C3380CC4-5D6E-409C-BE32-E72D297353CC}">
              <c16:uniqueId val="{00000007-8414-4708-A9D9-D854D68991D3}"/>
            </c:ext>
          </c:extLst>
        </c:ser>
        <c:ser>
          <c:idx val="6"/>
          <c:order val="6"/>
          <c:spPr>
            <a:ln>
              <a:solidFill>
                <a:srgbClr val="FFFF00"/>
              </a:solidFill>
            </a:ln>
          </c:spPr>
          <c:marker>
            <c:symbol val="none"/>
          </c:marker>
          <c:xVal>
            <c:numRef>
              <c:f>'Equivalence, Parallel'!$AD$16:$AD$17</c:f>
              <c:numCache>
                <c:formatCode>General</c:formatCode>
                <c:ptCount val="2"/>
                <c:pt idx="0">
                  <c:v>-166.79653624044829</c:v>
                </c:pt>
                <c:pt idx="1">
                  <c:v>-166.79653624044829</c:v>
                </c:pt>
              </c:numCache>
            </c:numRef>
          </c:xVal>
          <c:yVal>
            <c:numRef>
              <c:f>'Equivalence, Parallel'!$AE$16:$AE$17</c:f>
              <c:numCache>
                <c:formatCode>General</c:formatCode>
                <c:ptCount val="2"/>
                <c:pt idx="0">
                  <c:v>0</c:v>
                </c:pt>
                <c:pt idx="1">
                  <c:v>0</c:v>
                </c:pt>
              </c:numCache>
            </c:numRef>
          </c:yVal>
          <c:smooth val="0"/>
          <c:extLst>
            <c:ext xmlns:c16="http://schemas.microsoft.com/office/drawing/2014/chart" uri="{C3380CC4-5D6E-409C-BE32-E72D297353CC}">
              <c16:uniqueId val="{00000008-8414-4708-A9D9-D854D68991D3}"/>
            </c:ext>
          </c:extLst>
        </c:ser>
        <c:ser>
          <c:idx val="7"/>
          <c:order val="7"/>
          <c:tx>
            <c:strRef>
              <c:f>'Equivalence, Parallel'!$AD$19:$AD$20</c:f>
              <c:strCache>
                <c:ptCount val="2"/>
                <c:pt idx="0">
                  <c:v>566.7965362</c:v>
                </c:pt>
                <c:pt idx="1">
                  <c:v>566.7965362</c:v>
                </c:pt>
              </c:strCache>
            </c:strRef>
          </c:tx>
          <c:spPr>
            <a:ln>
              <a:solidFill>
                <a:srgbClr val="FFFF00"/>
              </a:solidFill>
            </a:ln>
          </c:spPr>
          <c:marker>
            <c:symbol val="none"/>
          </c:marker>
          <c:xVal>
            <c:numRef>
              <c:f>'Equivalence, Parallel'!$AD$19:$AD$20</c:f>
              <c:numCache>
                <c:formatCode>General</c:formatCode>
                <c:ptCount val="2"/>
                <c:pt idx="0">
                  <c:v>566.79653624044829</c:v>
                </c:pt>
                <c:pt idx="1">
                  <c:v>566.79653624044829</c:v>
                </c:pt>
              </c:numCache>
            </c:numRef>
          </c:xVal>
          <c:yVal>
            <c:numRef>
              <c:f>'Equivalence, Parallel'!$AE$19:$AE$20</c:f>
              <c:numCache>
                <c:formatCode>General</c:formatCode>
                <c:ptCount val="2"/>
                <c:pt idx="0">
                  <c:v>0</c:v>
                </c:pt>
                <c:pt idx="1">
                  <c:v>0</c:v>
                </c:pt>
              </c:numCache>
            </c:numRef>
          </c:yVal>
          <c:smooth val="0"/>
          <c:extLst>
            <c:ext xmlns:c16="http://schemas.microsoft.com/office/drawing/2014/chart" uri="{C3380CC4-5D6E-409C-BE32-E72D297353CC}">
              <c16:uniqueId val="{00000009-8414-4708-A9D9-D854D68991D3}"/>
            </c:ext>
          </c:extLst>
        </c:ser>
        <c:ser>
          <c:idx val="8"/>
          <c:order val="8"/>
          <c:spPr>
            <a:ln>
              <a:solidFill>
                <a:srgbClr val="00B050"/>
              </a:solidFill>
            </a:ln>
          </c:spPr>
          <c:marker>
            <c:symbol val="none"/>
          </c:marker>
          <c:xVal>
            <c:numRef>
              <c:f>'Equivalence, Parallel'!$AD$24:$AD$25</c:f>
              <c:numCache>
                <c:formatCode>General</c:formatCode>
                <c:ptCount val="2"/>
                <c:pt idx="0">
                  <c:v>-166.79653624044829</c:v>
                </c:pt>
                <c:pt idx="1">
                  <c:v>-166.79653624044829</c:v>
                </c:pt>
              </c:numCache>
            </c:numRef>
          </c:xVal>
          <c:yVal>
            <c:numRef>
              <c:f>'Equivalence, Parallel'!$AE$24:$AE$25</c:f>
              <c:numCache>
                <c:formatCode>General</c:formatCode>
                <c:ptCount val="2"/>
                <c:pt idx="0">
                  <c:v>0</c:v>
                </c:pt>
                <c:pt idx="1">
                  <c:v>0</c:v>
                </c:pt>
              </c:numCache>
            </c:numRef>
          </c:yVal>
          <c:smooth val="0"/>
          <c:extLst>
            <c:ext xmlns:c16="http://schemas.microsoft.com/office/drawing/2014/chart" uri="{C3380CC4-5D6E-409C-BE32-E72D297353CC}">
              <c16:uniqueId val="{0000000A-8414-4708-A9D9-D854D68991D3}"/>
            </c:ext>
          </c:extLst>
        </c:ser>
        <c:ser>
          <c:idx val="9"/>
          <c:order val="9"/>
          <c:spPr>
            <a:ln>
              <a:solidFill>
                <a:srgbClr val="00B050"/>
              </a:solidFill>
            </a:ln>
          </c:spPr>
          <c:marker>
            <c:symbol val="none"/>
          </c:marker>
          <c:xVal>
            <c:numRef>
              <c:f>'Equivalence, Parallel'!$AD$27:$AD$28</c:f>
              <c:numCache>
                <c:formatCode>General</c:formatCode>
                <c:ptCount val="2"/>
                <c:pt idx="0">
                  <c:v>566.79653624044829</c:v>
                </c:pt>
                <c:pt idx="1">
                  <c:v>566.79653624044829</c:v>
                </c:pt>
              </c:numCache>
            </c:numRef>
          </c:xVal>
          <c:yVal>
            <c:numRef>
              <c:f>'Equivalence, Parallel'!$AE$27:$AE$28</c:f>
              <c:numCache>
                <c:formatCode>General</c:formatCode>
                <c:ptCount val="2"/>
                <c:pt idx="0">
                  <c:v>0</c:v>
                </c:pt>
                <c:pt idx="1">
                  <c:v>0</c:v>
                </c:pt>
              </c:numCache>
            </c:numRef>
          </c:yVal>
          <c:smooth val="0"/>
          <c:extLst>
            <c:ext xmlns:c16="http://schemas.microsoft.com/office/drawing/2014/chart" uri="{C3380CC4-5D6E-409C-BE32-E72D297353CC}">
              <c16:uniqueId val="{0000000B-8414-4708-A9D9-D854D68991D3}"/>
            </c:ext>
          </c:extLst>
        </c:ser>
        <c:ser>
          <c:idx val="10"/>
          <c:order val="10"/>
          <c:spPr>
            <a:ln>
              <a:solidFill>
                <a:srgbClr val="FF0000"/>
              </a:solidFill>
            </a:ln>
          </c:spPr>
          <c:marker>
            <c:symbol val="none"/>
          </c:marker>
          <c:xVal>
            <c:numRef>
              <c:f>'Equivalence, Parallel'!$Z$32:$Z$33</c:f>
              <c:numCache>
                <c:formatCode>General</c:formatCode>
                <c:ptCount val="2"/>
                <c:pt idx="0">
                  <c:v>195</c:v>
                </c:pt>
                <c:pt idx="1">
                  <c:v>195</c:v>
                </c:pt>
              </c:numCache>
            </c:numRef>
          </c:xVal>
          <c:yVal>
            <c:numRef>
              <c:f>'Equivalence, Parallel'!$AA$32:$AA$33</c:f>
              <c:numCache>
                <c:formatCode>General</c:formatCode>
                <c:ptCount val="2"/>
                <c:pt idx="0">
                  <c:v>0</c:v>
                </c:pt>
                <c:pt idx="1">
                  <c:v>7.9204462678126551E-3</c:v>
                </c:pt>
              </c:numCache>
            </c:numRef>
          </c:yVal>
          <c:smooth val="0"/>
          <c:extLst>
            <c:ext xmlns:c16="http://schemas.microsoft.com/office/drawing/2014/chart" uri="{C3380CC4-5D6E-409C-BE32-E72D297353CC}">
              <c16:uniqueId val="{0000000C-8414-4708-A9D9-D854D68991D3}"/>
            </c:ext>
          </c:extLst>
        </c:ser>
        <c:ser>
          <c:idx val="11"/>
          <c:order val="11"/>
          <c:tx>
            <c:strRef>
              <c:f>'Equivalence, Parallel'!$Z$35:$Z$36</c:f>
              <c:strCache>
                <c:ptCount val="2"/>
                <c:pt idx="0">
                  <c:v>205</c:v>
                </c:pt>
                <c:pt idx="1">
                  <c:v>205</c:v>
                </c:pt>
              </c:strCache>
            </c:strRef>
          </c:tx>
          <c:spPr>
            <a:ln>
              <a:solidFill>
                <a:srgbClr val="FF0000"/>
              </a:solidFill>
            </a:ln>
          </c:spPr>
          <c:marker>
            <c:symbol val="none"/>
          </c:marker>
          <c:xVal>
            <c:numRef>
              <c:f>'Equivalence, Parallel'!$Z$35:$Z$36</c:f>
              <c:numCache>
                <c:formatCode>General</c:formatCode>
                <c:ptCount val="2"/>
                <c:pt idx="0">
                  <c:v>205</c:v>
                </c:pt>
                <c:pt idx="1">
                  <c:v>205</c:v>
                </c:pt>
              </c:numCache>
            </c:numRef>
          </c:xVal>
          <c:yVal>
            <c:numRef>
              <c:f>'Equivalence, Parallel'!$AA$35:$AA$36</c:f>
              <c:numCache>
                <c:formatCode>General</c:formatCode>
                <c:ptCount val="2"/>
                <c:pt idx="0">
                  <c:v>0</c:v>
                </c:pt>
                <c:pt idx="1">
                  <c:v>7.9204462678126551E-3</c:v>
                </c:pt>
              </c:numCache>
            </c:numRef>
          </c:yVal>
          <c:smooth val="0"/>
          <c:extLst>
            <c:ext xmlns:c16="http://schemas.microsoft.com/office/drawing/2014/chart" uri="{C3380CC4-5D6E-409C-BE32-E72D297353CC}">
              <c16:uniqueId val="{0000000D-8414-4708-A9D9-D854D68991D3}"/>
            </c:ext>
          </c:extLst>
        </c:ser>
        <c:dLbls>
          <c:showLegendKey val="0"/>
          <c:showVal val="0"/>
          <c:showCatName val="0"/>
          <c:showSerName val="0"/>
          <c:showPercent val="0"/>
          <c:showBubbleSize val="0"/>
        </c:dLbls>
        <c:axId val="2147287672"/>
        <c:axId val="2147291128"/>
      </c:scatterChart>
      <c:valAx>
        <c:axId val="2147287672"/>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291128"/>
        <c:crosses val="autoZero"/>
        <c:crossBetween val="midCat"/>
      </c:valAx>
      <c:valAx>
        <c:axId val="214729112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287672"/>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'Equivalence, Crossover'!$V$14</c:f>
              <c:strCache>
                <c:ptCount val="1"/>
                <c:pt idx="0">
                  <c:v>Treatment A</c:v>
                </c:pt>
              </c:strCache>
            </c:strRef>
          </c:tx>
          <c:spPr>
            <a:ln w="28575">
              <a:solidFill>
                <a:srgbClr val="FFFF00"/>
              </a:solidFill>
            </a:ln>
          </c:spPr>
          <c:marker>
            <c:symbol val="none"/>
          </c:marker>
          <c:xVal>
            <c:numRef>
              <c:f>'Equivalence, Crossover'!$U$15:$U$47</c:f>
              <c:numCache>
                <c:formatCode>General</c:formatCode>
                <c:ptCount val="33"/>
                <c:pt idx="0">
                  <c:v>0</c:v>
                </c:pt>
                <c:pt idx="1">
                  <c:v>4.9090909090909092</c:v>
                </c:pt>
                <c:pt idx="2">
                  <c:v>9.8181818181818183</c:v>
                </c:pt>
                <c:pt idx="3">
                  <c:v>14.727272727272727</c:v>
                </c:pt>
                <c:pt idx="4">
                  <c:v>19.636363636363637</c:v>
                </c:pt>
                <c:pt idx="5">
                  <c:v>24.545454545454547</c:v>
                </c:pt>
                <c:pt idx="6">
                  <c:v>29.454545454545457</c:v>
                </c:pt>
                <c:pt idx="7">
                  <c:v>34.363636363636367</c:v>
                </c:pt>
                <c:pt idx="8">
                  <c:v>39.272727272727273</c:v>
                </c:pt>
                <c:pt idx="9">
                  <c:v>44.18181818181818</c:v>
                </c:pt>
                <c:pt idx="10">
                  <c:v>49.090909090909086</c:v>
                </c:pt>
                <c:pt idx="11">
                  <c:v>53.999999999999993</c:v>
                </c:pt>
                <c:pt idx="12">
                  <c:v>58.909090909090899</c:v>
                </c:pt>
                <c:pt idx="13">
                  <c:v>63.818181818181806</c:v>
                </c:pt>
                <c:pt idx="14">
                  <c:v>68.72727272727272</c:v>
                </c:pt>
                <c:pt idx="15">
                  <c:v>73.636363636363626</c:v>
                </c:pt>
                <c:pt idx="16">
                  <c:v>78.545454545454533</c:v>
                </c:pt>
                <c:pt idx="17">
                  <c:v>83.454545454545439</c:v>
                </c:pt>
                <c:pt idx="18">
                  <c:v>88.363636363636346</c:v>
                </c:pt>
                <c:pt idx="19">
                  <c:v>93.272727272727252</c:v>
                </c:pt>
                <c:pt idx="20">
                  <c:v>98.181818181818159</c:v>
                </c:pt>
                <c:pt idx="21">
                  <c:v>103.09090909090907</c:v>
                </c:pt>
                <c:pt idx="22">
                  <c:v>107.99999999999997</c:v>
                </c:pt>
                <c:pt idx="23">
                  <c:v>112.90909090909088</c:v>
                </c:pt>
                <c:pt idx="24">
                  <c:v>117.81818181818178</c:v>
                </c:pt>
                <c:pt idx="25">
                  <c:v>122.72727272727269</c:v>
                </c:pt>
                <c:pt idx="26">
                  <c:v>127.6363636363636</c:v>
                </c:pt>
                <c:pt idx="27">
                  <c:v>132.5454545454545</c:v>
                </c:pt>
                <c:pt idx="28">
                  <c:v>137.45454545454541</c:v>
                </c:pt>
                <c:pt idx="29">
                  <c:v>142.36363636363632</c:v>
                </c:pt>
                <c:pt idx="30">
                  <c:v>147.27272727272722</c:v>
                </c:pt>
                <c:pt idx="31">
                  <c:v>152.18181818181813</c:v>
                </c:pt>
                <c:pt idx="32">
                  <c:v>157.09090909090904</c:v>
                </c:pt>
              </c:numCache>
            </c:numRef>
          </c:xVal>
          <c:yVal>
            <c:numRef>
              <c:f>'Equivalence, Crossover'!$V$15:$V$47</c:f>
              <c:numCache>
                <c:formatCode>General</c:formatCode>
                <c:ptCount val="33"/>
                <c:pt idx="0">
                  <c:v>6.6915112882442679E-6</c:v>
                </c:pt>
                <c:pt idx="1">
                  <c:v>1.7331644042574684E-5</c:v>
                </c:pt>
                <c:pt idx="2">
                  <c:v>4.226588447591253E-5</c:v>
                </c:pt>
                <c:pt idx="3">
                  <c:v>9.7045369327588643E-5</c:v>
                </c:pt>
                <c:pt idx="4">
                  <c:v>2.0979461060970466E-4</c:v>
                </c:pt>
                <c:pt idx="5">
                  <c:v>4.2702027167173346E-4</c:v>
                </c:pt>
                <c:pt idx="6">
                  <c:v>8.1834665642959705E-4</c:v>
                </c:pt>
                <c:pt idx="7">
                  <c:v>1.4765929376495469E-3</c:v>
                </c:pt>
                <c:pt idx="8">
                  <c:v>2.5085277881360035E-3</c:v>
                </c:pt>
                <c:pt idx="9">
                  <c:v>4.0124690951094319E-3</c:v>
                </c:pt>
                <c:pt idx="10">
                  <c:v>6.0428127835749435E-3</c:v>
                </c:pt>
                <c:pt idx="11">
                  <c:v>8.5684296023903657E-3</c:v>
                </c:pt>
                <c:pt idx="12">
                  <c:v>1.1439261324980412E-2</c:v>
                </c:pt>
                <c:pt idx="13">
                  <c:v>1.4379023204720835E-2</c:v>
                </c:pt>
                <c:pt idx="14">
                  <c:v>1.7017487588748541E-2</c:v>
                </c:pt>
                <c:pt idx="15">
                  <c:v>1.8962524515457917E-2</c:v>
                </c:pt>
                <c:pt idx="16">
                  <c:v>1.9894431016018829E-2</c:v>
                </c:pt>
                <c:pt idx="17">
                  <c:v>1.9651764227432034E-2</c:v>
                </c:pt>
                <c:pt idx="18">
                  <c:v>1.8277055140371014E-2</c:v>
                </c:pt>
                <c:pt idx="19">
                  <c:v>1.6004626883487763E-2</c:v>
                </c:pt>
                <c:pt idx="20">
                  <c:v>1.3195308262186515E-2</c:v>
                </c:pt>
                <c:pt idx="21">
                  <c:v>1.024302379926215E-2</c:v>
                </c:pt>
                <c:pt idx="22">
                  <c:v>7.4863732817872586E-3</c:v>
                </c:pt>
                <c:pt idx="23">
                  <c:v>5.1516865249838055E-3</c:v>
                </c:pt>
                <c:pt idx="24">
                  <c:v>3.3378132506082818E-3</c:v>
                </c:pt>
                <c:pt idx="25">
                  <c:v>2.0361477785416551E-3</c:v>
                </c:pt>
                <c:pt idx="26">
                  <c:v>1.1694757209192513E-3</c:v>
                </c:pt>
                <c:pt idx="27">
                  <c:v>6.3242318049965148E-4</c:v>
                </c:pt>
                <c:pt idx="28">
                  <c:v>3.2200232289244482E-4</c:v>
                </c:pt>
                <c:pt idx="29">
                  <c:v>1.5436359491899078E-4</c:v>
                </c:pt>
                <c:pt idx="30">
                  <c:v>6.9673145586174635E-5</c:v>
                </c:pt>
                <c:pt idx="31">
                  <c:v>2.9608786430913916E-5</c:v>
                </c:pt>
                <c:pt idx="32">
                  <c:v>1.1847056269290331E-5</c:v>
                </c:pt>
              </c:numCache>
            </c:numRef>
          </c:yVal>
          <c:smooth val="0"/>
          <c:extLst>
            <c:ext xmlns:c16="http://schemas.microsoft.com/office/drawing/2014/chart" uri="{C3380CC4-5D6E-409C-BE32-E72D297353CC}">
              <c16:uniqueId val="{00000000-34A1-4754-9638-10B62AB0402B}"/>
            </c:ext>
          </c:extLst>
        </c:ser>
        <c:ser>
          <c:idx val="1"/>
          <c:order val="1"/>
          <c:tx>
            <c:strRef>
              <c:f>'Equivalence, Crossover'!$W$14</c:f>
              <c:strCache>
                <c:ptCount val="1"/>
                <c:pt idx="0">
                  <c:v>Treatment B</c:v>
                </c:pt>
              </c:strCache>
            </c:strRef>
          </c:tx>
          <c:spPr>
            <a:ln w="28575">
              <a:solidFill>
                <a:srgbClr val="00B050"/>
              </a:solidFill>
            </a:ln>
          </c:spPr>
          <c:marker>
            <c:symbol val="none"/>
          </c:marker>
          <c:xVal>
            <c:numRef>
              <c:f>'Equivalence, Crossover'!$U$15:$U$47</c:f>
              <c:numCache>
                <c:formatCode>General</c:formatCode>
                <c:ptCount val="33"/>
                <c:pt idx="0">
                  <c:v>0</c:v>
                </c:pt>
                <c:pt idx="1">
                  <c:v>4.9090909090909092</c:v>
                </c:pt>
                <c:pt idx="2">
                  <c:v>9.8181818181818183</c:v>
                </c:pt>
                <c:pt idx="3">
                  <c:v>14.727272727272727</c:v>
                </c:pt>
                <c:pt idx="4">
                  <c:v>19.636363636363637</c:v>
                </c:pt>
                <c:pt idx="5">
                  <c:v>24.545454545454547</c:v>
                </c:pt>
                <c:pt idx="6">
                  <c:v>29.454545454545457</c:v>
                </c:pt>
                <c:pt idx="7">
                  <c:v>34.363636363636367</c:v>
                </c:pt>
                <c:pt idx="8">
                  <c:v>39.272727272727273</c:v>
                </c:pt>
                <c:pt idx="9">
                  <c:v>44.18181818181818</c:v>
                </c:pt>
                <c:pt idx="10">
                  <c:v>49.090909090909086</c:v>
                </c:pt>
                <c:pt idx="11">
                  <c:v>53.999999999999993</c:v>
                </c:pt>
                <c:pt idx="12">
                  <c:v>58.909090909090899</c:v>
                </c:pt>
                <c:pt idx="13">
                  <c:v>63.818181818181806</c:v>
                </c:pt>
                <c:pt idx="14">
                  <c:v>68.72727272727272</c:v>
                </c:pt>
                <c:pt idx="15">
                  <c:v>73.636363636363626</c:v>
                </c:pt>
                <c:pt idx="16">
                  <c:v>78.545454545454533</c:v>
                </c:pt>
                <c:pt idx="17">
                  <c:v>83.454545454545439</c:v>
                </c:pt>
                <c:pt idx="18">
                  <c:v>88.363636363636346</c:v>
                </c:pt>
                <c:pt idx="19">
                  <c:v>93.272727272727252</c:v>
                </c:pt>
                <c:pt idx="20">
                  <c:v>98.181818181818159</c:v>
                </c:pt>
                <c:pt idx="21">
                  <c:v>103.09090909090907</c:v>
                </c:pt>
                <c:pt idx="22">
                  <c:v>107.99999999999997</c:v>
                </c:pt>
                <c:pt idx="23">
                  <c:v>112.90909090909088</c:v>
                </c:pt>
                <c:pt idx="24">
                  <c:v>117.81818181818178</c:v>
                </c:pt>
                <c:pt idx="25">
                  <c:v>122.72727272727269</c:v>
                </c:pt>
                <c:pt idx="26">
                  <c:v>127.6363636363636</c:v>
                </c:pt>
                <c:pt idx="27">
                  <c:v>132.5454545454545</c:v>
                </c:pt>
                <c:pt idx="28">
                  <c:v>137.45454545454541</c:v>
                </c:pt>
                <c:pt idx="29">
                  <c:v>142.36363636363632</c:v>
                </c:pt>
                <c:pt idx="30">
                  <c:v>147.27272727272722</c:v>
                </c:pt>
                <c:pt idx="31">
                  <c:v>152.18181818181813</c:v>
                </c:pt>
                <c:pt idx="32">
                  <c:v>157.09090909090904</c:v>
                </c:pt>
              </c:numCache>
            </c:numRef>
          </c:xVal>
          <c:yVal>
            <c:numRef>
              <c:f>'Equivalence, Crossover'!$W$15:$W$47</c:f>
              <c:numCache>
                <c:formatCode>General</c:formatCode>
                <c:ptCount val="33"/>
                <c:pt idx="0">
                  <c:v>4.4630828588566459E-6</c:v>
                </c:pt>
                <c:pt idx="1">
                  <c:v>1.1847056269290205E-5</c:v>
                </c:pt>
                <c:pt idx="2">
                  <c:v>2.9608786430913624E-5</c:v>
                </c:pt>
                <c:pt idx="3">
                  <c:v>6.9673145586173971E-5</c:v>
                </c:pt>
                <c:pt idx="4">
                  <c:v>1.5436359491898969E-4</c:v>
                </c:pt>
                <c:pt idx="5">
                  <c:v>3.2200232289244282E-4</c:v>
                </c:pt>
                <c:pt idx="6">
                  <c:v>6.3242318049964768E-4</c:v>
                </c:pt>
                <c:pt idx="7">
                  <c:v>1.1694757209192461E-3</c:v>
                </c:pt>
                <c:pt idx="8">
                  <c:v>2.0361477785416481E-3</c:v>
                </c:pt>
                <c:pt idx="9">
                  <c:v>3.3378132506082709E-3</c:v>
                </c:pt>
                <c:pt idx="10">
                  <c:v>5.1516865249837916E-3</c:v>
                </c:pt>
                <c:pt idx="11">
                  <c:v>7.4863732817872387E-3</c:v>
                </c:pt>
                <c:pt idx="12">
                  <c:v>1.0243023799262131E-2</c:v>
                </c:pt>
                <c:pt idx="13">
                  <c:v>1.3195308262186492E-2</c:v>
                </c:pt>
                <c:pt idx="14">
                  <c:v>1.6004626883487746E-2</c:v>
                </c:pt>
                <c:pt idx="15">
                  <c:v>1.8277055140371003E-2</c:v>
                </c:pt>
                <c:pt idx="16">
                  <c:v>1.9651764227432034E-2</c:v>
                </c:pt>
                <c:pt idx="17">
                  <c:v>1.9894431016018833E-2</c:v>
                </c:pt>
                <c:pt idx="18">
                  <c:v>1.8962524515457924E-2</c:v>
                </c:pt>
                <c:pt idx="19">
                  <c:v>1.7017487588748555E-2</c:v>
                </c:pt>
                <c:pt idx="20">
                  <c:v>1.4379023204720856E-2</c:v>
                </c:pt>
                <c:pt idx="21">
                  <c:v>1.1439261324980434E-2</c:v>
                </c:pt>
                <c:pt idx="22">
                  <c:v>8.5684296023903848E-3</c:v>
                </c:pt>
                <c:pt idx="23">
                  <c:v>6.0428127835749608E-3</c:v>
                </c:pt>
                <c:pt idx="24">
                  <c:v>4.0124690951094449E-3</c:v>
                </c:pt>
                <c:pt idx="25">
                  <c:v>2.5085277881360122E-3</c:v>
                </c:pt>
                <c:pt idx="26">
                  <c:v>1.4765929376495534E-3</c:v>
                </c:pt>
                <c:pt idx="27">
                  <c:v>8.1834665642960172E-4</c:v>
                </c:pt>
                <c:pt idx="28">
                  <c:v>4.2702027167173552E-4</c:v>
                </c:pt>
                <c:pt idx="29">
                  <c:v>2.0979461060970596E-4</c:v>
                </c:pt>
                <c:pt idx="30">
                  <c:v>9.7045369327589687E-5</c:v>
                </c:pt>
                <c:pt idx="31">
                  <c:v>4.2265884475912909E-5</c:v>
                </c:pt>
                <c:pt idx="32">
                  <c:v>1.733164404257488E-5</c:v>
                </c:pt>
              </c:numCache>
            </c:numRef>
          </c:yVal>
          <c:smooth val="0"/>
          <c:extLst>
            <c:ext xmlns:c16="http://schemas.microsoft.com/office/drawing/2014/chart" uri="{C3380CC4-5D6E-409C-BE32-E72D297353CC}">
              <c16:uniqueId val="{00000001-34A1-4754-9638-10B62AB0402B}"/>
            </c:ext>
          </c:extLst>
        </c:ser>
        <c:ser>
          <c:idx val="2"/>
          <c:order val="2"/>
          <c:spPr>
            <a:ln>
              <a:solidFill>
                <a:srgbClr val="FFFF00"/>
              </a:solidFill>
            </a:ln>
          </c:spPr>
          <c:marker>
            <c:symbol val="none"/>
          </c:marker>
          <c:xVal>
            <c:numRef>
              <c:f>'Equivalence, Crossover'!$Z$16:$Z$17</c:f>
              <c:numCache>
                <c:formatCode>General</c:formatCode>
                <c:ptCount val="2"/>
                <c:pt idx="0">
                  <c:v>60</c:v>
                </c:pt>
                <c:pt idx="1">
                  <c:v>60</c:v>
                </c:pt>
              </c:numCache>
            </c:numRef>
          </c:xVal>
          <c:yVal>
            <c:numRef>
              <c:f>'Equivalence, Crossover'!$AA$16:$AA$17</c:f>
              <c:numCache>
                <c:formatCode>General</c:formatCode>
                <c:ptCount val="2"/>
                <c:pt idx="0">
                  <c:v>0</c:v>
                </c:pt>
                <c:pt idx="1">
                  <c:v>1.9894431016018829E-2</c:v>
                </c:pt>
              </c:numCache>
            </c:numRef>
          </c:yVal>
          <c:smooth val="0"/>
          <c:extLst>
            <c:ext xmlns:c16="http://schemas.microsoft.com/office/drawing/2014/chart" uri="{C3380CC4-5D6E-409C-BE32-E72D297353CC}">
              <c16:uniqueId val="{00000002-34A1-4754-9638-10B62AB0402B}"/>
            </c:ext>
          </c:extLst>
        </c:ser>
        <c:ser>
          <c:idx val="3"/>
          <c:order val="3"/>
          <c:spPr>
            <a:ln>
              <a:solidFill>
                <a:srgbClr val="FFFF00"/>
              </a:solidFill>
            </a:ln>
          </c:spPr>
          <c:marker>
            <c:symbol val="none"/>
          </c:marker>
          <c:xVal>
            <c:numRef>
              <c:f>'Equivalence, Crossover'!$Z$19:$Z$20</c:f>
              <c:numCache>
                <c:formatCode>General</c:formatCode>
                <c:ptCount val="2"/>
                <c:pt idx="0">
                  <c:v>100</c:v>
                </c:pt>
                <c:pt idx="1">
                  <c:v>100</c:v>
                </c:pt>
              </c:numCache>
            </c:numRef>
          </c:xVal>
          <c:yVal>
            <c:numRef>
              <c:f>'Equivalence, Crossover'!$AA$19:$AA$20</c:f>
              <c:numCache>
                <c:formatCode>General</c:formatCode>
                <c:ptCount val="2"/>
                <c:pt idx="0">
                  <c:v>0</c:v>
                </c:pt>
                <c:pt idx="1">
                  <c:v>1.9894431016018829E-2</c:v>
                </c:pt>
              </c:numCache>
            </c:numRef>
          </c:yVal>
          <c:smooth val="0"/>
          <c:extLst>
            <c:ext xmlns:c16="http://schemas.microsoft.com/office/drawing/2014/chart" uri="{C3380CC4-5D6E-409C-BE32-E72D297353CC}">
              <c16:uniqueId val="{00000003-34A1-4754-9638-10B62AB0402B}"/>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34A1-4754-9638-10B62AB0402B}"/>
              </c:ext>
            </c:extLst>
          </c:dPt>
          <c:xVal>
            <c:numRef>
              <c:f>'Equivalence, Crossover'!$Z$24:$Z$25</c:f>
              <c:numCache>
                <c:formatCode>General</c:formatCode>
                <c:ptCount val="2"/>
                <c:pt idx="0">
                  <c:v>62</c:v>
                </c:pt>
                <c:pt idx="1">
                  <c:v>62</c:v>
                </c:pt>
              </c:numCache>
            </c:numRef>
          </c:xVal>
          <c:yVal>
            <c:numRef>
              <c:f>'Equivalence, Crossover'!$AA$24:$AA$25</c:f>
              <c:numCache>
                <c:formatCode>General</c:formatCode>
                <c:ptCount val="2"/>
                <c:pt idx="0">
                  <c:v>0</c:v>
                </c:pt>
                <c:pt idx="1">
                  <c:v>1.9894431016018833E-2</c:v>
                </c:pt>
              </c:numCache>
            </c:numRef>
          </c:yVal>
          <c:smooth val="0"/>
          <c:extLst>
            <c:ext xmlns:c16="http://schemas.microsoft.com/office/drawing/2014/chart" uri="{C3380CC4-5D6E-409C-BE32-E72D297353CC}">
              <c16:uniqueId val="{00000006-34A1-4754-9638-10B62AB0402B}"/>
            </c:ext>
          </c:extLst>
        </c:ser>
        <c:ser>
          <c:idx val="5"/>
          <c:order val="5"/>
          <c:spPr>
            <a:ln>
              <a:solidFill>
                <a:srgbClr val="00B050"/>
              </a:solidFill>
            </a:ln>
          </c:spPr>
          <c:marker>
            <c:symbol val="none"/>
          </c:marker>
          <c:xVal>
            <c:numRef>
              <c:f>'Equivalence, Crossover'!$Z$27:$Z$28</c:f>
              <c:numCache>
                <c:formatCode>General</c:formatCode>
                <c:ptCount val="2"/>
                <c:pt idx="0">
                  <c:v>102</c:v>
                </c:pt>
                <c:pt idx="1">
                  <c:v>102</c:v>
                </c:pt>
              </c:numCache>
            </c:numRef>
          </c:xVal>
          <c:yVal>
            <c:numRef>
              <c:f>'Equivalence, Crossover'!$AA$27:$AA$28</c:f>
              <c:numCache>
                <c:formatCode>General</c:formatCode>
                <c:ptCount val="2"/>
                <c:pt idx="0">
                  <c:v>0</c:v>
                </c:pt>
                <c:pt idx="1">
                  <c:v>1.9894431016018833E-2</c:v>
                </c:pt>
              </c:numCache>
            </c:numRef>
          </c:yVal>
          <c:smooth val="0"/>
          <c:extLst>
            <c:ext xmlns:c16="http://schemas.microsoft.com/office/drawing/2014/chart" uri="{C3380CC4-5D6E-409C-BE32-E72D297353CC}">
              <c16:uniqueId val="{00000007-34A1-4754-9638-10B62AB0402B}"/>
            </c:ext>
          </c:extLst>
        </c:ser>
        <c:ser>
          <c:idx val="6"/>
          <c:order val="6"/>
          <c:spPr>
            <a:ln>
              <a:solidFill>
                <a:srgbClr val="FFFF00"/>
              </a:solidFill>
            </a:ln>
          </c:spPr>
          <c:marker>
            <c:symbol val="none"/>
          </c:marker>
          <c:xVal>
            <c:numRef>
              <c:f>'Equivalence, Crossover'!$AD$16:$AD$17</c:f>
              <c:numCache>
                <c:formatCode>General</c:formatCode>
                <c:ptCount val="2"/>
                <c:pt idx="0">
                  <c:v>-66.718614496179299</c:v>
                </c:pt>
                <c:pt idx="1">
                  <c:v>-66.718614496179299</c:v>
                </c:pt>
              </c:numCache>
            </c:numRef>
          </c:xVal>
          <c:yVal>
            <c:numRef>
              <c:f>'Equivalence, Crossover'!$AE$16:$AE$17</c:f>
              <c:numCache>
                <c:formatCode>General</c:formatCode>
                <c:ptCount val="2"/>
                <c:pt idx="0">
                  <c:v>0</c:v>
                </c:pt>
                <c:pt idx="1">
                  <c:v>0</c:v>
                </c:pt>
              </c:numCache>
            </c:numRef>
          </c:yVal>
          <c:smooth val="0"/>
          <c:extLst>
            <c:ext xmlns:c16="http://schemas.microsoft.com/office/drawing/2014/chart" uri="{C3380CC4-5D6E-409C-BE32-E72D297353CC}">
              <c16:uniqueId val="{00000008-34A1-4754-9638-10B62AB0402B}"/>
            </c:ext>
          </c:extLst>
        </c:ser>
        <c:ser>
          <c:idx val="7"/>
          <c:order val="7"/>
          <c:spPr>
            <a:ln>
              <a:solidFill>
                <a:srgbClr val="FFFF00"/>
              </a:solidFill>
            </a:ln>
          </c:spPr>
          <c:marker>
            <c:symbol val="none"/>
          </c:marker>
          <c:xVal>
            <c:numRef>
              <c:f>'Equivalence, Crossover'!$AD$19:$AD$20</c:f>
              <c:numCache>
                <c:formatCode>General</c:formatCode>
                <c:ptCount val="2"/>
                <c:pt idx="0">
                  <c:v>226.7186144961793</c:v>
                </c:pt>
                <c:pt idx="1">
                  <c:v>226.7186144961793</c:v>
                </c:pt>
              </c:numCache>
            </c:numRef>
          </c:xVal>
          <c:yVal>
            <c:numRef>
              <c:f>'Equivalence, Crossover'!$AE$19:$AE$20</c:f>
              <c:numCache>
                <c:formatCode>General</c:formatCode>
                <c:ptCount val="2"/>
                <c:pt idx="0">
                  <c:v>0</c:v>
                </c:pt>
                <c:pt idx="1">
                  <c:v>0</c:v>
                </c:pt>
              </c:numCache>
            </c:numRef>
          </c:yVal>
          <c:smooth val="0"/>
          <c:extLst>
            <c:ext xmlns:c16="http://schemas.microsoft.com/office/drawing/2014/chart" uri="{C3380CC4-5D6E-409C-BE32-E72D297353CC}">
              <c16:uniqueId val="{00000009-34A1-4754-9638-10B62AB0402B}"/>
            </c:ext>
          </c:extLst>
        </c:ser>
        <c:ser>
          <c:idx val="8"/>
          <c:order val="8"/>
          <c:spPr>
            <a:ln>
              <a:solidFill>
                <a:srgbClr val="00B050"/>
              </a:solidFill>
            </a:ln>
          </c:spPr>
          <c:marker>
            <c:symbol val="none"/>
          </c:marker>
          <c:xVal>
            <c:numRef>
              <c:f>'Equivalence, Crossover'!$AD$24:$AD$25</c:f>
              <c:numCache>
                <c:formatCode>General</c:formatCode>
                <c:ptCount val="2"/>
                <c:pt idx="0">
                  <c:v>-64.718614496179299</c:v>
                </c:pt>
                <c:pt idx="1">
                  <c:v>-64.718614496179299</c:v>
                </c:pt>
              </c:numCache>
            </c:numRef>
          </c:xVal>
          <c:yVal>
            <c:numRef>
              <c:f>'Equivalence, Crossover'!$AE$24:$AE$25</c:f>
              <c:numCache>
                <c:formatCode>General</c:formatCode>
                <c:ptCount val="2"/>
                <c:pt idx="0">
                  <c:v>0</c:v>
                </c:pt>
                <c:pt idx="1">
                  <c:v>0</c:v>
                </c:pt>
              </c:numCache>
            </c:numRef>
          </c:yVal>
          <c:smooth val="0"/>
          <c:extLst>
            <c:ext xmlns:c16="http://schemas.microsoft.com/office/drawing/2014/chart" uri="{C3380CC4-5D6E-409C-BE32-E72D297353CC}">
              <c16:uniqueId val="{0000000A-34A1-4754-9638-10B62AB0402B}"/>
            </c:ext>
          </c:extLst>
        </c:ser>
        <c:ser>
          <c:idx val="9"/>
          <c:order val="9"/>
          <c:spPr>
            <a:ln>
              <a:solidFill>
                <a:srgbClr val="00B050"/>
              </a:solidFill>
            </a:ln>
          </c:spPr>
          <c:marker>
            <c:symbol val="none"/>
          </c:marker>
          <c:xVal>
            <c:numRef>
              <c:f>'Equivalence, Crossover'!$AD$27:$AD$28</c:f>
              <c:numCache>
                <c:formatCode>General</c:formatCode>
                <c:ptCount val="2"/>
                <c:pt idx="0">
                  <c:v>228.7186144961793</c:v>
                </c:pt>
                <c:pt idx="1">
                  <c:v>228.7186144961793</c:v>
                </c:pt>
              </c:numCache>
            </c:numRef>
          </c:xVal>
          <c:yVal>
            <c:numRef>
              <c:f>'Equivalence, Crossover'!$AE$27:$AE$28</c:f>
              <c:numCache>
                <c:formatCode>General</c:formatCode>
                <c:ptCount val="2"/>
                <c:pt idx="0">
                  <c:v>0</c:v>
                </c:pt>
                <c:pt idx="1">
                  <c:v>0</c:v>
                </c:pt>
              </c:numCache>
            </c:numRef>
          </c:yVal>
          <c:smooth val="0"/>
          <c:extLst>
            <c:ext xmlns:c16="http://schemas.microsoft.com/office/drawing/2014/chart" uri="{C3380CC4-5D6E-409C-BE32-E72D297353CC}">
              <c16:uniqueId val="{0000000B-34A1-4754-9638-10B62AB0402B}"/>
            </c:ext>
          </c:extLst>
        </c:ser>
        <c:ser>
          <c:idx val="10"/>
          <c:order val="10"/>
          <c:spPr>
            <a:ln>
              <a:solidFill>
                <a:srgbClr val="FF0000"/>
              </a:solidFill>
            </a:ln>
          </c:spPr>
          <c:marker>
            <c:symbol val="none"/>
          </c:marker>
          <c:xVal>
            <c:numRef>
              <c:f>'Equivalence, Crossover'!$Z$32:$Z$33</c:f>
              <c:numCache>
                <c:formatCode>General</c:formatCode>
                <c:ptCount val="2"/>
                <c:pt idx="0">
                  <c:v>76</c:v>
                </c:pt>
                <c:pt idx="1">
                  <c:v>76</c:v>
                </c:pt>
              </c:numCache>
            </c:numRef>
          </c:xVal>
          <c:yVal>
            <c:numRef>
              <c:f>'Equivalence, Crossover'!$AA$32:$AA$33</c:f>
              <c:numCache>
                <c:formatCode>General</c:formatCode>
                <c:ptCount val="2"/>
                <c:pt idx="0">
                  <c:v>0</c:v>
                </c:pt>
                <c:pt idx="1">
                  <c:v>1.9894431016018833E-2</c:v>
                </c:pt>
              </c:numCache>
            </c:numRef>
          </c:yVal>
          <c:smooth val="0"/>
          <c:extLst>
            <c:ext xmlns:c16="http://schemas.microsoft.com/office/drawing/2014/chart" uri="{C3380CC4-5D6E-409C-BE32-E72D297353CC}">
              <c16:uniqueId val="{0000000C-34A1-4754-9638-10B62AB0402B}"/>
            </c:ext>
          </c:extLst>
        </c:ser>
        <c:ser>
          <c:idx val="11"/>
          <c:order val="11"/>
          <c:spPr>
            <a:ln>
              <a:solidFill>
                <a:srgbClr val="FF0000"/>
              </a:solidFill>
            </a:ln>
          </c:spPr>
          <c:marker>
            <c:symbol val="none"/>
          </c:marker>
          <c:xVal>
            <c:numRef>
              <c:f>'Equivalence, Crossover'!$Z$35:$Z$36</c:f>
              <c:numCache>
                <c:formatCode>General</c:formatCode>
                <c:ptCount val="2"/>
                <c:pt idx="0">
                  <c:v>86</c:v>
                </c:pt>
                <c:pt idx="1">
                  <c:v>86</c:v>
                </c:pt>
              </c:numCache>
            </c:numRef>
          </c:xVal>
          <c:yVal>
            <c:numRef>
              <c:f>'Equivalence, Crossover'!$AA$35:$AA$36</c:f>
              <c:numCache>
                <c:formatCode>General</c:formatCode>
                <c:ptCount val="2"/>
                <c:pt idx="0">
                  <c:v>0</c:v>
                </c:pt>
                <c:pt idx="1">
                  <c:v>1.9894431016018833E-2</c:v>
                </c:pt>
              </c:numCache>
            </c:numRef>
          </c:yVal>
          <c:smooth val="0"/>
          <c:extLst>
            <c:ext xmlns:c16="http://schemas.microsoft.com/office/drawing/2014/chart" uri="{C3380CC4-5D6E-409C-BE32-E72D297353CC}">
              <c16:uniqueId val="{0000000D-34A1-4754-9638-10B62AB0402B}"/>
            </c:ext>
          </c:extLst>
        </c:ser>
        <c:dLbls>
          <c:showLegendKey val="0"/>
          <c:showVal val="0"/>
          <c:showCatName val="0"/>
          <c:showSerName val="0"/>
          <c:showPercent val="0"/>
          <c:showBubbleSize val="0"/>
        </c:dLbls>
        <c:axId val="2147403496"/>
        <c:axId val="2147406888"/>
      </c:scatterChart>
      <c:valAx>
        <c:axId val="2147403496"/>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406888"/>
        <c:crosses val="autoZero"/>
        <c:crossBetween val="midCat"/>
      </c:valAx>
      <c:valAx>
        <c:axId val="214740688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4034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'Non-inferiority, Parallel'!$V$14</c:f>
              <c:strCache>
                <c:ptCount val="1"/>
                <c:pt idx="0">
                  <c:v>Treatment A</c:v>
                </c:pt>
              </c:strCache>
            </c:strRef>
          </c:tx>
          <c:spPr>
            <a:ln w="28575">
              <a:solidFill>
                <a:srgbClr val="FFFF00"/>
              </a:solidFill>
            </a:ln>
          </c:spPr>
          <c:marker>
            <c:symbol val="none"/>
          </c:marker>
          <c:xVal>
            <c:numRef>
              <c:f>'Non-inferiority, Parallel'!$U$15:$U$47</c:f>
              <c:numCache>
                <c:formatCode>General</c:formatCode>
                <c:ptCount val="33"/>
                <c:pt idx="0">
                  <c:v>0</c:v>
                </c:pt>
                <c:pt idx="1">
                  <c:v>9.6363636363636367</c:v>
                </c:pt>
                <c:pt idx="2">
                  <c:v>19.272727272727273</c:v>
                </c:pt>
                <c:pt idx="3">
                  <c:v>28.90909090909091</c:v>
                </c:pt>
                <c:pt idx="4">
                  <c:v>38.545454545454547</c:v>
                </c:pt>
                <c:pt idx="5">
                  <c:v>48.181818181818187</c:v>
                </c:pt>
                <c:pt idx="6">
                  <c:v>57.818181818181827</c:v>
                </c:pt>
                <c:pt idx="7">
                  <c:v>67.454545454545467</c:v>
                </c:pt>
                <c:pt idx="8">
                  <c:v>77.090909090909108</c:v>
                </c:pt>
                <c:pt idx="9">
                  <c:v>86.727272727272748</c:v>
                </c:pt>
                <c:pt idx="10">
                  <c:v>96.363636363636388</c:v>
                </c:pt>
                <c:pt idx="11">
                  <c:v>106.00000000000003</c:v>
                </c:pt>
                <c:pt idx="12">
                  <c:v>115.63636363636367</c:v>
                </c:pt>
                <c:pt idx="13">
                  <c:v>125.27272727272731</c:v>
                </c:pt>
                <c:pt idx="14">
                  <c:v>134.90909090909093</c:v>
                </c:pt>
                <c:pt idx="15">
                  <c:v>144.54545454545456</c:v>
                </c:pt>
                <c:pt idx="16">
                  <c:v>154.18181818181819</c:v>
                </c:pt>
                <c:pt idx="17">
                  <c:v>163.81818181818181</c:v>
                </c:pt>
                <c:pt idx="18">
                  <c:v>173.45454545454544</c:v>
                </c:pt>
                <c:pt idx="19">
                  <c:v>183.09090909090907</c:v>
                </c:pt>
                <c:pt idx="20">
                  <c:v>192.72727272727269</c:v>
                </c:pt>
                <c:pt idx="21">
                  <c:v>202.36363636363632</c:v>
                </c:pt>
                <c:pt idx="22">
                  <c:v>211.99999999999994</c:v>
                </c:pt>
                <c:pt idx="23">
                  <c:v>221.63636363636357</c:v>
                </c:pt>
                <c:pt idx="24">
                  <c:v>231.2727272727272</c:v>
                </c:pt>
                <c:pt idx="25">
                  <c:v>240.90909090909082</c:v>
                </c:pt>
                <c:pt idx="26">
                  <c:v>250.54545454545445</c:v>
                </c:pt>
                <c:pt idx="27">
                  <c:v>260.18181818181807</c:v>
                </c:pt>
                <c:pt idx="28">
                  <c:v>269.8181818181817</c:v>
                </c:pt>
                <c:pt idx="29">
                  <c:v>279.45454545454533</c:v>
                </c:pt>
                <c:pt idx="30">
                  <c:v>289.09090909090895</c:v>
                </c:pt>
                <c:pt idx="31">
                  <c:v>298.72727272727258</c:v>
                </c:pt>
                <c:pt idx="32">
                  <c:v>308.3636363636362</c:v>
                </c:pt>
              </c:numCache>
            </c:numRef>
          </c:xVal>
          <c:yVal>
            <c:numRef>
              <c:f>'Non-inferiority, Parallel'!$V$15:$V$47</c:f>
              <c:numCache>
                <c:formatCode>General</c:formatCode>
                <c:ptCount val="33"/>
                <c:pt idx="0">
                  <c:v>3.3457556441221339E-6</c:v>
                </c:pt>
                <c:pt idx="1">
                  <c:v>8.5190969142286929E-6</c:v>
                </c:pt>
                <c:pt idx="2">
                  <c:v>2.0468577754506402E-5</c:v>
                </c:pt>
                <c:pt idx="3">
                  <c:v>4.6406257320390733E-5</c:v>
                </c:pt>
                <c:pt idx="4">
                  <c:v>9.9279638982201362E-5</c:v>
                </c:pt>
                <c:pt idx="5">
                  <c:v>2.0041886726227857E-4</c:v>
                </c:pt>
                <c:pt idx="6">
                  <c:v>3.8177878002529109E-4</c:v>
                </c:pt>
                <c:pt idx="7">
                  <c:v>6.8624585935270525E-4</c:v>
                </c:pt>
                <c:pt idx="8">
                  <c:v>1.1639717952255752E-3</c:v>
                </c:pt>
                <c:pt idx="9">
                  <c:v>1.8629446220754387E-3</c:v>
                </c:pt>
                <c:pt idx="10">
                  <c:v>2.8135342236326626E-3</c:v>
                </c:pt>
                <c:pt idx="11">
                  <c:v>4.0095831835479942E-3</c:v>
                </c:pt>
                <c:pt idx="12">
                  <c:v>5.3918899813496695E-3</c:v>
                </c:pt>
                <c:pt idx="13">
                  <c:v>6.8419135888044902E-3</c:v>
                </c:pt>
                <c:pt idx="14">
                  <c:v>8.1923578849734564E-3</c:v>
                </c:pt>
                <c:pt idx="15">
                  <c:v>9.2562487307598553E-3</c:v>
                </c:pt>
                <c:pt idx="16">
                  <c:v>9.8686076960690251E-3</c:v>
                </c:pt>
                <c:pt idx="17">
                  <c:v>9.928222971854481E-3</c:v>
                </c:pt>
                <c:pt idx="18">
                  <c:v>9.4250123504863344E-3</c:v>
                </c:pt>
                <c:pt idx="19">
                  <c:v>8.442811682249288E-3</c:v>
                </c:pt>
                <c:pt idx="20">
                  <c:v>7.1365291724601312E-3</c:v>
                </c:pt>
                <c:pt idx="21">
                  <c:v>5.692221050701155E-3</c:v>
                </c:pt>
                <c:pt idx="22">
                  <c:v>4.2842148011951924E-3</c:v>
                </c:pt>
                <c:pt idx="23">
                  <c:v>3.0426744393168489E-3</c:v>
                </c:pt>
                <c:pt idx="24">
                  <c:v>2.0390811202563391E-3</c:v>
                </c:pt>
                <c:pt idx="25">
                  <c:v>1.2894612322899865E-3</c:v>
                </c:pt>
                <c:pt idx="26">
                  <c:v>7.6944369311148962E-4</c:v>
                </c:pt>
                <c:pt idx="27">
                  <c:v>4.3325159224338357E-4</c:v>
                </c:pt>
                <c:pt idx="28">
                  <c:v>2.3019625784842962E-4</c:v>
                </c:pt>
                <c:pt idx="29">
                  <c:v>1.154120405725367E-4</c:v>
                </c:pt>
                <c:pt idx="30">
                  <c:v>5.4600767670238723E-5</c:v>
                </c:pt>
                <c:pt idx="31">
                  <c:v>2.437480480037758E-5</c:v>
                </c:pt>
                <c:pt idx="32">
                  <c:v>1.0267821561026163E-5</c:v>
                </c:pt>
              </c:numCache>
            </c:numRef>
          </c:yVal>
          <c:smooth val="0"/>
          <c:extLst>
            <c:ext xmlns:c16="http://schemas.microsoft.com/office/drawing/2014/chart" uri="{C3380CC4-5D6E-409C-BE32-E72D297353CC}">
              <c16:uniqueId val="{00000000-6272-4FF0-8F86-F6199285B9C3}"/>
            </c:ext>
          </c:extLst>
        </c:ser>
        <c:ser>
          <c:idx val="1"/>
          <c:order val="1"/>
          <c:tx>
            <c:strRef>
              <c:f>'Non-inferiority, Parallel'!$W$14</c:f>
              <c:strCache>
                <c:ptCount val="1"/>
                <c:pt idx="0">
                  <c:v>Treatment B</c:v>
                </c:pt>
              </c:strCache>
            </c:strRef>
          </c:tx>
          <c:spPr>
            <a:ln w="28575">
              <a:solidFill>
                <a:srgbClr val="00B050"/>
              </a:solidFill>
            </a:ln>
          </c:spPr>
          <c:marker>
            <c:symbol val="none"/>
          </c:marker>
          <c:xVal>
            <c:numRef>
              <c:f>'Non-inferiority, Parallel'!$U$15:$U$47</c:f>
              <c:numCache>
                <c:formatCode>General</c:formatCode>
                <c:ptCount val="33"/>
                <c:pt idx="0">
                  <c:v>0</c:v>
                </c:pt>
                <c:pt idx="1">
                  <c:v>9.6363636363636367</c:v>
                </c:pt>
                <c:pt idx="2">
                  <c:v>19.272727272727273</c:v>
                </c:pt>
                <c:pt idx="3">
                  <c:v>28.90909090909091</c:v>
                </c:pt>
                <c:pt idx="4">
                  <c:v>38.545454545454547</c:v>
                </c:pt>
                <c:pt idx="5">
                  <c:v>48.181818181818187</c:v>
                </c:pt>
                <c:pt idx="6">
                  <c:v>57.818181818181827</c:v>
                </c:pt>
                <c:pt idx="7">
                  <c:v>67.454545454545467</c:v>
                </c:pt>
                <c:pt idx="8">
                  <c:v>77.090909090909108</c:v>
                </c:pt>
                <c:pt idx="9">
                  <c:v>86.727272727272748</c:v>
                </c:pt>
                <c:pt idx="10">
                  <c:v>96.363636363636388</c:v>
                </c:pt>
                <c:pt idx="11">
                  <c:v>106.00000000000003</c:v>
                </c:pt>
                <c:pt idx="12">
                  <c:v>115.63636363636367</c:v>
                </c:pt>
                <c:pt idx="13">
                  <c:v>125.27272727272731</c:v>
                </c:pt>
                <c:pt idx="14">
                  <c:v>134.90909090909093</c:v>
                </c:pt>
                <c:pt idx="15">
                  <c:v>144.54545454545456</c:v>
                </c:pt>
                <c:pt idx="16">
                  <c:v>154.18181818181819</c:v>
                </c:pt>
                <c:pt idx="17">
                  <c:v>163.81818181818181</c:v>
                </c:pt>
                <c:pt idx="18">
                  <c:v>173.45454545454544</c:v>
                </c:pt>
                <c:pt idx="19">
                  <c:v>183.09090909090907</c:v>
                </c:pt>
                <c:pt idx="20">
                  <c:v>192.72727272727269</c:v>
                </c:pt>
                <c:pt idx="21">
                  <c:v>202.36363636363632</c:v>
                </c:pt>
                <c:pt idx="22">
                  <c:v>211.99999999999994</c:v>
                </c:pt>
                <c:pt idx="23">
                  <c:v>221.63636363636357</c:v>
                </c:pt>
                <c:pt idx="24">
                  <c:v>231.2727272727272</c:v>
                </c:pt>
                <c:pt idx="25">
                  <c:v>240.90909090909082</c:v>
                </c:pt>
                <c:pt idx="26">
                  <c:v>250.54545454545445</c:v>
                </c:pt>
                <c:pt idx="27">
                  <c:v>260.18181818181807</c:v>
                </c:pt>
                <c:pt idx="28">
                  <c:v>269.8181818181817</c:v>
                </c:pt>
                <c:pt idx="29">
                  <c:v>279.45454545454533</c:v>
                </c:pt>
                <c:pt idx="30">
                  <c:v>289.09090909090895</c:v>
                </c:pt>
                <c:pt idx="31">
                  <c:v>298.72727272727258</c:v>
                </c:pt>
                <c:pt idx="32">
                  <c:v>308.3636363636362</c:v>
                </c:pt>
              </c:numCache>
            </c:numRef>
          </c:xVal>
          <c:yVal>
            <c:numRef>
              <c:f>'Non-inferiority, Parallel'!$W$15:$W$47</c:f>
              <c:numCache>
                <c:formatCode>General</c:formatCode>
                <c:ptCount val="33"/>
                <c:pt idx="0">
                  <c:v>4.0814102191560501E-6</c:v>
                </c:pt>
                <c:pt idx="1">
                  <c:v>1.0267821561026E-5</c:v>
                </c:pt>
                <c:pt idx="2">
                  <c:v>2.4374804800377278E-5</c:v>
                </c:pt>
                <c:pt idx="3">
                  <c:v>5.4600767670238093E-5</c:v>
                </c:pt>
                <c:pt idx="4">
                  <c:v>1.1541204057253558E-4</c:v>
                </c:pt>
                <c:pt idx="5">
                  <c:v>2.3019625784842797E-4</c:v>
                </c:pt>
                <c:pt idx="6">
                  <c:v>4.3325159224338075E-4</c:v>
                </c:pt>
                <c:pt idx="7">
                  <c:v>7.6944369311148593E-4</c:v>
                </c:pt>
                <c:pt idx="8">
                  <c:v>1.2894612322899819E-3</c:v>
                </c:pt>
                <c:pt idx="9">
                  <c:v>2.0390811202563343E-3</c:v>
                </c:pt>
                <c:pt idx="10">
                  <c:v>3.0426744393168446E-3</c:v>
                </c:pt>
                <c:pt idx="11">
                  <c:v>4.2842148011951872E-3</c:v>
                </c:pt>
                <c:pt idx="12">
                  <c:v>5.6922210507011541E-3</c:v>
                </c:pt>
                <c:pt idx="13">
                  <c:v>7.1365291724601312E-3</c:v>
                </c:pt>
                <c:pt idx="14">
                  <c:v>8.442811682249288E-3</c:v>
                </c:pt>
                <c:pt idx="15">
                  <c:v>9.4250123504863344E-3</c:v>
                </c:pt>
                <c:pt idx="16">
                  <c:v>9.928222971854481E-3</c:v>
                </c:pt>
                <c:pt idx="17">
                  <c:v>9.8686076960690251E-3</c:v>
                </c:pt>
                <c:pt idx="18">
                  <c:v>9.2562487307598553E-3</c:v>
                </c:pt>
                <c:pt idx="19">
                  <c:v>8.1923578849734564E-3</c:v>
                </c:pt>
                <c:pt idx="20">
                  <c:v>6.8419135888044902E-3</c:v>
                </c:pt>
                <c:pt idx="21">
                  <c:v>5.3918899813496703E-3</c:v>
                </c:pt>
                <c:pt idx="22">
                  <c:v>4.0095831835479986E-3</c:v>
                </c:pt>
                <c:pt idx="23">
                  <c:v>2.8135342236326679E-3</c:v>
                </c:pt>
                <c:pt idx="24">
                  <c:v>1.8629446220754442E-3</c:v>
                </c:pt>
                <c:pt idx="25">
                  <c:v>1.16397179522558E-3</c:v>
                </c:pt>
                <c:pt idx="26">
                  <c:v>6.8624585935270883E-4</c:v>
                </c:pt>
                <c:pt idx="27">
                  <c:v>3.8177878002529332E-4</c:v>
                </c:pt>
                <c:pt idx="28">
                  <c:v>2.0041886726228031E-4</c:v>
                </c:pt>
                <c:pt idx="29">
                  <c:v>9.9279638982202243E-5</c:v>
                </c:pt>
                <c:pt idx="30">
                  <c:v>4.6406257320391309E-5</c:v>
                </c:pt>
                <c:pt idx="31">
                  <c:v>2.0468577754506673E-5</c:v>
                </c:pt>
                <c:pt idx="32">
                  <c:v>8.5190969142288216E-6</c:v>
                </c:pt>
              </c:numCache>
            </c:numRef>
          </c:yVal>
          <c:smooth val="0"/>
          <c:extLst>
            <c:ext xmlns:c16="http://schemas.microsoft.com/office/drawing/2014/chart" uri="{C3380CC4-5D6E-409C-BE32-E72D297353CC}">
              <c16:uniqueId val="{00000001-6272-4FF0-8F86-F6199285B9C3}"/>
            </c:ext>
          </c:extLst>
        </c:ser>
        <c:ser>
          <c:idx val="2"/>
          <c:order val="2"/>
          <c:spPr>
            <a:ln>
              <a:solidFill>
                <a:srgbClr val="FFFF00"/>
              </a:solidFill>
            </a:ln>
          </c:spPr>
          <c:marker>
            <c:symbol val="none"/>
          </c:marker>
          <c:xVal>
            <c:numRef>
              <c:f>'Non-inferiority, Parallel'!$Z$16:$Z$17</c:f>
              <c:numCache>
                <c:formatCode>General</c:formatCode>
                <c:ptCount val="2"/>
                <c:pt idx="0">
                  <c:v>120</c:v>
                </c:pt>
                <c:pt idx="1">
                  <c:v>120</c:v>
                </c:pt>
              </c:numCache>
            </c:numRef>
          </c:xVal>
          <c:yVal>
            <c:numRef>
              <c:f>'Non-inferiority, Parallel'!$AA$16:$AA$17</c:f>
              <c:numCache>
                <c:formatCode>General</c:formatCode>
                <c:ptCount val="2"/>
                <c:pt idx="0">
                  <c:v>0</c:v>
                </c:pt>
                <c:pt idx="1">
                  <c:v>9.928222971854481E-3</c:v>
                </c:pt>
              </c:numCache>
            </c:numRef>
          </c:yVal>
          <c:smooth val="0"/>
          <c:extLst>
            <c:ext xmlns:c16="http://schemas.microsoft.com/office/drawing/2014/chart" uri="{C3380CC4-5D6E-409C-BE32-E72D297353CC}">
              <c16:uniqueId val="{00000002-6272-4FF0-8F86-F6199285B9C3}"/>
            </c:ext>
          </c:extLst>
        </c:ser>
        <c:ser>
          <c:idx val="3"/>
          <c:order val="3"/>
          <c:spPr>
            <a:ln>
              <a:solidFill>
                <a:srgbClr val="FFFF00"/>
              </a:solidFill>
            </a:ln>
          </c:spPr>
          <c:marker>
            <c:symbol val="none"/>
          </c:marker>
          <c:xVal>
            <c:numRef>
              <c:f>'Non-inferiority, Parallel'!$Z$19:$Z$20</c:f>
              <c:numCache>
                <c:formatCode>General</c:formatCode>
                <c:ptCount val="2"/>
                <c:pt idx="0">
                  <c:v>200</c:v>
                </c:pt>
                <c:pt idx="1">
                  <c:v>200</c:v>
                </c:pt>
              </c:numCache>
            </c:numRef>
          </c:xVal>
          <c:yVal>
            <c:numRef>
              <c:f>'Non-inferiority, Parallel'!$AA$19:$AA$20</c:f>
              <c:numCache>
                <c:formatCode>General</c:formatCode>
                <c:ptCount val="2"/>
                <c:pt idx="0">
                  <c:v>0</c:v>
                </c:pt>
                <c:pt idx="1">
                  <c:v>9.928222971854481E-3</c:v>
                </c:pt>
              </c:numCache>
            </c:numRef>
          </c:yVal>
          <c:smooth val="0"/>
          <c:extLst>
            <c:ext xmlns:c16="http://schemas.microsoft.com/office/drawing/2014/chart" uri="{C3380CC4-5D6E-409C-BE32-E72D297353CC}">
              <c16:uniqueId val="{00000003-6272-4FF0-8F86-F6199285B9C3}"/>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6272-4FF0-8F86-F6199285B9C3}"/>
              </c:ext>
            </c:extLst>
          </c:dPt>
          <c:xVal>
            <c:numRef>
              <c:f>'Non-inferiority, Parallel'!$Z$24:$Z$25</c:f>
              <c:numCache>
                <c:formatCode>General</c:formatCode>
                <c:ptCount val="2"/>
                <c:pt idx="0">
                  <c:v>118</c:v>
                </c:pt>
                <c:pt idx="1">
                  <c:v>118</c:v>
                </c:pt>
              </c:numCache>
            </c:numRef>
          </c:xVal>
          <c:yVal>
            <c:numRef>
              <c:f>'Non-inferiority, Parallel'!$AA$24:$AA$25</c:f>
              <c:numCache>
                <c:formatCode>General</c:formatCode>
                <c:ptCount val="2"/>
                <c:pt idx="0">
                  <c:v>0</c:v>
                </c:pt>
                <c:pt idx="1">
                  <c:v>9.928222971854481E-3</c:v>
                </c:pt>
              </c:numCache>
            </c:numRef>
          </c:yVal>
          <c:smooth val="0"/>
          <c:extLst>
            <c:ext xmlns:c16="http://schemas.microsoft.com/office/drawing/2014/chart" uri="{C3380CC4-5D6E-409C-BE32-E72D297353CC}">
              <c16:uniqueId val="{00000006-6272-4FF0-8F86-F6199285B9C3}"/>
            </c:ext>
          </c:extLst>
        </c:ser>
        <c:ser>
          <c:idx val="5"/>
          <c:order val="5"/>
          <c:spPr>
            <a:ln>
              <a:solidFill>
                <a:srgbClr val="00B050"/>
              </a:solidFill>
            </a:ln>
          </c:spPr>
          <c:marker>
            <c:symbol val="none"/>
          </c:marker>
          <c:xVal>
            <c:numRef>
              <c:f>'Non-inferiority, Parallel'!$Z$27:$Z$28</c:f>
              <c:numCache>
                <c:formatCode>General</c:formatCode>
                <c:ptCount val="2"/>
                <c:pt idx="0">
                  <c:v>198</c:v>
                </c:pt>
                <c:pt idx="1">
                  <c:v>198</c:v>
                </c:pt>
              </c:numCache>
            </c:numRef>
          </c:xVal>
          <c:yVal>
            <c:numRef>
              <c:f>'Non-inferiority, Parallel'!$AA$27:$AA$28</c:f>
              <c:numCache>
                <c:formatCode>General</c:formatCode>
                <c:ptCount val="2"/>
                <c:pt idx="0">
                  <c:v>0</c:v>
                </c:pt>
                <c:pt idx="1">
                  <c:v>9.928222971854481E-3</c:v>
                </c:pt>
              </c:numCache>
            </c:numRef>
          </c:yVal>
          <c:smooth val="0"/>
          <c:extLst>
            <c:ext xmlns:c16="http://schemas.microsoft.com/office/drawing/2014/chart" uri="{C3380CC4-5D6E-409C-BE32-E72D297353CC}">
              <c16:uniqueId val="{00000007-6272-4FF0-8F86-F6199285B9C3}"/>
            </c:ext>
          </c:extLst>
        </c:ser>
        <c:ser>
          <c:idx val="6"/>
          <c:order val="6"/>
          <c:spPr>
            <a:ln>
              <a:solidFill>
                <a:srgbClr val="FFFF00"/>
              </a:solidFill>
            </a:ln>
          </c:spPr>
          <c:marker>
            <c:symbol val="none"/>
          </c:marker>
          <c:xVal>
            <c:numRef>
              <c:f>'Non-inferiority, Parallel'!$AD$16:$AD$17</c:f>
              <c:numCache>
                <c:formatCode>General</c:formatCode>
                <c:ptCount val="2"/>
                <c:pt idx="0">
                  <c:v>-133.4372289923586</c:v>
                </c:pt>
                <c:pt idx="1">
                  <c:v>-133.4372289923586</c:v>
                </c:pt>
              </c:numCache>
            </c:numRef>
          </c:xVal>
          <c:yVal>
            <c:numRef>
              <c:f>'Non-inferiority, Parallel'!$AE$16:$AE$17</c:f>
              <c:numCache>
                <c:formatCode>General</c:formatCode>
                <c:ptCount val="2"/>
                <c:pt idx="0">
                  <c:v>0</c:v>
                </c:pt>
                <c:pt idx="1">
                  <c:v>0</c:v>
                </c:pt>
              </c:numCache>
            </c:numRef>
          </c:yVal>
          <c:smooth val="0"/>
          <c:extLst>
            <c:ext xmlns:c16="http://schemas.microsoft.com/office/drawing/2014/chart" uri="{C3380CC4-5D6E-409C-BE32-E72D297353CC}">
              <c16:uniqueId val="{00000008-6272-4FF0-8F86-F6199285B9C3}"/>
            </c:ext>
          </c:extLst>
        </c:ser>
        <c:ser>
          <c:idx val="7"/>
          <c:order val="7"/>
          <c:spPr>
            <a:ln>
              <a:solidFill>
                <a:srgbClr val="FFFF00"/>
              </a:solidFill>
            </a:ln>
          </c:spPr>
          <c:marker>
            <c:symbol val="none"/>
          </c:marker>
          <c:xVal>
            <c:numRef>
              <c:f>'Non-inferiority, Parallel'!$AD$19:$AD$20</c:f>
              <c:numCache>
                <c:formatCode>General</c:formatCode>
                <c:ptCount val="2"/>
                <c:pt idx="0">
                  <c:v>453.4372289923586</c:v>
                </c:pt>
                <c:pt idx="1">
                  <c:v>453.4372289923586</c:v>
                </c:pt>
              </c:numCache>
            </c:numRef>
          </c:xVal>
          <c:yVal>
            <c:numRef>
              <c:f>'Non-inferiority, Parallel'!$AE$19:$AE$20</c:f>
              <c:numCache>
                <c:formatCode>General</c:formatCode>
                <c:ptCount val="2"/>
                <c:pt idx="0">
                  <c:v>0</c:v>
                </c:pt>
                <c:pt idx="1">
                  <c:v>0</c:v>
                </c:pt>
              </c:numCache>
            </c:numRef>
          </c:yVal>
          <c:smooth val="0"/>
          <c:extLst>
            <c:ext xmlns:c16="http://schemas.microsoft.com/office/drawing/2014/chart" uri="{C3380CC4-5D6E-409C-BE32-E72D297353CC}">
              <c16:uniqueId val="{00000009-6272-4FF0-8F86-F6199285B9C3}"/>
            </c:ext>
          </c:extLst>
        </c:ser>
        <c:ser>
          <c:idx val="8"/>
          <c:order val="8"/>
          <c:spPr>
            <a:ln>
              <a:solidFill>
                <a:srgbClr val="00B050"/>
              </a:solidFill>
            </a:ln>
          </c:spPr>
          <c:marker>
            <c:symbol val="none"/>
          </c:marker>
          <c:xVal>
            <c:numRef>
              <c:f>'Non-inferiority, Parallel'!$AD$24:$AD$25</c:f>
              <c:numCache>
                <c:formatCode>General</c:formatCode>
                <c:ptCount val="2"/>
                <c:pt idx="0">
                  <c:v>-135.4372289923586</c:v>
                </c:pt>
                <c:pt idx="1">
                  <c:v>-135.4372289923586</c:v>
                </c:pt>
              </c:numCache>
            </c:numRef>
          </c:xVal>
          <c:yVal>
            <c:numRef>
              <c:f>'Non-inferiority, Parallel'!$AE$24:$AE$25</c:f>
              <c:numCache>
                <c:formatCode>General</c:formatCode>
                <c:ptCount val="2"/>
                <c:pt idx="0">
                  <c:v>0</c:v>
                </c:pt>
                <c:pt idx="1">
                  <c:v>0</c:v>
                </c:pt>
              </c:numCache>
            </c:numRef>
          </c:yVal>
          <c:smooth val="0"/>
          <c:extLst>
            <c:ext xmlns:c16="http://schemas.microsoft.com/office/drawing/2014/chart" uri="{C3380CC4-5D6E-409C-BE32-E72D297353CC}">
              <c16:uniqueId val="{0000000A-6272-4FF0-8F86-F6199285B9C3}"/>
            </c:ext>
          </c:extLst>
        </c:ser>
        <c:ser>
          <c:idx val="9"/>
          <c:order val="9"/>
          <c:spPr>
            <a:ln>
              <a:solidFill>
                <a:srgbClr val="00B050"/>
              </a:solidFill>
            </a:ln>
          </c:spPr>
          <c:marker>
            <c:symbol val="none"/>
          </c:marker>
          <c:xVal>
            <c:numRef>
              <c:f>'Non-inferiority, Parallel'!$AD$27:$AD$28</c:f>
              <c:numCache>
                <c:formatCode>General</c:formatCode>
                <c:ptCount val="2"/>
                <c:pt idx="0">
                  <c:v>451.4372289923586</c:v>
                </c:pt>
                <c:pt idx="1">
                  <c:v>451.4372289923586</c:v>
                </c:pt>
              </c:numCache>
            </c:numRef>
          </c:xVal>
          <c:yVal>
            <c:numRef>
              <c:f>'Non-inferiority, Parallel'!$AE$27:$AE$28</c:f>
              <c:numCache>
                <c:formatCode>General</c:formatCode>
                <c:ptCount val="2"/>
                <c:pt idx="0">
                  <c:v>0</c:v>
                </c:pt>
                <c:pt idx="1">
                  <c:v>0</c:v>
                </c:pt>
              </c:numCache>
            </c:numRef>
          </c:yVal>
          <c:smooth val="0"/>
          <c:extLst>
            <c:ext xmlns:c16="http://schemas.microsoft.com/office/drawing/2014/chart" uri="{C3380CC4-5D6E-409C-BE32-E72D297353CC}">
              <c16:uniqueId val="{0000000B-6272-4FF0-8F86-F6199285B9C3}"/>
            </c:ext>
          </c:extLst>
        </c:ser>
        <c:ser>
          <c:idx val="10"/>
          <c:order val="10"/>
          <c:spPr>
            <a:ln>
              <a:solidFill>
                <a:srgbClr val="FF0000"/>
              </a:solidFill>
            </a:ln>
          </c:spPr>
          <c:marker>
            <c:symbol val="none"/>
          </c:marker>
          <c:xVal>
            <c:numRef>
              <c:f>'Non-inferiority, Parallel'!$Z$32:$Z$33</c:f>
              <c:numCache>
                <c:formatCode>General</c:formatCode>
                <c:ptCount val="2"/>
                <c:pt idx="0">
                  <c:v>148</c:v>
                </c:pt>
                <c:pt idx="1">
                  <c:v>148</c:v>
                </c:pt>
              </c:numCache>
            </c:numRef>
          </c:xVal>
          <c:yVal>
            <c:numRef>
              <c:f>'Non-inferiority, Parallel'!$AA$32:$AA$33</c:f>
              <c:numCache>
                <c:formatCode>General</c:formatCode>
                <c:ptCount val="2"/>
                <c:pt idx="0">
                  <c:v>0</c:v>
                </c:pt>
                <c:pt idx="1">
                  <c:v>9.928222971854481E-3</c:v>
                </c:pt>
              </c:numCache>
            </c:numRef>
          </c:yVal>
          <c:smooth val="0"/>
          <c:extLst>
            <c:ext xmlns:c16="http://schemas.microsoft.com/office/drawing/2014/chart" uri="{C3380CC4-5D6E-409C-BE32-E72D297353CC}">
              <c16:uniqueId val="{0000000C-6272-4FF0-8F86-F6199285B9C3}"/>
            </c:ext>
          </c:extLst>
        </c:ser>
        <c:dLbls>
          <c:showLegendKey val="0"/>
          <c:showVal val="0"/>
          <c:showCatName val="0"/>
          <c:showSerName val="0"/>
          <c:showPercent val="0"/>
          <c:showBubbleSize val="0"/>
        </c:dLbls>
        <c:axId val="2146538248"/>
        <c:axId val="2146535000"/>
      </c:scatterChart>
      <c:valAx>
        <c:axId val="2146538248"/>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535000"/>
        <c:crosses val="autoZero"/>
        <c:crossBetween val="midCat"/>
      </c:valAx>
      <c:valAx>
        <c:axId val="2146535000"/>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53824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'Non-inferiority, Crossover'!$V$14</c:f>
              <c:strCache>
                <c:ptCount val="1"/>
                <c:pt idx="0">
                  <c:v>Treatment A</c:v>
                </c:pt>
              </c:strCache>
            </c:strRef>
          </c:tx>
          <c:spPr>
            <a:ln w="28575">
              <a:solidFill>
                <a:srgbClr val="FFFF00"/>
              </a:solidFill>
            </a:ln>
          </c:spPr>
          <c:marker>
            <c:symbol val="none"/>
          </c:marker>
          <c:xVal>
            <c:numRef>
              <c:f>'Non-inferiority, Crossover'!$U$15:$U$47</c:f>
              <c:numCache>
                <c:formatCode>General</c:formatCode>
                <c:ptCount val="33"/>
                <c:pt idx="0">
                  <c:v>0</c:v>
                </c:pt>
                <c:pt idx="1">
                  <c:v>4.7878787878787881</c:v>
                </c:pt>
                <c:pt idx="2">
                  <c:v>9.5757575757575761</c:v>
                </c:pt>
                <c:pt idx="3">
                  <c:v>14.363636363636363</c:v>
                </c:pt>
                <c:pt idx="4">
                  <c:v>19.151515151515152</c:v>
                </c:pt>
                <c:pt idx="5">
                  <c:v>23.939393939393941</c:v>
                </c:pt>
                <c:pt idx="6">
                  <c:v>28.72727272727273</c:v>
                </c:pt>
                <c:pt idx="7">
                  <c:v>33.515151515151516</c:v>
                </c:pt>
                <c:pt idx="8">
                  <c:v>38.303030303030305</c:v>
                </c:pt>
                <c:pt idx="9">
                  <c:v>43.090909090909093</c:v>
                </c:pt>
                <c:pt idx="10">
                  <c:v>47.878787878787882</c:v>
                </c:pt>
                <c:pt idx="11">
                  <c:v>52.666666666666671</c:v>
                </c:pt>
                <c:pt idx="12">
                  <c:v>57.45454545454546</c:v>
                </c:pt>
                <c:pt idx="13">
                  <c:v>62.242424242424249</c:v>
                </c:pt>
                <c:pt idx="14">
                  <c:v>67.030303030303031</c:v>
                </c:pt>
                <c:pt idx="15">
                  <c:v>71.818181818181813</c:v>
                </c:pt>
                <c:pt idx="16">
                  <c:v>76.606060606060595</c:v>
                </c:pt>
                <c:pt idx="17">
                  <c:v>81.393939393939377</c:v>
                </c:pt>
                <c:pt idx="18">
                  <c:v>86.181818181818159</c:v>
                </c:pt>
                <c:pt idx="19">
                  <c:v>90.96969696969694</c:v>
                </c:pt>
                <c:pt idx="20">
                  <c:v>95.757575757575722</c:v>
                </c:pt>
                <c:pt idx="21">
                  <c:v>100.5454545454545</c:v>
                </c:pt>
                <c:pt idx="22">
                  <c:v>105.33333333333329</c:v>
                </c:pt>
                <c:pt idx="23">
                  <c:v>110.12121212121207</c:v>
                </c:pt>
                <c:pt idx="24">
                  <c:v>114.90909090909085</c:v>
                </c:pt>
                <c:pt idx="25">
                  <c:v>119.69696969696963</c:v>
                </c:pt>
                <c:pt idx="26">
                  <c:v>124.48484848484841</c:v>
                </c:pt>
                <c:pt idx="27">
                  <c:v>129.2727272727272</c:v>
                </c:pt>
                <c:pt idx="28">
                  <c:v>134.06060606060598</c:v>
                </c:pt>
                <c:pt idx="29">
                  <c:v>138.84848484848476</c:v>
                </c:pt>
                <c:pt idx="30">
                  <c:v>143.63636363636354</c:v>
                </c:pt>
                <c:pt idx="31">
                  <c:v>148.42424242424232</c:v>
                </c:pt>
                <c:pt idx="32">
                  <c:v>153.2121212121211</c:v>
                </c:pt>
              </c:numCache>
            </c:numRef>
          </c:xVal>
          <c:yVal>
            <c:numRef>
              <c:f>'Non-inferiority, Crossover'!$V$15:$V$47</c:f>
              <c:numCache>
                <c:formatCode>General</c:formatCode>
                <c:ptCount val="33"/>
                <c:pt idx="0">
                  <c:v>6.6915112882442679E-6</c:v>
                </c:pt>
                <c:pt idx="1">
                  <c:v>1.6941407610670937E-5</c:v>
                </c:pt>
                <c:pt idx="2">
                  <c:v>4.0502850320500758E-5</c:v>
                </c:pt>
                <c:pt idx="3">
                  <c:v>9.1439217502151682E-5</c:v>
                </c:pt>
                <c:pt idx="4">
                  <c:v>1.9493518442765021E-4</c:v>
                </c:pt>
                <c:pt idx="5">
                  <c:v>3.92426913151595E-4</c:v>
                </c:pt>
                <c:pt idx="6">
                  <c:v>7.4599884259869123E-4</c:v>
                </c:pt>
                <c:pt idx="7">
                  <c:v>1.3391472742514188E-3</c:v>
                </c:pt>
                <c:pt idx="8">
                  <c:v>2.2700182471111548E-3</c:v>
                </c:pt>
                <c:pt idx="9">
                  <c:v>3.6336339386543325E-3</c:v>
                </c:pt>
                <c:pt idx="10">
                  <c:v>5.4924209732535069E-3</c:v>
                </c:pt>
                <c:pt idx="11">
                  <c:v>7.8396609192754318E-3</c:v>
                </c:pt>
                <c:pt idx="12">
                  <c:v>1.0566753093708884E-2</c:v>
                </c:pt>
                <c:pt idx="13">
                  <c:v>1.344920640875991E-2</c:v>
                </c:pt>
                <c:pt idx="14">
                  <c:v>1.6164511205090763E-2</c:v>
                </c:pt>
                <c:pt idx="15">
                  <c:v>1.834591229138861E-2</c:v>
                </c:pt>
                <c:pt idx="16">
                  <c:v>1.9661962691716266E-2</c:v>
                </c:pt>
                <c:pt idx="17">
                  <c:v>1.9898724584214315E-2</c:v>
                </c:pt>
                <c:pt idx="18">
                  <c:v>1.9016668369460466E-2</c:v>
                </c:pt>
                <c:pt idx="19">
                  <c:v>1.7161468335135838E-2</c:v>
                </c:pt>
                <c:pt idx="20">
                  <c:v>1.4624642962929837E-2</c:v>
                </c:pt>
                <c:pt idx="21">
                  <c:v>1.176865738855151E-2</c:v>
                </c:pt>
                <c:pt idx="22">
                  <c:v>8.9429208247270523E-3</c:v>
                </c:pt>
                <c:pt idx="23">
                  <c:v>6.4171570829679369E-3</c:v>
                </c:pt>
                <c:pt idx="24">
                  <c:v>4.3482727057223731E-3</c:v>
                </c:pt>
                <c:pt idx="25">
                  <c:v>2.7822855168983412E-3</c:v>
                </c:pt>
                <c:pt idx="26">
                  <c:v>1.6811150463606796E-3</c:v>
                </c:pt>
                <c:pt idx="27">
                  <c:v>9.5918856772457572E-4</c:v>
                </c:pt>
                <c:pt idx="28">
                  <c:v>5.1679865073369822E-4</c:v>
                </c:pt>
                <c:pt idx="29">
                  <c:v>2.6293570641791332E-4</c:v>
                </c:pt>
                <c:pt idx="30">
                  <c:v>1.263247889051985E-4</c:v>
                </c:pt>
                <c:pt idx="31">
                  <c:v>5.7311056432338715E-5</c:v>
                </c:pt>
                <c:pt idx="32">
                  <c:v>2.4552689145403606E-5</c:v>
                </c:pt>
              </c:numCache>
            </c:numRef>
          </c:yVal>
          <c:smooth val="0"/>
          <c:extLst>
            <c:ext xmlns:c16="http://schemas.microsoft.com/office/drawing/2014/chart" uri="{C3380CC4-5D6E-409C-BE32-E72D297353CC}">
              <c16:uniqueId val="{00000000-9691-48AB-9DA8-8576BB330780}"/>
            </c:ext>
          </c:extLst>
        </c:ser>
        <c:ser>
          <c:idx val="1"/>
          <c:order val="1"/>
          <c:tx>
            <c:strRef>
              <c:f>'Non-inferiority, Crossover'!$W$14</c:f>
              <c:strCache>
                <c:ptCount val="1"/>
                <c:pt idx="0">
                  <c:v>Treatment B</c:v>
                </c:pt>
              </c:strCache>
            </c:strRef>
          </c:tx>
          <c:spPr>
            <a:ln w="28575">
              <a:solidFill>
                <a:srgbClr val="00B050"/>
              </a:solidFill>
            </a:ln>
          </c:spPr>
          <c:marker>
            <c:symbol val="none"/>
          </c:marker>
          <c:xVal>
            <c:numRef>
              <c:f>'Non-inferiority, Crossover'!$U$15:$U$47</c:f>
              <c:numCache>
                <c:formatCode>General</c:formatCode>
                <c:ptCount val="33"/>
                <c:pt idx="0">
                  <c:v>0</c:v>
                </c:pt>
                <c:pt idx="1">
                  <c:v>4.7878787878787881</c:v>
                </c:pt>
                <c:pt idx="2">
                  <c:v>9.5757575757575761</c:v>
                </c:pt>
                <c:pt idx="3">
                  <c:v>14.363636363636363</c:v>
                </c:pt>
                <c:pt idx="4">
                  <c:v>19.151515151515152</c:v>
                </c:pt>
                <c:pt idx="5">
                  <c:v>23.939393939393941</c:v>
                </c:pt>
                <c:pt idx="6">
                  <c:v>28.72727272727273</c:v>
                </c:pt>
                <c:pt idx="7">
                  <c:v>33.515151515151516</c:v>
                </c:pt>
                <c:pt idx="8">
                  <c:v>38.303030303030305</c:v>
                </c:pt>
                <c:pt idx="9">
                  <c:v>43.090909090909093</c:v>
                </c:pt>
                <c:pt idx="10">
                  <c:v>47.878787878787882</c:v>
                </c:pt>
                <c:pt idx="11">
                  <c:v>52.666666666666671</c:v>
                </c:pt>
                <c:pt idx="12">
                  <c:v>57.45454545454546</c:v>
                </c:pt>
                <c:pt idx="13">
                  <c:v>62.242424242424249</c:v>
                </c:pt>
                <c:pt idx="14">
                  <c:v>67.030303030303031</c:v>
                </c:pt>
                <c:pt idx="15">
                  <c:v>71.818181818181813</c:v>
                </c:pt>
                <c:pt idx="16">
                  <c:v>76.606060606060595</c:v>
                </c:pt>
                <c:pt idx="17">
                  <c:v>81.393939393939377</c:v>
                </c:pt>
                <c:pt idx="18">
                  <c:v>86.181818181818159</c:v>
                </c:pt>
                <c:pt idx="19">
                  <c:v>90.96969696969694</c:v>
                </c:pt>
                <c:pt idx="20">
                  <c:v>95.757575757575722</c:v>
                </c:pt>
                <c:pt idx="21">
                  <c:v>100.5454545454545</c:v>
                </c:pt>
                <c:pt idx="22">
                  <c:v>105.33333333333329</c:v>
                </c:pt>
                <c:pt idx="23">
                  <c:v>110.12121212121207</c:v>
                </c:pt>
                <c:pt idx="24">
                  <c:v>114.90909090909085</c:v>
                </c:pt>
                <c:pt idx="25">
                  <c:v>119.69696969696963</c:v>
                </c:pt>
                <c:pt idx="26">
                  <c:v>124.48484848484841</c:v>
                </c:pt>
                <c:pt idx="27">
                  <c:v>129.2727272727272</c:v>
                </c:pt>
                <c:pt idx="28">
                  <c:v>134.06060606060598</c:v>
                </c:pt>
                <c:pt idx="29">
                  <c:v>138.84848484848476</c:v>
                </c:pt>
                <c:pt idx="30">
                  <c:v>143.63636363636354</c:v>
                </c:pt>
                <c:pt idx="31">
                  <c:v>148.42424242424232</c:v>
                </c:pt>
                <c:pt idx="32">
                  <c:v>153.2121212121211</c:v>
                </c:pt>
              </c:numCache>
            </c:numRef>
          </c:xVal>
          <c:yVal>
            <c:numRef>
              <c:f>'Non-inferiority, Crossover'!$W$15:$W$47</c:f>
              <c:numCache>
                <c:formatCode>General</c:formatCode>
                <c:ptCount val="33"/>
                <c:pt idx="0">
                  <c:v>9.9327735696386359E-6</c:v>
                </c:pt>
                <c:pt idx="1">
                  <c:v>2.4552689145403102E-5</c:v>
                </c:pt>
                <c:pt idx="2">
                  <c:v>5.7311056432337753E-5</c:v>
                </c:pt>
                <c:pt idx="3">
                  <c:v>1.2632478890519657E-4</c:v>
                </c:pt>
                <c:pt idx="4">
                  <c:v>2.6293570641790979E-4</c:v>
                </c:pt>
                <c:pt idx="5">
                  <c:v>5.1679865073369193E-4</c:v>
                </c:pt>
                <c:pt idx="6">
                  <c:v>9.5918856772456726E-4</c:v>
                </c:pt>
                <c:pt idx="7">
                  <c:v>1.6811150463606661E-3</c:v>
                </c:pt>
                <c:pt idx="8">
                  <c:v>2.7822855168983234E-3</c:v>
                </c:pt>
                <c:pt idx="9">
                  <c:v>4.3482727057223506E-3</c:v>
                </c:pt>
                <c:pt idx="10">
                  <c:v>6.4171570829679144E-3</c:v>
                </c:pt>
                <c:pt idx="11">
                  <c:v>8.9429208247270298E-3</c:v>
                </c:pt>
                <c:pt idx="12">
                  <c:v>1.1768657388551491E-2</c:v>
                </c:pt>
                <c:pt idx="13">
                  <c:v>1.4624642962929819E-2</c:v>
                </c:pt>
                <c:pt idx="14">
                  <c:v>1.7161468335135825E-2</c:v>
                </c:pt>
                <c:pt idx="15">
                  <c:v>1.9016668369460459E-2</c:v>
                </c:pt>
                <c:pt idx="16">
                  <c:v>1.9898724584214312E-2</c:v>
                </c:pt>
                <c:pt idx="17">
                  <c:v>1.9661962691716269E-2</c:v>
                </c:pt>
                <c:pt idx="18">
                  <c:v>1.8345912291388617E-2</c:v>
                </c:pt>
                <c:pt idx="19">
                  <c:v>1.6164511205090777E-2</c:v>
                </c:pt>
                <c:pt idx="20">
                  <c:v>1.3449206408759923E-2</c:v>
                </c:pt>
                <c:pt idx="21">
                  <c:v>1.0566753093708905E-2</c:v>
                </c:pt>
                <c:pt idx="22">
                  <c:v>7.8396609192754544E-3</c:v>
                </c:pt>
                <c:pt idx="23">
                  <c:v>5.4924209732535294E-3</c:v>
                </c:pt>
                <c:pt idx="24">
                  <c:v>3.6336339386543498E-3</c:v>
                </c:pt>
                <c:pt idx="25">
                  <c:v>2.2700182471111709E-3</c:v>
                </c:pt>
                <c:pt idx="26">
                  <c:v>1.3391472742514297E-3</c:v>
                </c:pt>
                <c:pt idx="27">
                  <c:v>7.4599884259869784E-4</c:v>
                </c:pt>
                <c:pt idx="28">
                  <c:v>3.9242691315159988E-4</c:v>
                </c:pt>
                <c:pt idx="29">
                  <c:v>1.9493518442765262E-4</c:v>
                </c:pt>
                <c:pt idx="30">
                  <c:v>9.1439217502153241E-5</c:v>
                </c:pt>
                <c:pt idx="31">
                  <c:v>4.0502850320501477E-5</c:v>
                </c:pt>
                <c:pt idx="32">
                  <c:v>1.6941407610671282E-5</c:v>
                </c:pt>
              </c:numCache>
            </c:numRef>
          </c:yVal>
          <c:smooth val="0"/>
          <c:extLst>
            <c:ext xmlns:c16="http://schemas.microsoft.com/office/drawing/2014/chart" uri="{C3380CC4-5D6E-409C-BE32-E72D297353CC}">
              <c16:uniqueId val="{00000001-9691-48AB-9DA8-8576BB330780}"/>
            </c:ext>
          </c:extLst>
        </c:ser>
        <c:ser>
          <c:idx val="2"/>
          <c:order val="2"/>
          <c:spPr>
            <a:ln>
              <a:solidFill>
                <a:srgbClr val="FFFF00"/>
              </a:solidFill>
            </a:ln>
          </c:spPr>
          <c:marker>
            <c:symbol val="none"/>
          </c:marker>
          <c:xVal>
            <c:numRef>
              <c:f>'Non-inferiority, Crossover'!$Z$16:$Z$17</c:f>
              <c:numCache>
                <c:formatCode>General</c:formatCode>
                <c:ptCount val="2"/>
                <c:pt idx="0">
                  <c:v>60</c:v>
                </c:pt>
                <c:pt idx="1">
                  <c:v>60</c:v>
                </c:pt>
              </c:numCache>
            </c:numRef>
          </c:xVal>
          <c:yVal>
            <c:numRef>
              <c:f>'Non-inferiority, Crossover'!$AA$16:$AA$17</c:f>
              <c:numCache>
                <c:formatCode>General</c:formatCode>
                <c:ptCount val="2"/>
                <c:pt idx="0">
                  <c:v>0</c:v>
                </c:pt>
                <c:pt idx="1">
                  <c:v>1.9898724584214315E-2</c:v>
                </c:pt>
              </c:numCache>
            </c:numRef>
          </c:yVal>
          <c:smooth val="0"/>
          <c:extLst>
            <c:ext xmlns:c16="http://schemas.microsoft.com/office/drawing/2014/chart" uri="{C3380CC4-5D6E-409C-BE32-E72D297353CC}">
              <c16:uniqueId val="{00000002-9691-48AB-9DA8-8576BB330780}"/>
            </c:ext>
          </c:extLst>
        </c:ser>
        <c:ser>
          <c:idx val="3"/>
          <c:order val="3"/>
          <c:spPr>
            <a:ln>
              <a:solidFill>
                <a:srgbClr val="FFFF00"/>
              </a:solidFill>
            </a:ln>
          </c:spPr>
          <c:marker>
            <c:symbol val="none"/>
          </c:marker>
          <c:xVal>
            <c:numRef>
              <c:f>'Non-inferiority, Crossover'!$Z$19:$Z$20</c:f>
              <c:numCache>
                <c:formatCode>General</c:formatCode>
                <c:ptCount val="2"/>
                <c:pt idx="0">
                  <c:v>100</c:v>
                </c:pt>
                <c:pt idx="1">
                  <c:v>100</c:v>
                </c:pt>
              </c:numCache>
            </c:numRef>
          </c:xVal>
          <c:yVal>
            <c:numRef>
              <c:f>'Non-inferiority, Crossover'!$AA$19:$AA$20</c:f>
              <c:numCache>
                <c:formatCode>General</c:formatCode>
                <c:ptCount val="2"/>
                <c:pt idx="0">
                  <c:v>0</c:v>
                </c:pt>
                <c:pt idx="1">
                  <c:v>1.9898724584214315E-2</c:v>
                </c:pt>
              </c:numCache>
            </c:numRef>
          </c:yVal>
          <c:smooth val="0"/>
          <c:extLst>
            <c:ext xmlns:c16="http://schemas.microsoft.com/office/drawing/2014/chart" uri="{C3380CC4-5D6E-409C-BE32-E72D297353CC}">
              <c16:uniqueId val="{00000003-9691-48AB-9DA8-8576BB330780}"/>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9691-48AB-9DA8-8576BB330780}"/>
              </c:ext>
            </c:extLst>
          </c:dPt>
          <c:xVal>
            <c:numRef>
              <c:f>'Non-inferiority, Crossover'!$Z$24:$Z$25</c:f>
              <c:numCache>
                <c:formatCode>General</c:formatCode>
                <c:ptCount val="2"/>
                <c:pt idx="0">
                  <c:v>58</c:v>
                </c:pt>
                <c:pt idx="1">
                  <c:v>58</c:v>
                </c:pt>
              </c:numCache>
            </c:numRef>
          </c:xVal>
          <c:yVal>
            <c:numRef>
              <c:f>'Non-inferiority, Crossover'!$AA$24:$AA$25</c:f>
              <c:numCache>
                <c:formatCode>General</c:formatCode>
                <c:ptCount val="2"/>
                <c:pt idx="0">
                  <c:v>0</c:v>
                </c:pt>
                <c:pt idx="1">
                  <c:v>1.9898724584214312E-2</c:v>
                </c:pt>
              </c:numCache>
            </c:numRef>
          </c:yVal>
          <c:smooth val="0"/>
          <c:extLst>
            <c:ext xmlns:c16="http://schemas.microsoft.com/office/drawing/2014/chart" uri="{C3380CC4-5D6E-409C-BE32-E72D297353CC}">
              <c16:uniqueId val="{00000006-9691-48AB-9DA8-8576BB330780}"/>
            </c:ext>
          </c:extLst>
        </c:ser>
        <c:ser>
          <c:idx val="5"/>
          <c:order val="5"/>
          <c:spPr>
            <a:ln>
              <a:solidFill>
                <a:srgbClr val="00B050"/>
              </a:solidFill>
            </a:ln>
          </c:spPr>
          <c:marker>
            <c:symbol val="none"/>
          </c:marker>
          <c:xVal>
            <c:numRef>
              <c:f>'Non-inferiority, Crossover'!$Z$27:$Z$28</c:f>
              <c:numCache>
                <c:formatCode>General</c:formatCode>
                <c:ptCount val="2"/>
                <c:pt idx="0">
                  <c:v>98</c:v>
                </c:pt>
                <c:pt idx="1">
                  <c:v>98</c:v>
                </c:pt>
              </c:numCache>
            </c:numRef>
          </c:xVal>
          <c:yVal>
            <c:numRef>
              <c:f>'Non-inferiority, Crossover'!$AA$27:$AA$28</c:f>
              <c:numCache>
                <c:formatCode>General</c:formatCode>
                <c:ptCount val="2"/>
                <c:pt idx="0">
                  <c:v>0</c:v>
                </c:pt>
                <c:pt idx="1">
                  <c:v>1.9898724584214312E-2</c:v>
                </c:pt>
              </c:numCache>
            </c:numRef>
          </c:yVal>
          <c:smooth val="0"/>
          <c:extLst>
            <c:ext xmlns:c16="http://schemas.microsoft.com/office/drawing/2014/chart" uri="{C3380CC4-5D6E-409C-BE32-E72D297353CC}">
              <c16:uniqueId val="{00000007-9691-48AB-9DA8-8576BB330780}"/>
            </c:ext>
          </c:extLst>
        </c:ser>
        <c:ser>
          <c:idx val="6"/>
          <c:order val="6"/>
          <c:spPr>
            <a:ln>
              <a:solidFill>
                <a:srgbClr val="FFFF00"/>
              </a:solidFill>
            </a:ln>
          </c:spPr>
          <c:marker>
            <c:symbol val="none"/>
          </c:marker>
          <c:xVal>
            <c:numRef>
              <c:f>'Non-inferiority, Crossover'!$AD$16:$AD$17</c:f>
              <c:numCache>
                <c:formatCode>General</c:formatCode>
                <c:ptCount val="2"/>
                <c:pt idx="0">
                  <c:v>-66.718614496179299</c:v>
                </c:pt>
                <c:pt idx="1">
                  <c:v>-66.718614496179299</c:v>
                </c:pt>
              </c:numCache>
            </c:numRef>
          </c:xVal>
          <c:yVal>
            <c:numRef>
              <c:f>'Non-inferiority, Crossover'!$AE$16:$AE$17</c:f>
              <c:numCache>
                <c:formatCode>General</c:formatCode>
                <c:ptCount val="2"/>
                <c:pt idx="0">
                  <c:v>0</c:v>
                </c:pt>
                <c:pt idx="1">
                  <c:v>0</c:v>
                </c:pt>
              </c:numCache>
            </c:numRef>
          </c:yVal>
          <c:smooth val="0"/>
          <c:extLst>
            <c:ext xmlns:c16="http://schemas.microsoft.com/office/drawing/2014/chart" uri="{C3380CC4-5D6E-409C-BE32-E72D297353CC}">
              <c16:uniqueId val="{00000008-9691-48AB-9DA8-8576BB330780}"/>
            </c:ext>
          </c:extLst>
        </c:ser>
        <c:ser>
          <c:idx val="7"/>
          <c:order val="7"/>
          <c:spPr>
            <a:ln>
              <a:solidFill>
                <a:srgbClr val="FFFF00"/>
              </a:solidFill>
            </a:ln>
          </c:spPr>
          <c:marker>
            <c:symbol val="none"/>
          </c:marker>
          <c:xVal>
            <c:numRef>
              <c:f>'Non-inferiority, Crossover'!$AD$19:$AD$20</c:f>
              <c:numCache>
                <c:formatCode>General</c:formatCode>
                <c:ptCount val="2"/>
                <c:pt idx="0">
                  <c:v>226.7186144961793</c:v>
                </c:pt>
                <c:pt idx="1">
                  <c:v>226.7186144961793</c:v>
                </c:pt>
              </c:numCache>
            </c:numRef>
          </c:xVal>
          <c:yVal>
            <c:numRef>
              <c:f>'Non-inferiority, Crossover'!$AE$19:$AE$20</c:f>
              <c:numCache>
                <c:formatCode>General</c:formatCode>
                <c:ptCount val="2"/>
                <c:pt idx="0">
                  <c:v>0</c:v>
                </c:pt>
                <c:pt idx="1">
                  <c:v>0</c:v>
                </c:pt>
              </c:numCache>
            </c:numRef>
          </c:yVal>
          <c:smooth val="0"/>
          <c:extLst>
            <c:ext xmlns:c16="http://schemas.microsoft.com/office/drawing/2014/chart" uri="{C3380CC4-5D6E-409C-BE32-E72D297353CC}">
              <c16:uniqueId val="{00000009-9691-48AB-9DA8-8576BB330780}"/>
            </c:ext>
          </c:extLst>
        </c:ser>
        <c:ser>
          <c:idx val="8"/>
          <c:order val="8"/>
          <c:spPr>
            <a:ln>
              <a:solidFill>
                <a:srgbClr val="00B050"/>
              </a:solidFill>
            </a:ln>
          </c:spPr>
          <c:marker>
            <c:symbol val="none"/>
          </c:marker>
          <c:xVal>
            <c:numRef>
              <c:f>'Non-inferiority, Crossover'!$AD$24:$AD$25</c:f>
              <c:numCache>
                <c:formatCode>General</c:formatCode>
                <c:ptCount val="2"/>
                <c:pt idx="0">
                  <c:v>-68.718614496179299</c:v>
                </c:pt>
                <c:pt idx="1">
                  <c:v>-68.718614496179299</c:v>
                </c:pt>
              </c:numCache>
            </c:numRef>
          </c:xVal>
          <c:yVal>
            <c:numRef>
              <c:f>'Non-inferiority, Crossover'!$AE$24:$AE$25</c:f>
              <c:numCache>
                <c:formatCode>General</c:formatCode>
                <c:ptCount val="2"/>
                <c:pt idx="0">
                  <c:v>0</c:v>
                </c:pt>
                <c:pt idx="1">
                  <c:v>0</c:v>
                </c:pt>
              </c:numCache>
            </c:numRef>
          </c:yVal>
          <c:smooth val="0"/>
          <c:extLst>
            <c:ext xmlns:c16="http://schemas.microsoft.com/office/drawing/2014/chart" uri="{C3380CC4-5D6E-409C-BE32-E72D297353CC}">
              <c16:uniqueId val="{0000000A-9691-48AB-9DA8-8576BB330780}"/>
            </c:ext>
          </c:extLst>
        </c:ser>
        <c:ser>
          <c:idx val="9"/>
          <c:order val="9"/>
          <c:spPr>
            <a:ln>
              <a:solidFill>
                <a:srgbClr val="00B050"/>
              </a:solidFill>
            </a:ln>
          </c:spPr>
          <c:marker>
            <c:symbol val="none"/>
          </c:marker>
          <c:xVal>
            <c:numRef>
              <c:f>'Non-inferiority, Crossover'!$AD$27:$AD$28</c:f>
              <c:numCache>
                <c:formatCode>General</c:formatCode>
                <c:ptCount val="2"/>
                <c:pt idx="0">
                  <c:v>224.7186144961793</c:v>
                </c:pt>
                <c:pt idx="1">
                  <c:v>224.7186144961793</c:v>
                </c:pt>
              </c:numCache>
            </c:numRef>
          </c:xVal>
          <c:yVal>
            <c:numRef>
              <c:f>'Non-inferiority, Crossover'!$AE$27:$AE$28</c:f>
              <c:numCache>
                <c:formatCode>General</c:formatCode>
                <c:ptCount val="2"/>
                <c:pt idx="0">
                  <c:v>0</c:v>
                </c:pt>
                <c:pt idx="1">
                  <c:v>0</c:v>
                </c:pt>
              </c:numCache>
            </c:numRef>
          </c:yVal>
          <c:smooth val="0"/>
          <c:extLst>
            <c:ext xmlns:c16="http://schemas.microsoft.com/office/drawing/2014/chart" uri="{C3380CC4-5D6E-409C-BE32-E72D297353CC}">
              <c16:uniqueId val="{0000000B-9691-48AB-9DA8-8576BB330780}"/>
            </c:ext>
          </c:extLst>
        </c:ser>
        <c:ser>
          <c:idx val="10"/>
          <c:order val="10"/>
          <c:spPr>
            <a:ln>
              <a:solidFill>
                <a:srgbClr val="FF0000"/>
              </a:solidFill>
            </a:ln>
          </c:spPr>
          <c:marker>
            <c:symbol val="none"/>
          </c:marker>
          <c:xVal>
            <c:numRef>
              <c:f>'Non-inferiority, Crossover'!$Z$32:$Z$33</c:f>
              <c:numCache>
                <c:formatCode>General</c:formatCode>
                <c:ptCount val="2"/>
                <c:pt idx="0">
                  <c:v>68</c:v>
                </c:pt>
                <c:pt idx="1">
                  <c:v>68</c:v>
                </c:pt>
              </c:numCache>
            </c:numRef>
          </c:xVal>
          <c:yVal>
            <c:numRef>
              <c:f>'Non-inferiority, Crossover'!$AA$32:$AA$33</c:f>
              <c:numCache>
                <c:formatCode>General</c:formatCode>
                <c:ptCount val="2"/>
                <c:pt idx="0">
                  <c:v>0</c:v>
                </c:pt>
                <c:pt idx="1">
                  <c:v>1.9898724584214315E-2</c:v>
                </c:pt>
              </c:numCache>
            </c:numRef>
          </c:yVal>
          <c:smooth val="0"/>
          <c:extLst>
            <c:ext xmlns:c16="http://schemas.microsoft.com/office/drawing/2014/chart" uri="{C3380CC4-5D6E-409C-BE32-E72D297353CC}">
              <c16:uniqueId val="{0000000C-9691-48AB-9DA8-8576BB330780}"/>
            </c:ext>
          </c:extLst>
        </c:ser>
        <c:dLbls>
          <c:showLegendKey val="0"/>
          <c:showVal val="0"/>
          <c:showCatName val="0"/>
          <c:showSerName val="0"/>
          <c:showPercent val="0"/>
          <c:showBubbleSize val="0"/>
        </c:dLbls>
        <c:axId val="-2128753496"/>
        <c:axId val="-2128750248"/>
      </c:scatterChart>
      <c:valAx>
        <c:axId val="-2128753496"/>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750248"/>
        <c:crosses val="autoZero"/>
        <c:crossBetween val="midCat"/>
      </c:valAx>
      <c:valAx>
        <c:axId val="-212875024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7534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Parallel'!$V$14</c:f>
              <c:strCache>
                <c:ptCount val="1"/>
                <c:pt idx="0">
                  <c:v>T/R</c:v>
                </c:pt>
              </c:strCache>
            </c:strRef>
          </c:tx>
          <c:spPr>
            <a:ln w="28575">
              <a:solidFill>
                <a:srgbClr val="FFFF00"/>
              </a:solidFill>
            </a:ln>
          </c:spPr>
          <c:marker>
            <c:symbol val="none"/>
          </c:marker>
          <c:xVal>
            <c:numRef>
              <c:f>'Bioequivalence, Parallel'!$U$15:$U$47</c:f>
              <c:numCache>
                <c:formatCode>General</c:formatCode>
                <c:ptCount val="33"/>
                <c:pt idx="0">
                  <c:v>0</c:v>
                </c:pt>
                <c:pt idx="1">
                  <c:v>0.11404199506892949</c:v>
                </c:pt>
                <c:pt idx="2">
                  <c:v>0.22808399013785899</c:v>
                </c:pt>
                <c:pt idx="3">
                  <c:v>0.3421259852067885</c:v>
                </c:pt>
                <c:pt idx="4">
                  <c:v>0.45616798027571798</c:v>
                </c:pt>
                <c:pt idx="5">
                  <c:v>0.57020997534464746</c:v>
                </c:pt>
                <c:pt idx="6">
                  <c:v>0.68425197041357699</c:v>
                </c:pt>
                <c:pt idx="7">
                  <c:v>0.79829396548250653</c:v>
                </c:pt>
                <c:pt idx="8">
                  <c:v>0.91233596055143606</c:v>
                </c:pt>
                <c:pt idx="9">
                  <c:v>1.0263779556203656</c:v>
                </c:pt>
                <c:pt idx="10">
                  <c:v>1.1404199506892951</c:v>
                </c:pt>
                <c:pt idx="11">
                  <c:v>1.2544619457582247</c:v>
                </c:pt>
                <c:pt idx="12">
                  <c:v>1.3685039408271542</c:v>
                </c:pt>
                <c:pt idx="13">
                  <c:v>1.4825459358960837</c:v>
                </c:pt>
                <c:pt idx="14">
                  <c:v>1.5965879309650133</c:v>
                </c:pt>
                <c:pt idx="15">
                  <c:v>1.7106299260339428</c:v>
                </c:pt>
                <c:pt idx="16">
                  <c:v>1.8246719211028724</c:v>
                </c:pt>
                <c:pt idx="17">
                  <c:v>1.9387139161718019</c:v>
                </c:pt>
                <c:pt idx="18">
                  <c:v>2.0527559112407312</c:v>
                </c:pt>
                <c:pt idx="19">
                  <c:v>2.1667979063096605</c:v>
                </c:pt>
                <c:pt idx="20">
                  <c:v>2.2808399013785898</c:v>
                </c:pt>
                <c:pt idx="21">
                  <c:v>2.3948818964475191</c:v>
                </c:pt>
                <c:pt idx="22">
                  <c:v>2.5089238915164485</c:v>
                </c:pt>
                <c:pt idx="23">
                  <c:v>2.6229658865853778</c:v>
                </c:pt>
                <c:pt idx="24">
                  <c:v>2.7370078816543071</c:v>
                </c:pt>
                <c:pt idx="25">
                  <c:v>2.8510498767232364</c:v>
                </c:pt>
                <c:pt idx="26">
                  <c:v>2.9650918717921657</c:v>
                </c:pt>
                <c:pt idx="27">
                  <c:v>3.079133866861095</c:v>
                </c:pt>
                <c:pt idx="28">
                  <c:v>3.1931758619300243</c:v>
                </c:pt>
                <c:pt idx="29">
                  <c:v>3.3072178569989537</c:v>
                </c:pt>
                <c:pt idx="30">
                  <c:v>3.421259852067883</c:v>
                </c:pt>
                <c:pt idx="31">
                  <c:v>3.5353018471368123</c:v>
                </c:pt>
                <c:pt idx="32">
                  <c:v>3.6493438422057416</c:v>
                </c:pt>
              </c:numCache>
            </c:numRef>
          </c:xVal>
          <c:yVal>
            <c:numRef>
              <c:f>'Bioequivalence, Parallel'!$V$15:$V$47</c:f>
              <c:numCache>
                <c:formatCode>General</c:formatCode>
                <c:ptCount val="33"/>
                <c:pt idx="0">
                  <c:v>0.24638175239823415</c:v>
                </c:pt>
                <c:pt idx="1">
                  <c:v>0.2888774794762195</c:v>
                </c:pt>
                <c:pt idx="2">
                  <c:v>0.33188944549186422</c:v>
                </c:pt>
                <c:pt idx="3">
                  <c:v>0.37363521879612333</c:v>
                </c:pt>
                <c:pt idx="4">
                  <c:v>0.41217038093519348</c:v>
                </c:pt>
                <c:pt idx="5">
                  <c:v>0.44553349777912132</c:v>
                </c:pt>
                <c:pt idx="6">
                  <c:v>0.4719093196270166</c:v>
                </c:pt>
                <c:pt idx="7">
                  <c:v>0.48979162540430449</c:v>
                </c:pt>
                <c:pt idx="8">
                  <c:v>0.49812548917176475</c:v>
                </c:pt>
                <c:pt idx="9">
                  <c:v>0.49641030037181422</c:v>
                </c:pt>
                <c:pt idx="10">
                  <c:v>0.48474954788740393</c:v>
                </c:pt>
                <c:pt idx="11">
                  <c:v>0.46384048284340523</c:v>
                </c:pt>
                <c:pt idx="12">
                  <c:v>0.4349050960714787</c:v>
                </c:pt>
                <c:pt idx="13">
                  <c:v>0.39957191240595913</c:v>
                </c:pt>
                <c:pt idx="14">
                  <c:v>0.35972449947009971</c:v>
                </c:pt>
                <c:pt idx="15">
                  <c:v>0.31733625401860682</c:v>
                </c:pt>
                <c:pt idx="16">
                  <c:v>0.27431147398263156</c:v>
                </c:pt>
                <c:pt idx="17">
                  <c:v>0.23235010113869112</c:v>
                </c:pt>
                <c:pt idx="18">
                  <c:v>0.19284854521492664</c:v>
                </c:pt>
                <c:pt idx="19">
                  <c:v>0.15684276045422713</c:v>
                </c:pt>
                <c:pt idx="20">
                  <c:v>0.12499343312455446</c:v>
                </c:pt>
                <c:pt idx="21">
                  <c:v>9.7607800230644914E-2</c:v>
                </c:pt>
                <c:pt idx="22">
                  <c:v>7.4688968721692603E-2</c:v>
                </c:pt>
                <c:pt idx="23">
                  <c:v>5.600193196586048E-2</c:v>
                </c:pt>
                <c:pt idx="24">
                  <c:v>4.1145672548452104E-2</c:v>
                </c:pt>
                <c:pt idx="25">
                  <c:v>2.9622378747503401E-2</c:v>
                </c:pt>
                <c:pt idx="26">
                  <c:v>2.0897306115164386E-2</c:v>
                </c:pt>
                <c:pt idx="27">
                  <c:v>1.4445590111148958E-2</c:v>
                </c:pt>
                <c:pt idx="28">
                  <c:v>9.7848659437147888E-3</c:v>
                </c:pt>
                <c:pt idx="29">
                  <c:v>6.4945502508561327E-3</c:v>
                </c:pt>
                <c:pt idx="30">
                  <c:v>4.2239414730498807E-3</c:v>
                </c:pt>
                <c:pt idx="31">
                  <c:v>2.6919148087739021E-3</c:v>
                </c:pt>
                <c:pt idx="32">
                  <c:v>1.6810450043310068E-3</c:v>
                </c:pt>
              </c:numCache>
            </c:numRef>
          </c:yVal>
          <c:smooth val="0"/>
          <c:extLst>
            <c:ext xmlns:c16="http://schemas.microsoft.com/office/drawing/2014/chart" uri="{C3380CC4-5D6E-409C-BE32-E72D297353CC}">
              <c16:uniqueId val="{00000000-E6A4-4B2A-9296-C2B4C99299BA}"/>
            </c:ext>
          </c:extLst>
        </c:ser>
        <c:ser>
          <c:idx val="2"/>
          <c:order val="1"/>
          <c:spPr>
            <a:ln>
              <a:solidFill>
                <a:srgbClr val="FFFF00"/>
              </a:solidFill>
            </a:ln>
          </c:spPr>
          <c:marker>
            <c:symbol val="none"/>
          </c:marker>
          <c:xVal>
            <c:numRef>
              <c:f>'Bioequivalence, Parallel'!$Z$16:$Z$17</c:f>
              <c:numCache>
                <c:formatCode>General</c:formatCode>
                <c:ptCount val="2"/>
                <c:pt idx="0">
                  <c:v>0.24665354068133172</c:v>
                </c:pt>
                <c:pt idx="1">
                  <c:v>0.24665354068133172</c:v>
                </c:pt>
              </c:numCache>
            </c:numRef>
          </c:xVal>
          <c:yVal>
            <c:numRef>
              <c:f>'Bioequivalence, Parallel'!$AA$16:$AA$17</c:f>
              <c:numCache>
                <c:formatCode>General</c:formatCode>
                <c:ptCount val="2"/>
                <c:pt idx="0">
                  <c:v>0</c:v>
                </c:pt>
                <c:pt idx="1">
                  <c:v>0</c:v>
                </c:pt>
              </c:numCache>
            </c:numRef>
          </c:yVal>
          <c:smooth val="0"/>
          <c:extLst>
            <c:ext xmlns:c16="http://schemas.microsoft.com/office/drawing/2014/chart" uri="{C3380CC4-5D6E-409C-BE32-E72D297353CC}">
              <c16:uniqueId val="{00000001-E6A4-4B2A-9296-C2B4C99299BA}"/>
            </c:ext>
          </c:extLst>
        </c:ser>
        <c:ser>
          <c:idx val="3"/>
          <c:order val="2"/>
          <c:spPr>
            <a:ln>
              <a:solidFill>
                <a:srgbClr val="FFFF00"/>
              </a:solidFill>
            </a:ln>
          </c:spPr>
          <c:marker>
            <c:symbol val="none"/>
          </c:marker>
          <c:xVal>
            <c:numRef>
              <c:f>'Bioequivalence, Parallel'!$Z$19:$Z$20</c:f>
              <c:numCache>
                <c:formatCode>General</c:formatCode>
                <c:ptCount val="2"/>
                <c:pt idx="0">
                  <c:v>1.6533464593186682</c:v>
                </c:pt>
                <c:pt idx="1">
                  <c:v>1.6533464593186682</c:v>
                </c:pt>
              </c:numCache>
            </c:numRef>
          </c:xVal>
          <c:yVal>
            <c:numRef>
              <c:f>'Bioequivalence, Parallel'!$AA$19:$AA$20</c:f>
              <c:numCache>
                <c:formatCode>General</c:formatCode>
                <c:ptCount val="2"/>
                <c:pt idx="0">
                  <c:v>0</c:v>
                </c:pt>
                <c:pt idx="1">
                  <c:v>0</c:v>
                </c:pt>
              </c:numCache>
            </c:numRef>
          </c:yVal>
          <c:smooth val="0"/>
          <c:extLst>
            <c:ext xmlns:c16="http://schemas.microsoft.com/office/drawing/2014/chart" uri="{C3380CC4-5D6E-409C-BE32-E72D297353CC}">
              <c16:uniqueId val="{00000002-E6A4-4B2A-9296-C2B4C99299BA}"/>
            </c:ext>
          </c:extLst>
        </c:ser>
        <c:ser>
          <c:idx val="6"/>
          <c:order val="3"/>
          <c:spPr>
            <a:ln>
              <a:solidFill>
                <a:srgbClr val="FFFF00"/>
              </a:solidFill>
            </a:ln>
          </c:spPr>
          <c:marker>
            <c:symbol val="none"/>
          </c:marker>
          <c:xVal>
            <c:numRef>
              <c:f>'Bioequivalence, Parallel'!$AD$16:$AD$17</c:f>
              <c:numCache>
                <c:formatCode>General</c:formatCode>
                <c:ptCount val="2"/>
                <c:pt idx="0">
                  <c:v>-1.6138709635184754</c:v>
                </c:pt>
                <c:pt idx="1">
                  <c:v>-1.6138709635184754</c:v>
                </c:pt>
              </c:numCache>
            </c:numRef>
          </c:xVal>
          <c:yVal>
            <c:numRef>
              <c:f>'Bioequivalence, Parallel'!$AE$16:$AE$17</c:f>
              <c:numCache>
                <c:formatCode>General</c:formatCode>
                <c:ptCount val="2"/>
                <c:pt idx="0">
                  <c:v>0</c:v>
                </c:pt>
                <c:pt idx="1">
                  <c:v>0.49812548917176475</c:v>
                </c:pt>
              </c:numCache>
            </c:numRef>
          </c:yVal>
          <c:smooth val="0"/>
          <c:extLst>
            <c:ext xmlns:c16="http://schemas.microsoft.com/office/drawing/2014/chart" uri="{C3380CC4-5D6E-409C-BE32-E72D297353CC}">
              <c16:uniqueId val="{00000003-E6A4-4B2A-9296-C2B4C99299BA}"/>
            </c:ext>
          </c:extLst>
        </c:ser>
        <c:ser>
          <c:idx val="7"/>
          <c:order val="4"/>
          <c:spPr>
            <a:ln>
              <a:solidFill>
                <a:srgbClr val="FFFF00"/>
              </a:solidFill>
            </a:ln>
          </c:spPr>
          <c:marker>
            <c:symbol val="none"/>
          </c:marker>
          <c:xVal>
            <c:numRef>
              <c:f>'Bioequivalence, Parallel'!$AD$19:$AD$20</c:f>
              <c:numCache>
                <c:formatCode>General</c:formatCode>
                <c:ptCount val="2"/>
                <c:pt idx="0">
                  <c:v>3.5138709635184755</c:v>
                </c:pt>
                <c:pt idx="1">
                  <c:v>3.5138709635184755</c:v>
                </c:pt>
              </c:numCache>
            </c:numRef>
          </c:xVal>
          <c:yVal>
            <c:numRef>
              <c:f>'Bioequivalence, Parallel'!$AE$19:$AE$20</c:f>
              <c:numCache>
                <c:formatCode>General</c:formatCode>
                <c:ptCount val="2"/>
                <c:pt idx="0">
                  <c:v>0</c:v>
                </c:pt>
                <c:pt idx="1">
                  <c:v>0.49812548917176475</c:v>
                </c:pt>
              </c:numCache>
            </c:numRef>
          </c:yVal>
          <c:smooth val="0"/>
          <c:extLst>
            <c:ext xmlns:c16="http://schemas.microsoft.com/office/drawing/2014/chart" uri="{C3380CC4-5D6E-409C-BE32-E72D297353CC}">
              <c16:uniqueId val="{00000004-E6A4-4B2A-9296-C2B4C99299BA}"/>
            </c:ext>
          </c:extLst>
        </c:ser>
        <c:ser>
          <c:idx val="10"/>
          <c:order val="5"/>
          <c:spPr>
            <a:ln>
              <a:solidFill>
                <a:srgbClr val="FF0000"/>
              </a:solidFill>
            </a:ln>
          </c:spPr>
          <c:marker>
            <c:symbol val="none"/>
          </c:marker>
          <c:xVal>
            <c:numRef>
              <c:f>'Bioequivalence, Parallel'!$Z$32:$Z$33</c:f>
              <c:numCache>
                <c:formatCode>0.0%</c:formatCode>
                <c:ptCount val="2"/>
                <c:pt idx="0">
                  <c:v>0.8</c:v>
                </c:pt>
                <c:pt idx="1">
                  <c:v>0.8</c:v>
                </c:pt>
              </c:numCache>
            </c:numRef>
          </c:xVal>
          <c:yVal>
            <c:numRef>
              <c:f>'Bioequivalence, Parallel'!$AA$32:$AA$33</c:f>
              <c:numCache>
                <c:formatCode>General</c:formatCode>
                <c:ptCount val="2"/>
                <c:pt idx="0">
                  <c:v>0</c:v>
                </c:pt>
                <c:pt idx="1">
                  <c:v>0.49812548917176475</c:v>
                </c:pt>
              </c:numCache>
            </c:numRef>
          </c:yVal>
          <c:smooth val="0"/>
          <c:extLst>
            <c:ext xmlns:c16="http://schemas.microsoft.com/office/drawing/2014/chart" uri="{C3380CC4-5D6E-409C-BE32-E72D297353CC}">
              <c16:uniqueId val="{00000005-E6A4-4B2A-9296-C2B4C99299BA}"/>
            </c:ext>
          </c:extLst>
        </c:ser>
        <c:ser>
          <c:idx val="11"/>
          <c:order val="6"/>
          <c:spPr>
            <a:ln>
              <a:solidFill>
                <a:srgbClr val="FF0000"/>
              </a:solidFill>
            </a:ln>
          </c:spPr>
          <c:marker>
            <c:symbol val="none"/>
          </c:marker>
          <c:xVal>
            <c:numRef>
              <c:f>'Bioequivalence, Parallel'!$Z$35:$Z$36</c:f>
              <c:numCache>
                <c:formatCode>0.0%</c:formatCode>
                <c:ptCount val="2"/>
                <c:pt idx="0">
                  <c:v>1.25</c:v>
                </c:pt>
                <c:pt idx="1">
                  <c:v>1.25</c:v>
                </c:pt>
              </c:numCache>
            </c:numRef>
          </c:xVal>
          <c:yVal>
            <c:numRef>
              <c:f>'Bioequivalence, Parallel'!$AA$35:$AA$36</c:f>
              <c:numCache>
                <c:formatCode>General</c:formatCode>
                <c:ptCount val="2"/>
                <c:pt idx="0">
                  <c:v>0</c:v>
                </c:pt>
                <c:pt idx="1">
                  <c:v>0.49812548917176475</c:v>
                </c:pt>
              </c:numCache>
            </c:numRef>
          </c:yVal>
          <c:smooth val="0"/>
          <c:extLst>
            <c:ext xmlns:c16="http://schemas.microsoft.com/office/drawing/2014/chart" uri="{C3380CC4-5D6E-409C-BE32-E72D297353CC}">
              <c16:uniqueId val="{00000006-E6A4-4B2A-9296-C2B4C99299BA}"/>
            </c:ext>
          </c:extLst>
        </c:ser>
        <c:dLbls>
          <c:showLegendKey val="0"/>
          <c:showVal val="0"/>
          <c:showCatName val="0"/>
          <c:showSerName val="0"/>
          <c:showPercent val="0"/>
          <c:showBubbleSize val="0"/>
        </c:dLbls>
        <c:axId val="-2128659736"/>
        <c:axId val="-2128656552"/>
      </c:scatterChart>
      <c:valAx>
        <c:axId val="-2128659736"/>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128656552"/>
        <c:crosses val="autoZero"/>
        <c:crossBetween val="midCat"/>
        <c:majorUnit val="0.2"/>
        <c:minorUnit val="0.1"/>
      </c:valAx>
      <c:valAx>
        <c:axId val="-212865655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65973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Crossover'!$V$14</c:f>
              <c:strCache>
                <c:ptCount val="1"/>
                <c:pt idx="0">
                  <c:v>T/R</c:v>
                </c:pt>
              </c:strCache>
            </c:strRef>
          </c:tx>
          <c:spPr>
            <a:ln w="28575">
              <a:solidFill>
                <a:srgbClr val="FFFF00"/>
              </a:solidFill>
            </a:ln>
          </c:spPr>
          <c:marker>
            <c:symbol val="none"/>
          </c:marker>
          <c:xVal>
            <c:numRef>
              <c:f>'Bioequivalence, Crossover'!$U$15:$U$47</c:f>
              <c:numCache>
                <c:formatCode>General</c:formatCode>
                <c:ptCount val="33"/>
                <c:pt idx="0">
                  <c:v>0</c:v>
                </c:pt>
                <c:pt idx="1">
                  <c:v>5.8632809341726023E-2</c:v>
                </c:pt>
                <c:pt idx="2">
                  <c:v>0.11726561868345205</c:v>
                </c:pt>
                <c:pt idx="3">
                  <c:v>0.17589842802517808</c:v>
                </c:pt>
                <c:pt idx="4">
                  <c:v>0.23453123736690409</c:v>
                </c:pt>
                <c:pt idx="5">
                  <c:v>0.29316404670863011</c:v>
                </c:pt>
                <c:pt idx="6">
                  <c:v>0.35179685605035615</c:v>
                </c:pt>
                <c:pt idx="7">
                  <c:v>0.4104296653920822</c:v>
                </c:pt>
                <c:pt idx="8">
                  <c:v>0.46906247473380824</c:v>
                </c:pt>
                <c:pt idx="9">
                  <c:v>0.52769528407553423</c:v>
                </c:pt>
                <c:pt idx="10">
                  <c:v>0.58632809341726022</c:v>
                </c:pt>
                <c:pt idx="11">
                  <c:v>0.64496090275898621</c:v>
                </c:pt>
                <c:pt idx="12">
                  <c:v>0.7035937121007122</c:v>
                </c:pt>
                <c:pt idx="13">
                  <c:v>0.76222652144243819</c:v>
                </c:pt>
                <c:pt idx="14">
                  <c:v>0.82085933078416418</c:v>
                </c:pt>
                <c:pt idx="15">
                  <c:v>0.87949214012589016</c:v>
                </c:pt>
                <c:pt idx="16">
                  <c:v>0.93812494946761615</c:v>
                </c:pt>
                <c:pt idx="17">
                  <c:v>0.99675775880934214</c:v>
                </c:pt>
                <c:pt idx="18">
                  <c:v>1.0553905681510682</c:v>
                </c:pt>
                <c:pt idx="19">
                  <c:v>1.1140233774927943</c:v>
                </c:pt>
                <c:pt idx="20">
                  <c:v>1.1726561868345204</c:v>
                </c:pt>
                <c:pt idx="21">
                  <c:v>1.2312889961762465</c:v>
                </c:pt>
                <c:pt idx="22">
                  <c:v>1.2899218055179726</c:v>
                </c:pt>
                <c:pt idx="23">
                  <c:v>1.3485546148596987</c:v>
                </c:pt>
                <c:pt idx="24">
                  <c:v>1.4071874242014248</c:v>
                </c:pt>
                <c:pt idx="25">
                  <c:v>1.4658202335431509</c:v>
                </c:pt>
                <c:pt idx="26">
                  <c:v>1.524453042884877</c:v>
                </c:pt>
                <c:pt idx="27">
                  <c:v>1.5830858522266031</c:v>
                </c:pt>
                <c:pt idx="28">
                  <c:v>1.6417186615683292</c:v>
                </c:pt>
                <c:pt idx="29">
                  <c:v>1.7003514709100553</c:v>
                </c:pt>
                <c:pt idx="30">
                  <c:v>1.7589842802517814</c:v>
                </c:pt>
                <c:pt idx="31">
                  <c:v>1.8176170895935075</c:v>
                </c:pt>
                <c:pt idx="32">
                  <c:v>1.8762498989352336</c:v>
                </c:pt>
              </c:numCache>
            </c:numRef>
          </c:xVal>
          <c:yVal>
            <c:numRef>
              <c:f>'Bioequivalence, Crossover'!$V$15:$V$47</c:f>
              <c:numCache>
                <c:formatCode>General</c:formatCode>
                <c:ptCount val="33"/>
                <c:pt idx="0">
                  <c:v>1.1677877031658411E-3</c:v>
                </c:pt>
                <c:pt idx="1">
                  <c:v>2.7699447059280034E-3</c:v>
                </c:pt>
                <c:pt idx="2">
                  <c:v>6.2185621117606723E-3</c:v>
                </c:pt>
                <c:pt idx="3">
                  <c:v>1.3213580903738755E-2</c:v>
                </c:pt>
                <c:pt idx="4">
                  <c:v>2.6574356367658435E-2</c:v>
                </c:pt>
                <c:pt idx="5">
                  <c:v>5.0584406183643189E-2</c:v>
                </c:pt>
                <c:pt idx="6">
                  <c:v>9.1134377711433831E-2</c:v>
                </c:pt>
                <c:pt idx="7">
                  <c:v>0.15540303049312376</c:v>
                </c:pt>
                <c:pt idx="8">
                  <c:v>0.2508120568640812</c:v>
                </c:pt>
                <c:pt idx="9">
                  <c:v>0.38313251525085396</c:v>
                </c:pt>
                <c:pt idx="10">
                  <c:v>0.55393816322895617</c:v>
                </c:pt>
                <c:pt idx="11">
                  <c:v>0.75802798169994423</c:v>
                </c:pt>
                <c:pt idx="12">
                  <c:v>0.98179510627226407</c:v>
                </c:pt>
                <c:pt idx="13">
                  <c:v>1.2035611582216017</c:v>
                </c:pt>
                <c:pt idx="14">
                  <c:v>1.3964556226555156</c:v>
                </c:pt>
                <c:pt idx="15">
                  <c:v>1.5335494667705791</c:v>
                </c:pt>
                <c:pt idx="16">
                  <c:v>1.5939698943202625</c:v>
                </c:pt>
                <c:pt idx="17">
                  <c:v>1.5681012990763428</c:v>
                </c:pt>
                <c:pt idx="18">
                  <c:v>1.4600905481436155</c:v>
                </c:pt>
                <c:pt idx="19">
                  <c:v>1.2867587775324509</c:v>
                </c:pt>
                <c:pt idx="20">
                  <c:v>1.0733124429725074</c:v>
                </c:pt>
                <c:pt idx="21">
                  <c:v>0.84735786302017235</c:v>
                </c:pt>
                <c:pt idx="22">
                  <c:v>0.63316840914689476</c:v>
                </c:pt>
                <c:pt idx="23">
                  <c:v>0.44779917359705657</c:v>
                </c:pt>
                <c:pt idx="24">
                  <c:v>0.2997498759653528</c:v>
                </c:pt>
                <c:pt idx="25">
                  <c:v>0.18990937795292456</c:v>
                </c:pt>
                <c:pt idx="26">
                  <c:v>0.11387948260447313</c:v>
                </c:pt>
                <c:pt idx="27">
                  <c:v>6.4633285698647763E-2</c:v>
                </c:pt>
                <c:pt idx="28">
                  <c:v>3.4719915387815804E-2</c:v>
                </c:pt>
                <c:pt idx="29">
                  <c:v>1.7652765695318515E-2</c:v>
                </c:pt>
                <c:pt idx="30">
                  <c:v>8.4949050792481138E-3</c:v>
                </c:pt>
                <c:pt idx="31">
                  <c:v>3.8691536717666728E-3</c:v>
                </c:pt>
                <c:pt idx="32">
                  <c:v>1.6679579681648331E-3</c:v>
                </c:pt>
              </c:numCache>
            </c:numRef>
          </c:yVal>
          <c:smooth val="0"/>
          <c:extLst>
            <c:ext xmlns:c16="http://schemas.microsoft.com/office/drawing/2014/chart" uri="{C3380CC4-5D6E-409C-BE32-E72D297353CC}">
              <c16:uniqueId val="{00000000-12E0-4D40-8B6B-87808CCD6E81}"/>
            </c:ext>
          </c:extLst>
        </c:ser>
        <c:ser>
          <c:idx val="2"/>
          <c:order val="1"/>
          <c:spPr>
            <a:ln>
              <a:solidFill>
                <a:srgbClr val="FFFF00"/>
              </a:solidFill>
            </a:ln>
          </c:spPr>
          <c:marker>
            <c:symbol val="none"/>
          </c:marker>
          <c:xVal>
            <c:numRef>
              <c:f>'Bioequivalence, Crossover'!$Z$16:$Z$17</c:f>
              <c:numCache>
                <c:formatCode>General</c:formatCode>
                <c:ptCount val="2"/>
                <c:pt idx="0">
                  <c:v>0.70377932293076018</c:v>
                </c:pt>
                <c:pt idx="1">
                  <c:v>0.70377932293076018</c:v>
                </c:pt>
              </c:numCache>
            </c:numRef>
          </c:xVal>
          <c:yVal>
            <c:numRef>
              <c:f>'Bioequivalence, Crossover'!$AA$16:$AA$17</c:f>
              <c:numCache>
                <c:formatCode>General</c:formatCode>
                <c:ptCount val="2"/>
                <c:pt idx="0">
                  <c:v>0</c:v>
                </c:pt>
                <c:pt idx="1">
                  <c:v>0</c:v>
                </c:pt>
              </c:numCache>
            </c:numRef>
          </c:yVal>
          <c:smooth val="0"/>
          <c:extLst>
            <c:ext xmlns:c16="http://schemas.microsoft.com/office/drawing/2014/chart" uri="{C3380CC4-5D6E-409C-BE32-E72D297353CC}">
              <c16:uniqueId val="{00000001-12E0-4D40-8B6B-87808CCD6E81}"/>
            </c:ext>
          </c:extLst>
        </c:ser>
        <c:ser>
          <c:idx val="3"/>
          <c:order val="2"/>
          <c:spPr>
            <a:ln>
              <a:solidFill>
                <a:srgbClr val="FFFF00"/>
              </a:solidFill>
            </a:ln>
          </c:spPr>
          <c:marker>
            <c:symbol val="none"/>
          </c:marker>
          <c:xVal>
            <c:numRef>
              <c:f>'Bioequivalence, Crossover'!$Z$19:$Z$20</c:f>
              <c:numCache>
                <c:formatCode>General</c:formatCode>
                <c:ptCount val="2"/>
                <c:pt idx="0">
                  <c:v>1.1962206770692396</c:v>
                </c:pt>
                <c:pt idx="1">
                  <c:v>1.1962206770692396</c:v>
                </c:pt>
              </c:numCache>
            </c:numRef>
          </c:xVal>
          <c:yVal>
            <c:numRef>
              <c:f>'Bioequivalence, Crossover'!$AA$19:$AA$20</c:f>
              <c:numCache>
                <c:formatCode>General</c:formatCode>
                <c:ptCount val="2"/>
                <c:pt idx="0">
                  <c:v>0</c:v>
                </c:pt>
                <c:pt idx="1">
                  <c:v>0</c:v>
                </c:pt>
              </c:numCache>
            </c:numRef>
          </c:yVal>
          <c:smooth val="0"/>
          <c:extLst>
            <c:ext xmlns:c16="http://schemas.microsoft.com/office/drawing/2014/chart" uri="{C3380CC4-5D6E-409C-BE32-E72D297353CC}">
              <c16:uniqueId val="{00000002-12E0-4D40-8B6B-87808CCD6E81}"/>
            </c:ext>
          </c:extLst>
        </c:ser>
        <c:ser>
          <c:idx val="6"/>
          <c:order val="3"/>
          <c:spPr>
            <a:ln>
              <a:solidFill>
                <a:srgbClr val="FFFF00"/>
              </a:solidFill>
            </a:ln>
          </c:spPr>
          <c:marker>
            <c:symbol val="none"/>
          </c:marker>
          <c:xVal>
            <c:numRef>
              <c:f>'Bioequivalence, Crossover'!$AD$16:$AD$17</c:f>
              <c:numCache>
                <c:formatCode>General</c:formatCode>
                <c:ptCount val="2"/>
                <c:pt idx="0">
                  <c:v>5.2465028163784067E-2</c:v>
                </c:pt>
                <c:pt idx="1">
                  <c:v>5.2465028163784067E-2</c:v>
                </c:pt>
              </c:numCache>
            </c:numRef>
          </c:xVal>
          <c:yVal>
            <c:numRef>
              <c:f>'Bioequivalence, Crossover'!$AE$16:$AE$17</c:f>
              <c:numCache>
                <c:formatCode>General</c:formatCode>
                <c:ptCount val="2"/>
                <c:pt idx="0">
                  <c:v>0</c:v>
                </c:pt>
                <c:pt idx="1">
                  <c:v>1.5939698943202625</c:v>
                </c:pt>
              </c:numCache>
            </c:numRef>
          </c:yVal>
          <c:smooth val="0"/>
          <c:extLst>
            <c:ext xmlns:c16="http://schemas.microsoft.com/office/drawing/2014/chart" uri="{C3380CC4-5D6E-409C-BE32-E72D297353CC}">
              <c16:uniqueId val="{00000003-12E0-4D40-8B6B-87808CCD6E81}"/>
            </c:ext>
          </c:extLst>
        </c:ser>
        <c:ser>
          <c:idx val="7"/>
          <c:order val="4"/>
          <c:spPr>
            <a:ln>
              <a:solidFill>
                <a:srgbClr val="FFFF00"/>
              </a:solidFill>
            </a:ln>
          </c:spPr>
          <c:marker>
            <c:symbol val="none"/>
          </c:marker>
          <c:xVal>
            <c:numRef>
              <c:f>'Bioequivalence, Crossover'!$AD$19:$AD$20</c:f>
              <c:numCache>
                <c:formatCode>General</c:formatCode>
                <c:ptCount val="2"/>
                <c:pt idx="0">
                  <c:v>1.847534971836216</c:v>
                </c:pt>
                <c:pt idx="1">
                  <c:v>1.847534971836216</c:v>
                </c:pt>
              </c:numCache>
            </c:numRef>
          </c:xVal>
          <c:yVal>
            <c:numRef>
              <c:f>'Bioequivalence, Crossover'!$AE$19:$AE$20</c:f>
              <c:numCache>
                <c:formatCode>General</c:formatCode>
                <c:ptCount val="2"/>
                <c:pt idx="0">
                  <c:v>0</c:v>
                </c:pt>
                <c:pt idx="1">
                  <c:v>1.5939698943202625</c:v>
                </c:pt>
              </c:numCache>
            </c:numRef>
          </c:yVal>
          <c:smooth val="0"/>
          <c:extLst>
            <c:ext xmlns:c16="http://schemas.microsoft.com/office/drawing/2014/chart" uri="{C3380CC4-5D6E-409C-BE32-E72D297353CC}">
              <c16:uniqueId val="{00000004-12E0-4D40-8B6B-87808CCD6E81}"/>
            </c:ext>
          </c:extLst>
        </c:ser>
        <c:ser>
          <c:idx val="10"/>
          <c:order val="5"/>
          <c:spPr>
            <a:ln>
              <a:solidFill>
                <a:srgbClr val="FF0000"/>
              </a:solidFill>
            </a:ln>
          </c:spPr>
          <c:marker>
            <c:symbol val="none"/>
          </c:marker>
          <c:xVal>
            <c:numRef>
              <c:f>'Bioequivalence, Crossover'!$Z$32:$Z$33</c:f>
              <c:numCache>
                <c:formatCode>0.0%</c:formatCode>
                <c:ptCount val="2"/>
                <c:pt idx="0">
                  <c:v>0.8</c:v>
                </c:pt>
                <c:pt idx="1">
                  <c:v>0.8</c:v>
                </c:pt>
              </c:numCache>
            </c:numRef>
          </c:xVal>
          <c:yVal>
            <c:numRef>
              <c:f>'Bioequivalence, Crossover'!$AA$32:$AA$33</c:f>
              <c:numCache>
                <c:formatCode>General</c:formatCode>
                <c:ptCount val="2"/>
                <c:pt idx="0">
                  <c:v>0</c:v>
                </c:pt>
                <c:pt idx="1">
                  <c:v>1.5939698943202625</c:v>
                </c:pt>
              </c:numCache>
            </c:numRef>
          </c:yVal>
          <c:smooth val="0"/>
          <c:extLst>
            <c:ext xmlns:c16="http://schemas.microsoft.com/office/drawing/2014/chart" uri="{C3380CC4-5D6E-409C-BE32-E72D297353CC}">
              <c16:uniqueId val="{00000005-12E0-4D40-8B6B-87808CCD6E81}"/>
            </c:ext>
          </c:extLst>
        </c:ser>
        <c:ser>
          <c:idx val="11"/>
          <c:order val="6"/>
          <c:spPr>
            <a:ln>
              <a:solidFill>
                <a:srgbClr val="FF0000"/>
              </a:solidFill>
            </a:ln>
          </c:spPr>
          <c:marker>
            <c:symbol val="none"/>
          </c:marker>
          <c:xVal>
            <c:numRef>
              <c:f>'Bioequivalence, Crossover'!$Z$35:$Z$36</c:f>
              <c:numCache>
                <c:formatCode>0.0%</c:formatCode>
                <c:ptCount val="2"/>
                <c:pt idx="0">
                  <c:v>1.25</c:v>
                </c:pt>
                <c:pt idx="1">
                  <c:v>1.25</c:v>
                </c:pt>
              </c:numCache>
            </c:numRef>
          </c:xVal>
          <c:yVal>
            <c:numRef>
              <c:f>'Bioequivalence, Crossover'!$AA$35:$AA$36</c:f>
              <c:numCache>
                <c:formatCode>General</c:formatCode>
                <c:ptCount val="2"/>
                <c:pt idx="0">
                  <c:v>0</c:v>
                </c:pt>
                <c:pt idx="1">
                  <c:v>1.5939698943202625</c:v>
                </c:pt>
              </c:numCache>
            </c:numRef>
          </c:yVal>
          <c:smooth val="0"/>
          <c:extLst>
            <c:ext xmlns:c16="http://schemas.microsoft.com/office/drawing/2014/chart" uri="{C3380CC4-5D6E-409C-BE32-E72D297353CC}">
              <c16:uniqueId val="{00000006-12E0-4D40-8B6B-87808CCD6E81}"/>
            </c:ext>
          </c:extLst>
        </c:ser>
        <c:dLbls>
          <c:showLegendKey val="0"/>
          <c:showVal val="0"/>
          <c:showCatName val="0"/>
          <c:showSerName val="0"/>
          <c:showPercent val="0"/>
          <c:showBubbleSize val="0"/>
        </c:dLbls>
        <c:axId val="2089850696"/>
        <c:axId val="2089847448"/>
      </c:scatterChart>
      <c:valAx>
        <c:axId val="2089850696"/>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089847448"/>
        <c:crosses val="autoZero"/>
        <c:crossBetween val="midCat"/>
        <c:majorUnit val="0.2"/>
        <c:minorUnit val="0.1"/>
      </c:valAx>
      <c:valAx>
        <c:axId val="208984744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0898506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Replicate'!$V$14</c:f>
              <c:strCache>
                <c:ptCount val="1"/>
                <c:pt idx="0">
                  <c:v>T/R</c:v>
                </c:pt>
              </c:strCache>
            </c:strRef>
          </c:tx>
          <c:spPr>
            <a:ln w="28575">
              <a:solidFill>
                <a:srgbClr val="FFFF00"/>
              </a:solidFill>
            </a:ln>
          </c:spPr>
          <c:marker>
            <c:symbol val="none"/>
          </c:marker>
          <c:xVal>
            <c:numRef>
              <c:f>'Bioequivalence, Replicate'!$U$15:$U$47</c:f>
              <c:numCache>
                <c:formatCode>General</c:formatCode>
                <c:ptCount val="33"/>
                <c:pt idx="0">
                  <c:v>0</c:v>
                </c:pt>
                <c:pt idx="1">
                  <c:v>9.9229850208075149E-2</c:v>
                </c:pt>
                <c:pt idx="2">
                  <c:v>0.1984597004161503</c:v>
                </c:pt>
                <c:pt idx="3">
                  <c:v>0.29768955062422542</c:v>
                </c:pt>
                <c:pt idx="4">
                  <c:v>0.3969194008323006</c:v>
                </c:pt>
                <c:pt idx="5">
                  <c:v>0.49614925104037577</c:v>
                </c:pt>
                <c:pt idx="6">
                  <c:v>0.59537910124845095</c:v>
                </c:pt>
                <c:pt idx="7">
                  <c:v>0.69460895145652612</c:v>
                </c:pt>
                <c:pt idx="8">
                  <c:v>0.7938388016646013</c:v>
                </c:pt>
                <c:pt idx="9">
                  <c:v>0.89306865187267648</c:v>
                </c:pt>
                <c:pt idx="10">
                  <c:v>0.99229850208075165</c:v>
                </c:pt>
                <c:pt idx="11">
                  <c:v>1.0915283522888268</c:v>
                </c:pt>
                <c:pt idx="12">
                  <c:v>1.1907582024969019</c:v>
                </c:pt>
                <c:pt idx="13">
                  <c:v>1.289988052704977</c:v>
                </c:pt>
                <c:pt idx="14">
                  <c:v>1.389217902913052</c:v>
                </c:pt>
                <c:pt idx="15">
                  <c:v>1.4884477531211271</c:v>
                </c:pt>
                <c:pt idx="16">
                  <c:v>1.5876776033292022</c:v>
                </c:pt>
                <c:pt idx="17">
                  <c:v>1.6869074535372772</c:v>
                </c:pt>
                <c:pt idx="18">
                  <c:v>1.7861373037453523</c:v>
                </c:pt>
                <c:pt idx="19">
                  <c:v>1.8853671539534274</c:v>
                </c:pt>
                <c:pt idx="20">
                  <c:v>1.9845970041615024</c:v>
                </c:pt>
                <c:pt idx="21">
                  <c:v>2.0838268543695775</c:v>
                </c:pt>
                <c:pt idx="22">
                  <c:v>2.1830567045776528</c:v>
                </c:pt>
                <c:pt idx="23">
                  <c:v>2.2822865547857281</c:v>
                </c:pt>
                <c:pt idx="24">
                  <c:v>2.3815164049938033</c:v>
                </c:pt>
                <c:pt idx="25">
                  <c:v>2.4807462552018786</c:v>
                </c:pt>
                <c:pt idx="26">
                  <c:v>2.5799761054099539</c:v>
                </c:pt>
                <c:pt idx="27">
                  <c:v>2.6792059556180292</c:v>
                </c:pt>
                <c:pt idx="28">
                  <c:v>2.7784358058261045</c:v>
                </c:pt>
                <c:pt idx="29">
                  <c:v>2.8776656560341798</c:v>
                </c:pt>
                <c:pt idx="30">
                  <c:v>2.9768955062422551</c:v>
                </c:pt>
                <c:pt idx="31">
                  <c:v>3.0761253564503304</c:v>
                </c:pt>
                <c:pt idx="32">
                  <c:v>3.1753552066584056</c:v>
                </c:pt>
              </c:numCache>
            </c:numRef>
          </c:xVal>
          <c:yVal>
            <c:numRef>
              <c:f>'Bioequivalence, Replicate'!$V$15:$V$47</c:f>
              <c:numCache>
                <c:formatCode>General</c:formatCode>
                <c:ptCount val="33"/>
                <c:pt idx="0">
                  <c:v>0.23533729435330628</c:v>
                </c:pt>
                <c:pt idx="1">
                  <c:v>0.28736242915824389</c:v>
                </c:pt>
                <c:pt idx="2">
                  <c:v>0.34280549683534484</c:v>
                </c:pt>
                <c:pt idx="3">
                  <c:v>0.39952515522834975</c:v>
                </c:pt>
                <c:pt idx="4">
                  <c:v>0.45490325198376713</c:v>
                </c:pt>
                <c:pt idx="5">
                  <c:v>0.50602563077485663</c:v>
                </c:pt>
                <c:pt idx="6">
                  <c:v>0.54992637471810812</c:v>
                </c:pt>
                <c:pt idx="7">
                  <c:v>0.58386863272477407</c:v>
                </c:pt>
                <c:pt idx="8">
                  <c:v>0.60562570518659309</c:v>
                </c:pt>
                <c:pt idx="9">
                  <c:v>0.61372245947377413</c:v>
                </c:pt>
                <c:pt idx="10">
                  <c:v>0.60760074029019817</c:v>
                </c:pt>
                <c:pt idx="11">
                  <c:v>0.5876830063555375</c:v>
                </c:pt>
                <c:pt idx="12">
                  <c:v>0.55532411335267029</c:v>
                </c:pt>
                <c:pt idx="13">
                  <c:v>0.51265888884221822</c:v>
                </c:pt>
                <c:pt idx="14">
                  <c:v>0.46236932369525469</c:v>
                </c:pt>
                <c:pt idx="15">
                  <c:v>0.40740663195800214</c:v>
                </c:pt>
                <c:pt idx="16">
                  <c:v>0.35070805182037268</c:v>
                </c:pt>
                <c:pt idx="17">
                  <c:v>0.29494561250934742</c:v>
                </c:pt>
                <c:pt idx="18">
                  <c:v>0.24233531319033688</c:v>
                </c:pt>
                <c:pt idx="19">
                  <c:v>0.1945225836599368</c:v>
                </c:pt>
                <c:pt idx="20">
                  <c:v>0.15254638314764188</c:v>
                </c:pt>
                <c:pt idx="21">
                  <c:v>0.11687250742502221</c:v>
                </c:pt>
                <c:pt idx="22">
                  <c:v>8.7478508365891355E-2</c:v>
                </c:pt>
                <c:pt idx="23">
                  <c:v>6.3968908046208445E-2</c:v>
                </c:pt>
                <c:pt idx="24">
                  <c:v>4.569988070902295E-2</c:v>
                </c:pt>
                <c:pt idx="25">
                  <c:v>3.1896259526106731E-2</c:v>
                </c:pt>
                <c:pt idx="26">
                  <c:v>2.1749185983899813E-2</c:v>
                </c:pt>
                <c:pt idx="27">
                  <c:v>1.4488546488791608E-2</c:v>
                </c:pt>
                <c:pt idx="28">
                  <c:v>9.4294245755793919E-3</c:v>
                </c:pt>
                <c:pt idx="29">
                  <c:v>5.9954822866968805E-3</c:v>
                </c:pt>
                <c:pt idx="30">
                  <c:v>3.7242739410159697E-3</c:v>
                </c:pt>
                <c:pt idx="31">
                  <c:v>2.260152134061862E-3</c:v>
                </c:pt>
                <c:pt idx="32">
                  <c:v>1.3400231116534327E-3</c:v>
                </c:pt>
              </c:numCache>
            </c:numRef>
          </c:yVal>
          <c:smooth val="0"/>
          <c:extLst>
            <c:ext xmlns:c16="http://schemas.microsoft.com/office/drawing/2014/chart" uri="{C3380CC4-5D6E-409C-BE32-E72D297353CC}">
              <c16:uniqueId val="{00000000-5FC6-44B6-918B-0AF045740BA7}"/>
            </c:ext>
          </c:extLst>
        </c:ser>
        <c:ser>
          <c:idx val="2"/>
          <c:order val="1"/>
          <c:spPr>
            <a:ln>
              <a:solidFill>
                <a:srgbClr val="FFFF00"/>
              </a:solidFill>
            </a:ln>
          </c:spPr>
          <c:marker>
            <c:symbol val="none"/>
          </c:marker>
          <c:xVal>
            <c:numRef>
              <c:f>'Bioequivalence, Replicate'!$Z$16:$Z$17</c:f>
              <c:numCache>
                <c:formatCode>General</c:formatCode>
                <c:ptCount val="2"/>
                <c:pt idx="0">
                  <c:v>0.30635373578337999</c:v>
                </c:pt>
                <c:pt idx="1">
                  <c:v>0.30635373578337999</c:v>
                </c:pt>
              </c:numCache>
            </c:numRef>
          </c:xVal>
          <c:yVal>
            <c:numRef>
              <c:f>'Bioequivalence, Replicate'!$AA$16:$AA$17</c:f>
              <c:numCache>
                <c:formatCode>General</c:formatCode>
                <c:ptCount val="2"/>
                <c:pt idx="0">
                  <c:v>0</c:v>
                </c:pt>
                <c:pt idx="1">
                  <c:v>0</c:v>
                </c:pt>
              </c:numCache>
            </c:numRef>
          </c:yVal>
          <c:smooth val="0"/>
          <c:extLst>
            <c:ext xmlns:c16="http://schemas.microsoft.com/office/drawing/2014/chart" uri="{C3380CC4-5D6E-409C-BE32-E72D297353CC}">
              <c16:uniqueId val="{00000001-5FC6-44B6-918B-0AF045740BA7}"/>
            </c:ext>
          </c:extLst>
        </c:ser>
        <c:ser>
          <c:idx val="3"/>
          <c:order val="2"/>
          <c:spPr>
            <a:ln>
              <a:solidFill>
                <a:srgbClr val="FFFF00"/>
              </a:solidFill>
            </a:ln>
          </c:spPr>
          <c:marker>
            <c:symbol val="none"/>
          </c:marker>
          <c:xVal>
            <c:numRef>
              <c:f>'Bioequivalence, Replicate'!$Z$19:$Z$20</c:f>
              <c:numCache>
                <c:formatCode>General</c:formatCode>
                <c:ptCount val="2"/>
                <c:pt idx="0">
                  <c:v>1.4936462642166202</c:v>
                </c:pt>
                <c:pt idx="1">
                  <c:v>1.4936462642166202</c:v>
                </c:pt>
              </c:numCache>
            </c:numRef>
          </c:xVal>
          <c:yVal>
            <c:numRef>
              <c:f>'Bioequivalence, Replicate'!$AA$19:$AA$20</c:f>
              <c:numCache>
                <c:formatCode>General</c:formatCode>
                <c:ptCount val="2"/>
                <c:pt idx="0">
                  <c:v>0</c:v>
                </c:pt>
                <c:pt idx="1">
                  <c:v>0</c:v>
                </c:pt>
              </c:numCache>
            </c:numRef>
          </c:yVal>
          <c:smooth val="0"/>
          <c:extLst>
            <c:ext xmlns:c16="http://schemas.microsoft.com/office/drawing/2014/chart" uri="{C3380CC4-5D6E-409C-BE32-E72D297353CC}">
              <c16:uniqueId val="{00000002-5FC6-44B6-918B-0AF045740BA7}"/>
            </c:ext>
          </c:extLst>
        </c:ser>
        <c:ser>
          <c:idx val="6"/>
          <c:order val="3"/>
          <c:spPr>
            <a:ln>
              <a:solidFill>
                <a:srgbClr val="FFFF00"/>
              </a:solidFill>
            </a:ln>
          </c:spPr>
          <c:marker>
            <c:symbol val="none"/>
          </c:marker>
          <c:xVal>
            <c:numRef>
              <c:f>'Bioequivalence, Replicate'!$AD$16:$AD$17</c:f>
              <c:numCache>
                <c:formatCode>General</c:formatCode>
                <c:ptCount val="2"/>
                <c:pt idx="0">
                  <c:v>-1.2639867511391212</c:v>
                </c:pt>
                <c:pt idx="1">
                  <c:v>-1.2639867511391212</c:v>
                </c:pt>
              </c:numCache>
            </c:numRef>
          </c:xVal>
          <c:yVal>
            <c:numRef>
              <c:f>'Bioequivalence, Replicate'!$AE$16:$AE$17</c:f>
              <c:numCache>
                <c:formatCode>General</c:formatCode>
                <c:ptCount val="2"/>
                <c:pt idx="0">
                  <c:v>0</c:v>
                </c:pt>
                <c:pt idx="1">
                  <c:v>0.61372245947377413</c:v>
                </c:pt>
              </c:numCache>
            </c:numRef>
          </c:yVal>
          <c:smooth val="0"/>
          <c:extLst>
            <c:ext xmlns:c16="http://schemas.microsoft.com/office/drawing/2014/chart" uri="{C3380CC4-5D6E-409C-BE32-E72D297353CC}">
              <c16:uniqueId val="{00000003-5FC6-44B6-918B-0AF045740BA7}"/>
            </c:ext>
          </c:extLst>
        </c:ser>
        <c:ser>
          <c:idx val="7"/>
          <c:order val="4"/>
          <c:spPr>
            <a:ln>
              <a:solidFill>
                <a:srgbClr val="FFFF00"/>
              </a:solidFill>
            </a:ln>
          </c:spPr>
          <c:marker>
            <c:symbol val="none"/>
          </c:marker>
          <c:xVal>
            <c:numRef>
              <c:f>'Bioequivalence, Replicate'!$AD$19:$AD$20</c:f>
              <c:numCache>
                <c:formatCode>General</c:formatCode>
                <c:ptCount val="2"/>
                <c:pt idx="0">
                  <c:v>3.063986751139121</c:v>
                </c:pt>
                <c:pt idx="1">
                  <c:v>3.063986751139121</c:v>
                </c:pt>
              </c:numCache>
            </c:numRef>
          </c:xVal>
          <c:yVal>
            <c:numRef>
              <c:f>'Bioequivalence, Replicate'!$AE$19:$AE$20</c:f>
              <c:numCache>
                <c:formatCode>General</c:formatCode>
                <c:ptCount val="2"/>
                <c:pt idx="0">
                  <c:v>0</c:v>
                </c:pt>
                <c:pt idx="1">
                  <c:v>0.61372245947377413</c:v>
                </c:pt>
              </c:numCache>
            </c:numRef>
          </c:yVal>
          <c:smooth val="0"/>
          <c:extLst>
            <c:ext xmlns:c16="http://schemas.microsoft.com/office/drawing/2014/chart" uri="{C3380CC4-5D6E-409C-BE32-E72D297353CC}">
              <c16:uniqueId val="{00000004-5FC6-44B6-918B-0AF045740BA7}"/>
            </c:ext>
          </c:extLst>
        </c:ser>
        <c:ser>
          <c:idx val="10"/>
          <c:order val="5"/>
          <c:spPr>
            <a:ln>
              <a:solidFill>
                <a:srgbClr val="FF0000"/>
              </a:solidFill>
            </a:ln>
          </c:spPr>
          <c:marker>
            <c:symbol val="none"/>
          </c:marker>
          <c:xVal>
            <c:numRef>
              <c:f>'Bioequivalence, Replicate'!$Z$32:$Z$33</c:f>
              <c:numCache>
                <c:formatCode>0.0%</c:formatCode>
                <c:ptCount val="2"/>
                <c:pt idx="0">
                  <c:v>0.8</c:v>
                </c:pt>
                <c:pt idx="1">
                  <c:v>0.8</c:v>
                </c:pt>
              </c:numCache>
            </c:numRef>
          </c:xVal>
          <c:yVal>
            <c:numRef>
              <c:f>'Bioequivalence, Replicate'!$AA$32:$AA$33</c:f>
              <c:numCache>
                <c:formatCode>General</c:formatCode>
                <c:ptCount val="2"/>
                <c:pt idx="0">
                  <c:v>0</c:v>
                </c:pt>
                <c:pt idx="1">
                  <c:v>0.61372245947377413</c:v>
                </c:pt>
              </c:numCache>
            </c:numRef>
          </c:yVal>
          <c:smooth val="0"/>
          <c:extLst>
            <c:ext xmlns:c16="http://schemas.microsoft.com/office/drawing/2014/chart" uri="{C3380CC4-5D6E-409C-BE32-E72D297353CC}">
              <c16:uniqueId val="{00000005-5FC6-44B6-918B-0AF045740BA7}"/>
            </c:ext>
          </c:extLst>
        </c:ser>
        <c:ser>
          <c:idx val="11"/>
          <c:order val="6"/>
          <c:spPr>
            <a:ln>
              <a:solidFill>
                <a:srgbClr val="FF0000"/>
              </a:solidFill>
            </a:ln>
          </c:spPr>
          <c:marker>
            <c:symbol val="none"/>
          </c:marker>
          <c:xVal>
            <c:numRef>
              <c:f>'Bioequivalence, Replicate'!$Z$35:$Z$36</c:f>
              <c:numCache>
                <c:formatCode>0.0%</c:formatCode>
                <c:ptCount val="2"/>
                <c:pt idx="0">
                  <c:v>1.25</c:v>
                </c:pt>
                <c:pt idx="1">
                  <c:v>1.25</c:v>
                </c:pt>
              </c:numCache>
            </c:numRef>
          </c:xVal>
          <c:yVal>
            <c:numRef>
              <c:f>'Bioequivalence, Replicate'!$AA$35:$AA$36</c:f>
              <c:numCache>
                <c:formatCode>General</c:formatCode>
                <c:ptCount val="2"/>
                <c:pt idx="0">
                  <c:v>0</c:v>
                </c:pt>
                <c:pt idx="1">
                  <c:v>0.61372245947377413</c:v>
                </c:pt>
              </c:numCache>
            </c:numRef>
          </c:yVal>
          <c:smooth val="0"/>
          <c:extLst>
            <c:ext xmlns:c16="http://schemas.microsoft.com/office/drawing/2014/chart" uri="{C3380CC4-5D6E-409C-BE32-E72D297353CC}">
              <c16:uniqueId val="{00000006-5FC6-44B6-918B-0AF045740BA7}"/>
            </c:ext>
          </c:extLst>
        </c:ser>
        <c:dLbls>
          <c:showLegendKey val="0"/>
          <c:showVal val="0"/>
          <c:showCatName val="0"/>
          <c:showSerName val="0"/>
          <c:showPercent val="0"/>
          <c:showBubbleSize val="0"/>
        </c:dLbls>
        <c:axId val="-2127348472"/>
        <c:axId val="-2127345288"/>
      </c:scatterChart>
      <c:valAx>
        <c:axId val="-2127348472"/>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127345288"/>
        <c:crosses val="autoZero"/>
        <c:crossBetween val="midCat"/>
        <c:majorUnit val="0.2"/>
        <c:minorUnit val="0.1"/>
      </c:valAx>
      <c:valAx>
        <c:axId val="-212734528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7348472"/>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Y$13" lockText="1"/>
</file>

<file path=xl/ctrlProps/ctrlProp4.xml><?xml version="1.0" encoding="utf-8"?>
<formControlPr xmlns="http://schemas.microsoft.com/office/spreadsheetml/2009/9/main" objectType="CheckBox" fmlaLink="$AC$13" lockText="1"/>
</file>

<file path=xl/ctrlProps/ctrlProp5.xml><?xml version="1.0" encoding="utf-8"?>
<formControlPr xmlns="http://schemas.microsoft.com/office/spreadsheetml/2009/9/main" objectType="CheckBox" checked="Checked" fmlaLink="$Y$29"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Y$13" lockText="1"/>
</file>

<file path=xl/ctrlProps/ctrlProp9.xml><?xml version="1.0" encoding="utf-8"?>
<formControlPr xmlns="http://schemas.microsoft.com/office/spreadsheetml/2009/9/main" objectType="CheckBox" fmlaLink="$AC$13" lockText="1"/>
</file>

<file path=xl/ctrlProps/ctrlProp10.xml><?xml version="1.0" encoding="utf-8"?>
<formControlPr xmlns="http://schemas.microsoft.com/office/spreadsheetml/2009/9/main" objectType="CheckBox" checked="Checked" fmlaLink="$Y$29"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CheckBox" checked="Checked" fmlaLink="$Y$13" lockText="1"/>
</file>

<file path=xl/ctrlProps/ctrlProp14.xml><?xml version="1.0" encoding="utf-8"?>
<formControlPr xmlns="http://schemas.microsoft.com/office/spreadsheetml/2009/9/main" objectType="CheckBox" fmlaLink="$AC$13" lockText="1"/>
</file>

<file path=xl/ctrlProps/ctrlProp15.xml><?xml version="1.0" encoding="utf-8"?>
<formControlPr xmlns="http://schemas.microsoft.com/office/spreadsheetml/2009/9/main" objectType="CheckBox" checked="Checked" fmlaLink="$Y$29"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CheckBox" checked="Checked" fmlaLink="$Y$13" lockText="1"/>
</file>

<file path=xl/ctrlProps/ctrlProp19.xml><?xml version="1.0" encoding="utf-8"?>
<formControlPr xmlns="http://schemas.microsoft.com/office/spreadsheetml/2009/9/main" objectType="CheckBox" fmlaLink="$AC$13" lockText="1"/>
</file>

<file path=xl/ctrlProps/ctrlProp20.xml><?xml version="1.0" encoding="utf-8"?>
<formControlPr xmlns="http://schemas.microsoft.com/office/spreadsheetml/2009/9/main" objectType="CheckBox" checked="Checked" fmlaLink="$Y$29"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checked="Checked" fmlaLink="$Y$13" lockText="1"/>
</file>

<file path=xl/ctrlProps/ctrlProp24.xml><?xml version="1.0" encoding="utf-8"?>
<formControlPr xmlns="http://schemas.microsoft.com/office/spreadsheetml/2009/9/main" objectType="CheckBox" fmlaLink="$AC$13" lockText="1"/>
</file>

<file path=xl/ctrlProps/ctrlProp25.xml><?xml version="1.0" encoding="utf-8"?>
<formControlPr xmlns="http://schemas.microsoft.com/office/spreadsheetml/2009/9/main" objectType="CheckBox" checked="Checked" fmlaLink="$Y$29"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CheckBox" checked="Checked" fmlaLink="$Y$13" lockText="1"/>
</file>

<file path=xl/ctrlProps/ctrlProp29.xml><?xml version="1.0" encoding="utf-8"?>
<formControlPr xmlns="http://schemas.microsoft.com/office/spreadsheetml/2009/9/main" objectType="CheckBox" fmlaLink="$AC$13" lockText="1"/>
</file>

<file path=xl/ctrlProps/ctrlProp30.xml><?xml version="1.0" encoding="utf-8"?>
<formControlPr xmlns="http://schemas.microsoft.com/office/spreadsheetml/2009/9/main" objectType="CheckBox" checked="Checked" fmlaLink="$Y$29"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CheckBox" fmlaLink="$Y$13" lockText="1"/>
</file>

<file path=xl/ctrlProps/ctrlProp36.xml><?xml version="1.0" encoding="utf-8"?>
<formControlPr xmlns="http://schemas.microsoft.com/office/spreadsheetml/2009/9/main" objectType="CheckBox" checked="Checked" fmlaLink="$AC$13" lockText="1"/>
</file>

<file path=xl/ctrlProps/ctrlProp37.xml><?xml version="1.0" encoding="utf-8"?>
<formControlPr xmlns="http://schemas.microsoft.com/office/spreadsheetml/2009/9/main" objectType="CheckBox" checked="Checked" fmlaLink="$Y$29"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CheckBox" fmlaLink="$Y$13" lockText="1"/>
</file>

<file path=xl/ctrlProps/ctrlProp43.xml><?xml version="1.0" encoding="utf-8"?>
<formControlPr xmlns="http://schemas.microsoft.com/office/spreadsheetml/2009/9/main" objectType="CheckBox" checked="Checked" fmlaLink="$AC$13" lockText="1"/>
</file>

<file path=xl/ctrlProps/ctrlProp44.xml><?xml version="1.0" encoding="utf-8"?>
<formControlPr xmlns="http://schemas.microsoft.com/office/spreadsheetml/2009/9/main" objectType="CheckBox" checked="Checked" fmlaLink="$Y$29"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CheckBox" fmlaLink="$Y$13" lockText="1"/>
</file>

<file path=xl/ctrlProps/ctrlProp50.xml><?xml version="1.0" encoding="utf-8"?>
<formControlPr xmlns="http://schemas.microsoft.com/office/spreadsheetml/2009/9/main" objectType="CheckBox" checked="Checked" fmlaLink="$AC$13" lockText="1"/>
</file>

<file path=xl/ctrlProps/ctrlProp51.xml><?xml version="1.0" encoding="utf-8"?>
<formControlPr xmlns="http://schemas.microsoft.com/office/spreadsheetml/2009/9/main" objectType="CheckBox" checked="Checked" fmlaLink="$Y$29" lockText="1"/>
</file>

<file path=xl/ctrlProps/ctrlProp52.xml><?xml version="1.0" encoding="utf-8"?>
<formControlPr xmlns="http://schemas.microsoft.com/office/spreadsheetml/2009/9/main" objectType="Drop" dropLines="61" dropStyle="combo" dx="19" fmlaLink="$Y$5" fmlaRange="$Y$2:$Y$4" sel="3" val="0"/>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https://bebac.at/" TargetMode="External"/><Relationship Id="rId2" Type="http://schemas.openxmlformats.org/officeDocument/2006/relationships/hyperlink" Target="https://github.com/dndubins/FARTSSIE" TargetMode="External"/><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w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chart" Target="../charts/chart1.xml"/><Relationship Id="rId5" Type="http://schemas.openxmlformats.org/officeDocument/2006/relationships/image" Target="../media/image6.emf"/><Relationship Id="rId4" Type="http://schemas.openxmlformats.org/officeDocument/2006/relationships/image" Target="../media/image5.emf"/></Relationships>
</file>

<file path=xl/drawings/_rels/drawing3.xml.rels><?xml version="1.0" encoding="UTF-8" standalone="yes"?>
<Relationships xmlns="http://schemas.openxmlformats.org/package/2006/relationships"><Relationship Id="rId3" Type="http://schemas.openxmlformats.org/officeDocument/2006/relationships/image" Target="../media/image4.wmf"/><Relationship Id="rId2" Type="http://schemas.openxmlformats.org/officeDocument/2006/relationships/image" Target="../media/image3.emf"/><Relationship Id="rId1" Type="http://schemas.openxmlformats.org/officeDocument/2006/relationships/image" Target="../media/image7.emf"/><Relationship Id="rId5" Type="http://schemas.openxmlformats.org/officeDocument/2006/relationships/chart" Target="../charts/chart2.xml"/><Relationship Id="rId4" Type="http://schemas.openxmlformats.org/officeDocument/2006/relationships/image" Target="../media/image8.emf"/></Relationships>
</file>

<file path=xl/drawings/_rels/drawing4.xml.rels><?xml version="1.0" encoding="UTF-8" standalone="yes"?>
<Relationships xmlns="http://schemas.openxmlformats.org/package/2006/relationships"><Relationship Id="rId3" Type="http://schemas.openxmlformats.org/officeDocument/2006/relationships/image" Target="../media/image11.emf"/><Relationship Id="rId7" Type="http://schemas.openxmlformats.org/officeDocument/2006/relationships/chart" Target="../charts/chart3.xml"/><Relationship Id="rId2" Type="http://schemas.openxmlformats.org/officeDocument/2006/relationships/image" Target="../media/image10.emf"/><Relationship Id="rId1" Type="http://schemas.openxmlformats.org/officeDocument/2006/relationships/image" Target="../media/image9.emf"/><Relationship Id="rId6" Type="http://schemas.openxmlformats.org/officeDocument/2006/relationships/image" Target="../media/image14.emf"/><Relationship Id="rId5" Type="http://schemas.openxmlformats.org/officeDocument/2006/relationships/image" Target="../media/image13.emf"/><Relationship Id="rId4" Type="http://schemas.openxmlformats.org/officeDocument/2006/relationships/image" Target="../media/image12.emf"/></Relationships>
</file>

<file path=xl/drawings/_rels/drawing5.xml.rels><?xml version="1.0" encoding="UTF-8" standalone="yes"?>
<Relationships xmlns="http://schemas.openxmlformats.org/package/2006/relationships"><Relationship Id="rId3" Type="http://schemas.openxmlformats.org/officeDocument/2006/relationships/image" Target="../media/image12.emf"/><Relationship Id="rId7" Type="http://schemas.openxmlformats.org/officeDocument/2006/relationships/chart" Target="../charts/chart4.xml"/><Relationship Id="rId2" Type="http://schemas.openxmlformats.org/officeDocument/2006/relationships/image" Target="../media/image11.emf"/><Relationship Id="rId1" Type="http://schemas.openxmlformats.org/officeDocument/2006/relationships/image" Target="../media/image15.emf"/><Relationship Id="rId6" Type="http://schemas.openxmlformats.org/officeDocument/2006/relationships/image" Target="../media/image17.emf"/><Relationship Id="rId5" Type="http://schemas.openxmlformats.org/officeDocument/2006/relationships/image" Target="../media/image16.emf"/><Relationship Id="rId4" Type="http://schemas.openxmlformats.org/officeDocument/2006/relationships/image" Target="../media/image10.emf"/></Relationships>
</file>

<file path=xl/drawings/_rels/drawing6.x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5" Type="http://schemas.openxmlformats.org/officeDocument/2006/relationships/image" Target="../media/image22.emf"/><Relationship Id="rId4" Type="http://schemas.openxmlformats.org/officeDocument/2006/relationships/image" Target="../media/image21.emf"/><Relationship Id="rId9" Type="http://schemas.openxmlformats.org/officeDocument/2006/relationships/chart" Target="../charts/chart5.xml"/></Relationships>
</file>

<file path=xl/drawings/_rels/drawing7.xml.rels><?xml version="1.0" encoding="UTF-8" standalone="yes"?>
<Relationships xmlns="http://schemas.openxmlformats.org/package/2006/relationships"><Relationship Id="rId3" Type="http://schemas.openxmlformats.org/officeDocument/2006/relationships/image" Target="../media/image20.emf"/><Relationship Id="rId7" Type="http://schemas.openxmlformats.org/officeDocument/2006/relationships/chart" Target="../charts/chart6.xml"/><Relationship Id="rId2" Type="http://schemas.openxmlformats.org/officeDocument/2006/relationships/image" Target="../media/image27.emf"/><Relationship Id="rId1" Type="http://schemas.openxmlformats.org/officeDocument/2006/relationships/image" Target="../media/image26.emf"/><Relationship Id="rId6" Type="http://schemas.openxmlformats.org/officeDocument/2006/relationships/image" Target="../media/image28.emf"/><Relationship Id="rId5" Type="http://schemas.openxmlformats.org/officeDocument/2006/relationships/image" Target="../media/image22.emf"/><Relationship Id="rId4" Type="http://schemas.openxmlformats.org/officeDocument/2006/relationships/image" Target="../media/image21.emf"/></Relationships>
</file>

<file path=xl/drawings/_rels/drawing8.xml.rels><?xml version="1.0" encoding="UTF-8" standalone="yes"?>
<Relationships xmlns="http://schemas.openxmlformats.org/package/2006/relationships"><Relationship Id="rId8" Type="http://schemas.openxmlformats.org/officeDocument/2006/relationships/image" Target="../media/image35.png"/><Relationship Id="rId3" Type="http://schemas.openxmlformats.org/officeDocument/2006/relationships/image" Target="../media/image30.emf"/><Relationship Id="rId7" Type="http://schemas.openxmlformats.org/officeDocument/2006/relationships/image" Target="../media/image34.png"/><Relationship Id="rId2" Type="http://schemas.openxmlformats.org/officeDocument/2006/relationships/chart" Target="../charts/chart7.xml"/><Relationship Id="rId1" Type="http://schemas.openxmlformats.org/officeDocument/2006/relationships/image" Target="../media/image29.emf"/><Relationship Id="rId6" Type="http://schemas.openxmlformats.org/officeDocument/2006/relationships/image" Target="../media/image33.emf"/><Relationship Id="rId5" Type="http://schemas.openxmlformats.org/officeDocument/2006/relationships/image" Target="../media/image32.emf"/><Relationship Id="rId4" Type="http://schemas.openxmlformats.org/officeDocument/2006/relationships/image" Target="../media/image31.emf"/><Relationship Id="rId9" Type="http://schemas.openxmlformats.org/officeDocument/2006/relationships/image" Target="../media/image36.png"/></Relationships>
</file>

<file path=xl/drawings/_rels/drawing9.xml.rels><?xml version="1.0" encoding="UTF-8" standalone="yes"?>
<Relationships xmlns="http://schemas.openxmlformats.org/package/2006/relationships"><Relationship Id="rId3" Type="http://schemas.openxmlformats.org/officeDocument/2006/relationships/image" Target="../media/image32.emf"/><Relationship Id="rId2" Type="http://schemas.openxmlformats.org/officeDocument/2006/relationships/image" Target="../media/image29.emf"/><Relationship Id="rId1" Type="http://schemas.openxmlformats.org/officeDocument/2006/relationships/image" Target="../media/image37.emf"/><Relationship Id="rId6" Type="http://schemas.openxmlformats.org/officeDocument/2006/relationships/chart" Target="../charts/chart8.xml"/><Relationship Id="rId5" Type="http://schemas.openxmlformats.org/officeDocument/2006/relationships/image" Target="../media/image39.emf"/><Relationship Id="rId4" Type="http://schemas.openxmlformats.org/officeDocument/2006/relationships/image" Target="../media/image38.emf"/></Relationships>
</file>

<file path=xl/drawings/_rels/drawing10.xml.rels><?xml version="1.0" encoding="UTF-8" standalone="yes"?>
<Relationships xmlns="http://schemas.openxmlformats.org/package/2006/relationships"><Relationship Id="rId8" Type="http://schemas.openxmlformats.org/officeDocument/2006/relationships/image" Target="../media/image43.emf"/><Relationship Id="rId3" Type="http://schemas.openxmlformats.org/officeDocument/2006/relationships/image" Target="../media/image32.emf"/><Relationship Id="rId7" Type="http://schemas.openxmlformats.org/officeDocument/2006/relationships/image" Target="../media/image42.emf"/><Relationship Id="rId2" Type="http://schemas.openxmlformats.org/officeDocument/2006/relationships/image" Target="../media/image29.emf"/><Relationship Id="rId1" Type="http://schemas.openxmlformats.org/officeDocument/2006/relationships/image" Target="../media/image37.emf"/><Relationship Id="rId6" Type="http://schemas.openxmlformats.org/officeDocument/2006/relationships/image" Target="../media/image41.emf"/><Relationship Id="rId5" Type="http://schemas.openxmlformats.org/officeDocument/2006/relationships/image" Target="../media/image40.emf"/><Relationship Id="rId4" Type="http://schemas.openxmlformats.org/officeDocument/2006/relationships/chart" Target="../charts/chart9.xml"/><Relationship Id="rId9" Type="http://schemas.openxmlformats.org/officeDocument/2006/relationships/image" Target="../media/image44.emf"/></Relationships>
</file>

<file path=xl/drawings/_rels/drawing13.xml.rels><?xml version="1.0" encoding="UTF-8" standalone="yes"?>
<Relationships xmlns="http://schemas.openxmlformats.org/package/2006/relationships"><Relationship Id="rId8" Type="http://schemas.openxmlformats.org/officeDocument/2006/relationships/image" Target="../media/image53.emf"/><Relationship Id="rId13" Type="http://schemas.openxmlformats.org/officeDocument/2006/relationships/image" Target="../media/image58.emf"/><Relationship Id="rId3" Type="http://schemas.openxmlformats.org/officeDocument/2006/relationships/image" Target="../media/image48.emf"/><Relationship Id="rId7" Type="http://schemas.openxmlformats.org/officeDocument/2006/relationships/image" Target="../media/image52.emf"/><Relationship Id="rId12" Type="http://schemas.openxmlformats.org/officeDocument/2006/relationships/image" Target="../media/image57.emf"/><Relationship Id="rId2" Type="http://schemas.openxmlformats.org/officeDocument/2006/relationships/image" Target="../media/image47.emf"/><Relationship Id="rId1" Type="http://schemas.openxmlformats.org/officeDocument/2006/relationships/image" Target="../media/image46.emf"/><Relationship Id="rId6" Type="http://schemas.openxmlformats.org/officeDocument/2006/relationships/image" Target="../media/image51.emf"/><Relationship Id="rId11" Type="http://schemas.openxmlformats.org/officeDocument/2006/relationships/image" Target="../media/image56.emf"/><Relationship Id="rId5" Type="http://schemas.openxmlformats.org/officeDocument/2006/relationships/image" Target="../media/image50.emf"/><Relationship Id="rId10" Type="http://schemas.openxmlformats.org/officeDocument/2006/relationships/image" Target="../media/image55.emf"/><Relationship Id="rId4" Type="http://schemas.openxmlformats.org/officeDocument/2006/relationships/image" Target="../media/image49.emf"/><Relationship Id="rId9" Type="http://schemas.openxmlformats.org/officeDocument/2006/relationships/image" Target="../media/image54.emf"/></Relationships>
</file>

<file path=xl/drawings/_rels/drawing14.x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0.emf"/><Relationship Id="rId1" Type="http://schemas.openxmlformats.org/officeDocument/2006/relationships/image" Target="../media/image59.emf"/><Relationship Id="rId4" Type="http://schemas.openxmlformats.org/officeDocument/2006/relationships/image" Target="../media/image62.emf"/></Relationships>
</file>

<file path=xl/drawings/_rels/drawing15.xml.rels><?xml version="1.0" encoding="UTF-8" standalone="yes"?>
<Relationships xmlns="http://schemas.openxmlformats.org/package/2006/relationships"><Relationship Id="rId2" Type="http://schemas.openxmlformats.org/officeDocument/2006/relationships/image" Target="../media/image64.emf"/><Relationship Id="rId1" Type="http://schemas.openxmlformats.org/officeDocument/2006/relationships/image" Target="../media/image63.emf"/></Relationships>
</file>

<file path=xl/drawings/_rels/drawing16.xml.rels><?xml version="1.0" encoding="UTF-8" standalone="yes"?>
<Relationships xmlns="http://schemas.openxmlformats.org/package/2006/relationships"><Relationship Id="rId3" Type="http://schemas.openxmlformats.org/officeDocument/2006/relationships/image" Target="../media/image67.png"/><Relationship Id="rId2" Type="http://schemas.openxmlformats.org/officeDocument/2006/relationships/image" Target="../media/image66.png"/><Relationship Id="rId1" Type="http://schemas.openxmlformats.org/officeDocument/2006/relationships/image" Target="../media/image65.png"/><Relationship Id="rId5" Type="http://schemas.openxmlformats.org/officeDocument/2006/relationships/image" Target="../media/image69.emf"/><Relationship Id="rId4" Type="http://schemas.openxmlformats.org/officeDocument/2006/relationships/image" Target="../media/image68.png"/></Relationships>
</file>

<file path=xl/drawings/_rels/drawing17.x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5.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52015</xdr:rowOff>
    </xdr:from>
    <xdr:to>
      <xdr:col>1</xdr:col>
      <xdr:colOff>662940</xdr:colOff>
      <xdr:row>3</xdr:row>
      <xdr:rowOff>21535</xdr:rowOff>
    </xdr:to>
    <xdr:pic>
      <xdr:nvPicPr>
        <xdr:cNvPr id="25871" name="Picture 11">
          <a:extLst>
            <a:ext uri="{FF2B5EF4-FFF2-40B4-BE49-F238E27FC236}">
              <a16:creationId xmlns:a16="http://schemas.microsoft.com/office/drawing/2014/main" id="{00000000-0008-0000-0000-00000F6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64435" y="212145"/>
          <a:ext cx="662940" cy="4775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1</xdr:col>
      <xdr:colOff>16565</xdr:colOff>
      <xdr:row>6</xdr:row>
      <xdr:rowOff>91109</xdr:rowOff>
    </xdr:from>
    <xdr:to>
      <xdr:col>8</xdr:col>
      <xdr:colOff>364435</xdr:colOff>
      <xdr:row>16</xdr:row>
      <xdr:rowOff>82826</xdr:rowOff>
    </xdr:to>
    <xdr:sp macro="" textlink="">
      <xdr:nvSpPr>
        <xdr:cNvPr id="2" name="TextBox 1">
          <a:hlinkClick xmlns:r="http://schemas.openxmlformats.org/officeDocument/2006/relationships" r:id="rId2"/>
          <a:extLst>
            <a:ext uri="{FF2B5EF4-FFF2-40B4-BE49-F238E27FC236}">
              <a16:creationId xmlns:a16="http://schemas.microsoft.com/office/drawing/2014/main" id="{00000000-0008-0000-0000-000002000000}"/>
            </a:ext>
          </a:extLst>
        </xdr:cNvPr>
        <xdr:cNvSpPr txBox="1"/>
      </xdr:nvSpPr>
      <xdr:spPr>
        <a:xfrm>
          <a:off x="356152" y="1267239"/>
          <a:ext cx="4721087" cy="1648239"/>
        </a:xfrm>
        <a:prstGeom prst="rect">
          <a:avLst/>
        </a:prstGeom>
        <a:solidFill>
          <a:schemeClr val="bg1">
            <a:lumMod val="95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rtl="1"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Arial" panose="020B0604020202020204" pitchFamily="34" charset="0"/>
              <a:ea typeface="+mn-ea"/>
              <a:cs typeface="Arial" panose="020B0604020202020204" pitchFamily="34" charset="0"/>
            </a:rPr>
            <a:t>License:</a:t>
          </a:r>
          <a:r>
            <a:rPr lang="en-US" sz="800" b="0" i="0">
              <a:solidFill>
                <a:schemeClr val="dk1"/>
              </a:solidFill>
              <a:effectLst/>
              <a:latin typeface="Arial" panose="020B0604020202020204" pitchFamily="34" charset="0"/>
              <a:ea typeface="+mn-ea"/>
              <a:cs typeface="Arial" panose="020B0604020202020204" pitchFamily="34" charset="0"/>
            </a:rPr>
            <a:t> This spreadsheet is freeware. The user is granted conditional use to copy, duplicate, and distribute provided that the user doesn't remove my name or the identifying information. I would also like to be acknowledged in the event that your clinical trial is published and you used this spreadsheet to calculate the sample size (fame is so much more fun than money). The user of this workbook acknowledges that it is not responsible if study fails, is underpowered, or is overpowered. The user of this workbook acknowledges that sample size estimation is at the very best just that - an estimate. No guarantees are provided on the success of a study, even if the sample size is carefully researched and justified. This workbook is not validated, but has been checked against the examples contained in each spreadsheet in this workbook and against other programs. I am also not responsible in the event that someone modifies this program in such a way to make it non-functional, and then passes it along. To obtain an original copy, please contact me at: d.dubins@utoronto.ca, or</a:t>
          </a:r>
          <a:r>
            <a:rPr lang="en-US" sz="800" b="0" i="0" baseline="0">
              <a:solidFill>
                <a:schemeClr val="dk1"/>
              </a:solidFill>
              <a:effectLst/>
              <a:latin typeface="Arial" panose="020B0604020202020204" pitchFamily="34" charset="0"/>
              <a:ea typeface="+mn-ea"/>
              <a:cs typeface="Arial" panose="020B0604020202020204" pitchFamily="34" charset="0"/>
            </a:rPr>
            <a:t> download from </a:t>
          </a:r>
          <a:r>
            <a:rPr lang="en-US" sz="800" b="0" i="0" u="sng" baseline="0">
              <a:solidFill>
                <a:srgbClr val="0070C0"/>
              </a:solidFill>
              <a:effectLst/>
              <a:latin typeface="Arial" panose="020B0604020202020204" pitchFamily="34" charset="0"/>
              <a:ea typeface="+mn-ea"/>
              <a:cs typeface="Arial" panose="020B0604020202020204" pitchFamily="34" charset="0"/>
            </a:rPr>
            <a:t>https://github.com/dndubins/FARTSSIE</a:t>
          </a:r>
          <a:r>
            <a:rPr lang="en-US" sz="800" b="0" i="0" baseline="0">
              <a:solidFill>
                <a:schemeClr val="dk1"/>
              </a:solidFill>
              <a:effectLst/>
              <a:latin typeface="Arial" panose="020B0604020202020204" pitchFamily="34" charset="0"/>
              <a:ea typeface="+mn-ea"/>
              <a:cs typeface="Arial" panose="020B0604020202020204" pitchFamily="34" charset="0"/>
            </a:rPr>
            <a:t>. </a:t>
          </a:r>
          <a:endParaRPr lang="en-CA" sz="800">
            <a:effectLst/>
            <a:latin typeface="Arial" panose="020B0604020202020204" pitchFamily="34" charset="0"/>
            <a:cs typeface="Arial" panose="020B0604020202020204" pitchFamily="34" charset="0"/>
          </a:endParaRPr>
        </a:p>
        <a:p>
          <a:pPr algn="l"/>
          <a:endParaRPr lang="en-CA" sz="800">
            <a:latin typeface="Arial" panose="020B0604020202020204" pitchFamily="34" charset="0"/>
            <a:cs typeface="Arial" panose="020B0604020202020204" pitchFamily="34" charset="0"/>
          </a:endParaRPr>
        </a:p>
      </xdr:txBody>
    </xdr:sp>
    <xdr:clientData/>
  </xdr:twoCellAnchor>
  <xdr:twoCellAnchor>
    <xdr:from>
      <xdr:col>1</xdr:col>
      <xdr:colOff>16566</xdr:colOff>
      <xdr:row>16</xdr:row>
      <xdr:rowOff>132522</xdr:rowOff>
    </xdr:from>
    <xdr:to>
      <xdr:col>8</xdr:col>
      <xdr:colOff>364436</xdr:colOff>
      <xdr:row>26</xdr:row>
      <xdr:rowOff>124239</xdr:rowOff>
    </xdr:to>
    <xdr:sp macro="" textlink="">
      <xdr:nvSpPr>
        <xdr:cNvPr id="6" name="TextBox 5">
          <a:hlinkClick xmlns:r="http://schemas.openxmlformats.org/officeDocument/2006/relationships" r:id="rId3"/>
          <a:extLst>
            <a:ext uri="{FF2B5EF4-FFF2-40B4-BE49-F238E27FC236}">
              <a16:creationId xmlns:a16="http://schemas.microsoft.com/office/drawing/2014/main" id="{00000000-0008-0000-0000-000006000000}"/>
            </a:ext>
          </a:extLst>
        </xdr:cNvPr>
        <xdr:cNvSpPr txBox="1"/>
      </xdr:nvSpPr>
      <xdr:spPr>
        <a:xfrm>
          <a:off x="356153" y="2965174"/>
          <a:ext cx="4721087" cy="1648239"/>
        </a:xfrm>
        <a:prstGeom prst="rect">
          <a:avLst/>
        </a:prstGeom>
        <a:solidFill>
          <a:schemeClr val="bg1">
            <a:lumMod val="95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1"/>
          <a:r>
            <a:rPr lang="en-US" sz="800" b="0" i="0">
              <a:solidFill>
                <a:schemeClr val="dk1"/>
              </a:solidFill>
              <a:effectLst/>
              <a:latin typeface="Arial" panose="020B0604020202020204" pitchFamily="34" charset="0"/>
              <a:ea typeface="+mn-ea"/>
              <a:cs typeface="Arial" panose="020B0604020202020204" pitchFamily="34" charset="0"/>
            </a:rPr>
            <a:t>I would like to very warmly thank the the following people for making this workbook possible:</a:t>
          </a:r>
        </a:p>
        <a:p>
          <a:pPr algn="l" rtl="1"/>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BEBAC Ing. Helmut Schütz</a:t>
          </a:r>
          <a:br>
            <a:rPr lang="en-US" sz="800" b="0" i="0">
              <a:solidFill>
                <a:schemeClr val="dk1"/>
              </a:solidFill>
              <a:effectLst/>
              <a:latin typeface="Arial" panose="020B0604020202020204" pitchFamily="34" charset="0"/>
              <a:ea typeface="+mn-ea"/>
              <a:cs typeface="Arial" panose="020B0604020202020204" pitchFamily="34" charset="0"/>
            </a:rPr>
          </a:br>
          <a:r>
            <a:rPr lang="en-US" sz="800" b="0" i="0">
              <a:solidFill>
                <a:schemeClr val="dk1"/>
              </a:solidFill>
              <a:effectLst/>
              <a:latin typeface="Arial" panose="020B0604020202020204" pitchFamily="34" charset="0"/>
              <a:ea typeface="+mn-ea"/>
              <a:cs typeface="Arial" panose="020B0604020202020204" pitchFamily="34" charset="0"/>
            </a:rPr>
            <a:t>Consultancy Services for Bioequivalence and Bioavailability Studies</a:t>
          </a:r>
          <a:endParaRPr lang="en-CA" sz="800">
            <a:effectLst/>
            <a:latin typeface="Arial" panose="020B0604020202020204" pitchFamily="34" charset="0"/>
            <a:cs typeface="Arial" panose="020B0604020202020204" pitchFamily="34" charset="0"/>
          </a:endParaRPr>
        </a:p>
        <a:p>
          <a:pPr algn="l" rtl="1"/>
          <a:endParaRPr lang="en-CA" sz="800">
            <a:solidFill>
              <a:schemeClr val="dk1"/>
            </a:solidFill>
            <a:effectLst/>
            <a:latin typeface="Arial" panose="020B0604020202020204" pitchFamily="34" charset="0"/>
            <a:ea typeface="+mn-ea"/>
            <a:cs typeface="Arial" panose="020B0604020202020204" pitchFamily="34" charset="0"/>
          </a:endParaRPr>
        </a:p>
        <a:p>
          <a:pPr algn="l" rtl="1"/>
          <a:r>
            <a:rPr lang="en-CA" sz="800" u="sng">
              <a:solidFill>
                <a:srgbClr val="0070C0"/>
              </a:solidFill>
              <a:effectLst/>
              <a:latin typeface="Arial" panose="020B0604020202020204" pitchFamily="34" charset="0"/>
              <a:ea typeface="+mn-ea"/>
              <a:cs typeface="Arial" panose="020B0604020202020204" pitchFamily="34" charset="0"/>
            </a:rPr>
            <a:t>BEBAC • Consultancy Services for Bioequivalence and Bioavailability Studies • Helmut Schütz</a:t>
          </a:r>
          <a:endParaRPr lang="en-CA" sz="800" u="sng">
            <a:solidFill>
              <a:srgbClr val="0070C0"/>
            </a:solidFill>
            <a:effectLst/>
            <a:latin typeface="Arial" panose="020B0604020202020204" pitchFamily="34" charset="0"/>
            <a:cs typeface="Arial" panose="020B0604020202020204" pitchFamily="34" charset="0"/>
          </a:endParaRPr>
        </a:p>
        <a:p>
          <a:pPr algn="l" rtl="1"/>
          <a:endParaRPr lang="en-US" sz="800" b="0" i="0">
            <a:solidFill>
              <a:schemeClr val="dk1"/>
            </a:solidFill>
            <a:effectLst/>
            <a:latin typeface="Arial" panose="020B0604020202020204" pitchFamily="34" charset="0"/>
            <a:ea typeface="+mn-ea"/>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Russell V. Lenth, Professor</a:t>
          </a:r>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Department of Statistics &amp; Actuarial Science </a:t>
          </a:r>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The University of Iowa, Iowa City, IA 52242  USA</a:t>
          </a:r>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http://www.stat.uiowa.edu/~rlenth/</a:t>
          </a:r>
          <a:endParaRPr lang="en-CA" sz="800">
            <a:effectLst/>
            <a:latin typeface="Arial" panose="020B0604020202020204" pitchFamily="34" charset="0"/>
            <a:cs typeface="Arial" panose="020B0604020202020204" pitchFamily="34" charset="0"/>
          </a:endParaRPr>
        </a:p>
        <a:p>
          <a:pPr algn="l" rtl="1"/>
          <a:endParaRPr lang="en-US" sz="800" b="0" i="0">
            <a:solidFill>
              <a:schemeClr val="dk1"/>
            </a:solidFill>
            <a:effectLst/>
            <a:latin typeface="Arial" panose="020B0604020202020204" pitchFamily="34" charset="0"/>
            <a:ea typeface="+mn-ea"/>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In fond memory of: Richard Moisan, Laszlo Endrenyi</a:t>
          </a:r>
          <a:endParaRPr lang="en-CA" sz="800">
            <a:effectLst/>
            <a:latin typeface="Arial" panose="020B0604020202020204" pitchFamily="34" charset="0"/>
            <a:cs typeface="Arial" panose="020B0604020202020204" pitchFamily="34" charset="0"/>
          </a:endParaRPr>
        </a:p>
        <a:p>
          <a:pPr algn="l"/>
          <a:endParaRPr lang="en-CA" sz="800">
            <a:latin typeface="Arial" panose="020B0604020202020204" pitchFamily="34" charset="0"/>
            <a:cs typeface="Arial" panose="020B06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85240</xdr:colOff>
      <xdr:row>25</xdr:row>
      <xdr:rowOff>121301</xdr:rowOff>
    </xdr:from>
    <xdr:to>
      <xdr:col>8</xdr:col>
      <xdr:colOff>594035</xdr:colOff>
      <xdr:row>30</xdr:row>
      <xdr:rowOff>131731</xdr:rowOff>
    </xdr:to>
    <xdr:pic>
      <xdr:nvPicPr>
        <xdr:cNvPr id="11706" name="Picture 4">
          <a:extLst>
            <a:ext uri="{FF2B5EF4-FFF2-40B4-BE49-F238E27FC236}">
              <a16:creationId xmlns:a16="http://schemas.microsoft.com/office/drawing/2014/main" id="{00000000-0008-0000-0100-0000BA2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8490" r="23749" b="10378"/>
        <a:stretch>
          <a:fillRect/>
        </a:stretch>
      </xdr:blipFill>
      <xdr:spPr bwMode="auto">
        <a:xfrm>
          <a:off x="434193" y="4864217"/>
          <a:ext cx="5817336" cy="868819"/>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80565</xdr:colOff>
      <xdr:row>31</xdr:row>
      <xdr:rowOff>73952</xdr:rowOff>
    </xdr:from>
    <xdr:to>
      <xdr:col>12</xdr:col>
      <xdr:colOff>474793</xdr:colOff>
      <xdr:row>34</xdr:row>
      <xdr:rowOff>155149</xdr:rowOff>
    </xdr:to>
    <xdr:pic>
      <xdr:nvPicPr>
        <xdr:cNvPr id="11707" name="Picture 8">
          <a:extLst>
            <a:ext uri="{FF2B5EF4-FFF2-40B4-BE49-F238E27FC236}">
              <a16:creationId xmlns:a16="http://schemas.microsoft.com/office/drawing/2014/main" id="{00000000-0008-0000-0100-0000BB2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29518" y="5842363"/>
          <a:ext cx="8217209" cy="593945"/>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5</xdr:col>
      <xdr:colOff>480934</xdr:colOff>
      <xdr:row>22</xdr:row>
      <xdr:rowOff>114925</xdr:rowOff>
    </xdr:from>
    <xdr:to>
      <xdr:col>13</xdr:col>
      <xdr:colOff>16364</xdr:colOff>
      <xdr:row>26</xdr:row>
      <xdr:rowOff>107305</xdr:rowOff>
    </xdr:to>
    <xdr:pic>
      <xdr:nvPicPr>
        <xdr:cNvPr id="11708" name="Picture 11">
          <a:extLst>
            <a:ext uri="{FF2B5EF4-FFF2-40B4-BE49-F238E27FC236}">
              <a16:creationId xmlns:a16="http://schemas.microsoft.com/office/drawing/2014/main" id="{00000000-0008-0000-0100-0000BC2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3937" t="7990" r="8409" b="62759"/>
        <a:stretch>
          <a:fillRect/>
        </a:stretch>
      </xdr:blipFill>
      <xdr:spPr bwMode="auto">
        <a:xfrm>
          <a:off x="4172262" y="4224728"/>
          <a:ext cx="4532151" cy="748134"/>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275569</xdr:colOff>
      <xdr:row>37</xdr:row>
      <xdr:rowOff>108180</xdr:rowOff>
    </xdr:from>
    <xdr:to>
      <xdr:col>13</xdr:col>
      <xdr:colOff>285094</xdr:colOff>
      <xdr:row>55</xdr:row>
      <xdr:rowOff>1281</xdr:rowOff>
    </xdr:to>
    <xdr:pic>
      <xdr:nvPicPr>
        <xdr:cNvPr id="11709" name="Picture 15">
          <a:extLst>
            <a:ext uri="{FF2B5EF4-FFF2-40B4-BE49-F238E27FC236}">
              <a16:creationId xmlns:a16="http://schemas.microsoft.com/office/drawing/2014/main" id="{00000000-0008-0000-0100-0000BD2D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75569" y="6878737"/>
          <a:ext cx="8779489" cy="2943069"/>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313045</xdr:colOff>
      <xdr:row>55</xdr:row>
      <xdr:rowOff>13617</xdr:rowOff>
    </xdr:from>
    <xdr:to>
      <xdr:col>13</xdr:col>
      <xdr:colOff>210175</xdr:colOff>
      <xdr:row>64</xdr:row>
      <xdr:rowOff>134850</xdr:rowOff>
    </xdr:to>
    <xdr:pic>
      <xdr:nvPicPr>
        <xdr:cNvPr id="11710" name="Picture 16">
          <a:extLst>
            <a:ext uri="{FF2B5EF4-FFF2-40B4-BE49-F238E27FC236}">
              <a16:creationId xmlns:a16="http://schemas.microsoft.com/office/drawing/2014/main" id="{00000000-0008-0000-0100-0000BE2D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3045" y="9844666"/>
          <a:ext cx="8657569" cy="1635177"/>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100-000002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21</xdr:row>
          <xdr:rowOff>76200</xdr:rowOff>
        </xdr:from>
        <xdr:to>
          <xdr:col>4</xdr:col>
          <xdr:colOff>219075</xdr:colOff>
          <xdr:row>23</xdr:row>
          <xdr:rowOff>28575</xdr:rowOff>
        </xdr:to>
        <xdr:sp macro="" textlink="">
          <xdr:nvSpPr>
            <xdr:cNvPr id="11273" name="Button 9" hidden="1">
              <a:extLst>
                <a:ext uri="{63B3BB69-23CF-44E3-9099-C40C66FF867C}">
                  <a14:compatExt spid="_x0000_s11273"/>
                </a:ext>
                <a:ext uri="{FF2B5EF4-FFF2-40B4-BE49-F238E27FC236}">
                  <a16:creationId xmlns:a16="http://schemas.microsoft.com/office/drawing/2014/main" id="{00000000-0008-0000-0100-000009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576122</xdr:colOff>
      <xdr:row>6</xdr:row>
      <xdr:rowOff>131352</xdr:rowOff>
    </xdr:from>
    <xdr:to>
      <xdr:col>13</xdr:col>
      <xdr:colOff>149652</xdr:colOff>
      <xdr:row>22</xdr:row>
      <xdr:rowOff>49406</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485775</xdr:colOff>
          <xdr:row>7</xdr:row>
          <xdr:rowOff>104775</xdr:rowOff>
        </xdr:from>
        <xdr:to>
          <xdr:col>13</xdr:col>
          <xdr:colOff>28575</xdr:colOff>
          <xdr:row>8</xdr:row>
          <xdr:rowOff>142875</xdr:rowOff>
        </xdr:to>
        <xdr:sp macro="" textlink="">
          <xdr:nvSpPr>
            <xdr:cNvPr id="11276" name="Check Box 12" hidden="1">
              <a:extLst>
                <a:ext uri="{63B3BB69-23CF-44E3-9099-C40C66FF867C}">
                  <a14:compatExt spid="_x0000_s11276"/>
                </a:ext>
                <a:ext uri="{FF2B5EF4-FFF2-40B4-BE49-F238E27FC236}">
                  <a16:creationId xmlns:a16="http://schemas.microsoft.com/office/drawing/2014/main" id="{00000000-0008-0000-0100-00000C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485775</xdr:colOff>
          <xdr:row>8</xdr:row>
          <xdr:rowOff>142875</xdr:rowOff>
        </xdr:from>
        <xdr:to>
          <xdr:col>13</xdr:col>
          <xdr:colOff>28575</xdr:colOff>
          <xdr:row>10</xdr:row>
          <xdr:rowOff>9525</xdr:rowOff>
        </xdr:to>
        <xdr:sp macro="" textlink="">
          <xdr:nvSpPr>
            <xdr:cNvPr id="11277" name="Check Box 13" hidden="1">
              <a:extLst>
                <a:ext uri="{63B3BB69-23CF-44E3-9099-C40C66FF867C}">
                  <a14:compatExt spid="_x0000_s11277"/>
                </a:ext>
                <a:ext uri="{FF2B5EF4-FFF2-40B4-BE49-F238E27FC236}">
                  <a16:creationId xmlns:a16="http://schemas.microsoft.com/office/drawing/2014/main" id="{00000000-0008-0000-0100-00000D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485775</xdr:colOff>
          <xdr:row>10</xdr:row>
          <xdr:rowOff>9525</xdr:rowOff>
        </xdr:from>
        <xdr:to>
          <xdr:col>13</xdr:col>
          <xdr:colOff>28575</xdr:colOff>
          <xdr:row>11</xdr:row>
          <xdr:rowOff>28575</xdr:rowOff>
        </xdr:to>
        <xdr:sp macro="" textlink="">
          <xdr:nvSpPr>
            <xdr:cNvPr id="11278" name="Check Box 14" hidden="1">
              <a:extLst>
                <a:ext uri="{63B3BB69-23CF-44E3-9099-C40C66FF867C}">
                  <a14:compatExt spid="_x0000_s11278"/>
                </a:ext>
                <a:ext uri="{FF2B5EF4-FFF2-40B4-BE49-F238E27FC236}">
                  <a16:creationId xmlns:a16="http://schemas.microsoft.com/office/drawing/2014/main" id="{00000000-0008-0000-0100-00000E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7620</xdr:colOff>
      <xdr:row>24</xdr:row>
      <xdr:rowOff>38100</xdr:rowOff>
    </xdr:from>
    <xdr:to>
      <xdr:col>6</xdr:col>
      <xdr:colOff>190500</xdr:colOff>
      <xdr:row>29</xdr:row>
      <xdr:rowOff>22860</xdr:rowOff>
    </xdr:to>
    <xdr:pic>
      <xdr:nvPicPr>
        <xdr:cNvPr id="12649" name="Picture 4">
          <a:extLst>
            <a:ext uri="{FF2B5EF4-FFF2-40B4-BE49-F238E27FC236}">
              <a16:creationId xmlns:a16="http://schemas.microsoft.com/office/drawing/2014/main" id="{00000000-0008-0000-0200-0000693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5867" r="38461"/>
        <a:stretch>
          <a:fillRect/>
        </a:stretch>
      </xdr:blipFill>
      <xdr:spPr bwMode="auto">
        <a:xfrm>
          <a:off x="358140" y="4411980"/>
          <a:ext cx="4168140" cy="9067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312420</xdr:colOff>
      <xdr:row>29</xdr:row>
      <xdr:rowOff>15240</xdr:rowOff>
    </xdr:from>
    <xdr:to>
      <xdr:col>12</xdr:col>
      <xdr:colOff>434340</xdr:colOff>
      <xdr:row>32</xdr:row>
      <xdr:rowOff>99060</xdr:rowOff>
    </xdr:to>
    <xdr:pic>
      <xdr:nvPicPr>
        <xdr:cNvPr id="12650" name="Picture 13">
          <a:extLst>
            <a:ext uri="{FF2B5EF4-FFF2-40B4-BE49-F238E27FC236}">
              <a16:creationId xmlns:a16="http://schemas.microsoft.com/office/drawing/2014/main" id="{00000000-0008-0000-0200-00006A31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2420" y="4975860"/>
          <a:ext cx="8206740" cy="5867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6</xdr:col>
      <xdr:colOff>472440</xdr:colOff>
      <xdr:row>24</xdr:row>
      <xdr:rowOff>114300</xdr:rowOff>
    </xdr:from>
    <xdr:to>
      <xdr:col>14</xdr:col>
      <xdr:colOff>7620</xdr:colOff>
      <xdr:row>28</xdr:row>
      <xdr:rowOff>137160</xdr:rowOff>
    </xdr:to>
    <xdr:pic>
      <xdr:nvPicPr>
        <xdr:cNvPr id="12651" name="Picture 19">
          <a:extLst>
            <a:ext uri="{FF2B5EF4-FFF2-40B4-BE49-F238E27FC236}">
              <a16:creationId xmlns:a16="http://schemas.microsoft.com/office/drawing/2014/main" id="{00000000-0008-0000-0200-00006B31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3937" t="7990" r="8409" b="62759"/>
        <a:stretch>
          <a:fillRect/>
        </a:stretch>
      </xdr:blipFill>
      <xdr:spPr bwMode="auto">
        <a:xfrm>
          <a:off x="4808220" y="4488180"/>
          <a:ext cx="4533900" cy="7772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30480</xdr:colOff>
      <xdr:row>34</xdr:row>
      <xdr:rowOff>144780</xdr:rowOff>
    </xdr:from>
    <xdr:to>
      <xdr:col>13</xdr:col>
      <xdr:colOff>304800</xdr:colOff>
      <xdr:row>44</xdr:row>
      <xdr:rowOff>22860</xdr:rowOff>
    </xdr:to>
    <xdr:pic>
      <xdr:nvPicPr>
        <xdr:cNvPr id="12652" name="Picture 20">
          <a:extLst>
            <a:ext uri="{FF2B5EF4-FFF2-40B4-BE49-F238E27FC236}">
              <a16:creationId xmlns:a16="http://schemas.microsoft.com/office/drawing/2014/main" id="{00000000-0008-0000-0200-00006C31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1000" y="5996940"/>
          <a:ext cx="8633460" cy="15544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200-000001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21</xdr:row>
          <xdr:rowOff>76200</xdr:rowOff>
        </xdr:from>
        <xdr:to>
          <xdr:col>4</xdr:col>
          <xdr:colOff>219075</xdr:colOff>
          <xdr:row>23</xdr:row>
          <xdr:rowOff>28575</xdr:rowOff>
        </xdr:to>
        <xdr:sp macro="" textlink="">
          <xdr:nvSpPr>
            <xdr:cNvPr id="12300" name="Button 12" hidden="1">
              <a:extLst>
                <a:ext uri="{63B3BB69-23CF-44E3-9099-C40C66FF867C}">
                  <a14:compatExt spid="_x0000_s12300"/>
                </a:ext>
                <a:ext uri="{FF2B5EF4-FFF2-40B4-BE49-F238E27FC236}">
                  <a16:creationId xmlns:a16="http://schemas.microsoft.com/office/drawing/2014/main" id="{00000000-0008-0000-0200-00000C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617220</xdr:colOff>
      <xdr:row>6</xdr:row>
      <xdr:rowOff>99060</xdr:rowOff>
    </xdr:from>
    <xdr:to>
      <xdr:col>12</xdr:col>
      <xdr:colOff>205562</xdr:colOff>
      <xdr:row>22</xdr:row>
      <xdr:rowOff>120020</xdr:rowOff>
    </xdr:to>
    <xdr:graphicFrame macro="">
      <xdr:nvGraphicFramePr>
        <xdr:cNvPr id="8" name="Chart 7">
          <a:extLst>
            <a:ext uri="{FF2B5EF4-FFF2-40B4-BE49-F238E27FC236}">
              <a16:creationId xmlns:a16="http://schemas.microsoft.com/office/drawing/2014/main" id="{00000000-0008-0000-02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561975</xdr:colOff>
          <xdr:row>7</xdr:row>
          <xdr:rowOff>28575</xdr:rowOff>
        </xdr:from>
        <xdr:to>
          <xdr:col>12</xdr:col>
          <xdr:colOff>76200</xdr:colOff>
          <xdr:row>8</xdr:row>
          <xdr:rowOff>38100</xdr:rowOff>
        </xdr:to>
        <xdr:sp macro="" textlink="">
          <xdr:nvSpPr>
            <xdr:cNvPr id="12304" name="Check Box 16" hidden="1">
              <a:extLst>
                <a:ext uri="{63B3BB69-23CF-44E3-9099-C40C66FF867C}">
                  <a14:compatExt spid="_x0000_s12304"/>
                </a:ext>
                <a:ext uri="{FF2B5EF4-FFF2-40B4-BE49-F238E27FC236}">
                  <a16:creationId xmlns:a16="http://schemas.microsoft.com/office/drawing/2014/main" id="{00000000-0008-0000-0200-000010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561975</xdr:colOff>
          <xdr:row>8</xdr:row>
          <xdr:rowOff>38100</xdr:rowOff>
        </xdr:from>
        <xdr:to>
          <xdr:col>12</xdr:col>
          <xdr:colOff>76200</xdr:colOff>
          <xdr:row>9</xdr:row>
          <xdr:rowOff>104775</xdr:rowOff>
        </xdr:to>
        <xdr:sp macro="" textlink="">
          <xdr:nvSpPr>
            <xdr:cNvPr id="12305" name="Check Box 17" hidden="1">
              <a:extLst>
                <a:ext uri="{63B3BB69-23CF-44E3-9099-C40C66FF867C}">
                  <a14:compatExt spid="_x0000_s12305"/>
                </a:ext>
                <a:ext uri="{FF2B5EF4-FFF2-40B4-BE49-F238E27FC236}">
                  <a16:creationId xmlns:a16="http://schemas.microsoft.com/office/drawing/2014/main" id="{00000000-0008-0000-0200-000011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561975</xdr:colOff>
          <xdr:row>9</xdr:row>
          <xdr:rowOff>104775</xdr:rowOff>
        </xdr:from>
        <xdr:to>
          <xdr:col>12</xdr:col>
          <xdr:colOff>76200</xdr:colOff>
          <xdr:row>10</xdr:row>
          <xdr:rowOff>114300</xdr:rowOff>
        </xdr:to>
        <xdr:sp macro="" textlink="">
          <xdr:nvSpPr>
            <xdr:cNvPr id="12306" name="Check Box 18" hidden="1">
              <a:extLst>
                <a:ext uri="{63B3BB69-23CF-44E3-9099-C40C66FF867C}">
                  <a14:compatExt spid="_x0000_s12306"/>
                </a:ext>
                <a:ext uri="{FF2B5EF4-FFF2-40B4-BE49-F238E27FC236}">
                  <a16:creationId xmlns:a16="http://schemas.microsoft.com/office/drawing/2014/main" id="{00000000-0008-0000-0200-000012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22860</xdr:colOff>
      <xdr:row>28</xdr:row>
      <xdr:rowOff>15240</xdr:rowOff>
    </xdr:from>
    <xdr:to>
      <xdr:col>10</xdr:col>
      <xdr:colOff>403860</xdr:colOff>
      <xdr:row>34</xdr:row>
      <xdr:rowOff>167640</xdr:rowOff>
    </xdr:to>
    <xdr:pic>
      <xdr:nvPicPr>
        <xdr:cNvPr id="15886" name="Picture 5">
          <a:extLst>
            <a:ext uri="{FF2B5EF4-FFF2-40B4-BE49-F238E27FC236}">
              <a16:creationId xmlns:a16="http://schemas.microsoft.com/office/drawing/2014/main" id="{00000000-0008-0000-0300-00000E3E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7643"/>
        <a:stretch>
          <a:fillRect/>
        </a:stretch>
      </xdr:blipFill>
      <xdr:spPr bwMode="auto">
        <a:xfrm>
          <a:off x="373380" y="5204460"/>
          <a:ext cx="7078980" cy="16611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457200</xdr:colOff>
      <xdr:row>24</xdr:row>
      <xdr:rowOff>99060</xdr:rowOff>
    </xdr:from>
    <xdr:to>
      <xdr:col>7</xdr:col>
      <xdr:colOff>426720</xdr:colOff>
      <xdr:row>27</xdr:row>
      <xdr:rowOff>243840</xdr:rowOff>
    </xdr:to>
    <xdr:pic>
      <xdr:nvPicPr>
        <xdr:cNvPr id="15887" name="Picture 6">
          <a:extLst>
            <a:ext uri="{FF2B5EF4-FFF2-40B4-BE49-F238E27FC236}">
              <a16:creationId xmlns:a16="http://schemas.microsoft.com/office/drawing/2014/main" id="{00000000-0008-0000-0300-00000F3E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7720" y="4450080"/>
          <a:ext cx="4792980" cy="7315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341267</xdr:colOff>
      <xdr:row>34</xdr:row>
      <xdr:rowOff>239757</xdr:rowOff>
    </xdr:from>
    <xdr:to>
      <xdr:col>12</xdr:col>
      <xdr:colOff>440327</xdr:colOff>
      <xdr:row>37</xdr:row>
      <xdr:rowOff>63409</xdr:rowOff>
    </xdr:to>
    <xdr:pic>
      <xdr:nvPicPr>
        <xdr:cNvPr id="15888" name="Picture 7">
          <a:extLst>
            <a:ext uri="{FF2B5EF4-FFF2-40B4-BE49-F238E27FC236}">
              <a16:creationId xmlns:a16="http://schemas.microsoft.com/office/drawing/2014/main" id="{00000000-0008-0000-0300-0000103E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41267" y="7002507"/>
          <a:ext cx="8406221" cy="578848"/>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333647</xdr:colOff>
      <xdr:row>37</xdr:row>
      <xdr:rowOff>17689</xdr:rowOff>
    </xdr:from>
    <xdr:to>
      <xdr:col>5</xdr:col>
      <xdr:colOff>82187</xdr:colOff>
      <xdr:row>40</xdr:row>
      <xdr:rowOff>116749</xdr:rowOff>
    </xdr:to>
    <xdr:pic>
      <xdr:nvPicPr>
        <xdr:cNvPr id="15889" name="Picture 8">
          <a:extLst>
            <a:ext uri="{FF2B5EF4-FFF2-40B4-BE49-F238E27FC236}">
              <a16:creationId xmlns:a16="http://schemas.microsoft.com/office/drawing/2014/main" id="{00000000-0008-0000-0300-0000113E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33647" y="7535635"/>
          <a:ext cx="3674201" cy="609328"/>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328205</xdr:colOff>
      <xdr:row>43</xdr:row>
      <xdr:rowOff>105047</xdr:rowOff>
    </xdr:from>
    <xdr:to>
      <xdr:col>13</xdr:col>
      <xdr:colOff>73479</xdr:colOff>
      <xdr:row>54</xdr:row>
      <xdr:rowOff>112667</xdr:rowOff>
    </xdr:to>
    <xdr:pic>
      <xdr:nvPicPr>
        <xdr:cNvPr id="15890" name="Picture 14">
          <a:extLst>
            <a:ext uri="{FF2B5EF4-FFF2-40B4-BE49-F238E27FC236}">
              <a16:creationId xmlns:a16="http://schemas.microsoft.com/office/drawing/2014/main" id="{00000000-0008-0000-0300-0000123E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28205" y="8691154"/>
          <a:ext cx="8678363" cy="1878602"/>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306978</xdr:colOff>
      <xdr:row>54</xdr:row>
      <xdr:rowOff>97427</xdr:rowOff>
    </xdr:from>
    <xdr:to>
      <xdr:col>13</xdr:col>
      <xdr:colOff>52252</xdr:colOff>
      <xdr:row>62</xdr:row>
      <xdr:rowOff>35651</xdr:rowOff>
    </xdr:to>
    <xdr:pic>
      <xdr:nvPicPr>
        <xdr:cNvPr id="15891" name="Picture 15">
          <a:extLst>
            <a:ext uri="{FF2B5EF4-FFF2-40B4-BE49-F238E27FC236}">
              <a16:creationId xmlns:a16="http://schemas.microsoft.com/office/drawing/2014/main" id="{00000000-0008-0000-0300-0000133E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06978" y="10554516"/>
          <a:ext cx="8678363" cy="1319349"/>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533400</xdr:colOff>
          <xdr:row>23</xdr:row>
          <xdr:rowOff>28575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300-000001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609600</xdr:colOff>
          <xdr:row>21</xdr:row>
          <xdr:rowOff>76200</xdr:rowOff>
        </xdr:from>
        <xdr:to>
          <xdr:col>4</xdr:col>
          <xdr:colOff>0</xdr:colOff>
          <xdr:row>23</xdr:row>
          <xdr:rowOff>28575</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3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342900</xdr:colOff>
      <xdr:row>8</xdr:row>
      <xdr:rowOff>22860</xdr:rowOff>
    </xdr:from>
    <xdr:to>
      <xdr:col>12</xdr:col>
      <xdr:colOff>556082</xdr:colOff>
      <xdr:row>24</xdr:row>
      <xdr:rowOff>89540</xdr:rowOff>
    </xdr:to>
    <xdr:graphicFrame macro="">
      <xdr:nvGraphicFramePr>
        <xdr:cNvPr id="10" name="Chart 9">
          <a:extLst>
            <a:ext uri="{FF2B5EF4-FFF2-40B4-BE49-F238E27FC236}">
              <a16:creationId xmlns:a16="http://schemas.microsoft.com/office/drawing/2014/main" id="{00000000-0008-0000-0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333375</xdr:colOff>
          <xdr:row>8</xdr:row>
          <xdr:rowOff>114300</xdr:rowOff>
        </xdr:from>
        <xdr:to>
          <xdr:col>12</xdr:col>
          <xdr:colOff>485775</xdr:colOff>
          <xdr:row>9</xdr:row>
          <xdr:rowOff>180975</xdr:rowOff>
        </xdr:to>
        <xdr:sp macro="" textlink="">
          <xdr:nvSpPr>
            <xdr:cNvPr id="15376" name="Check Box 16" hidden="1">
              <a:extLst>
                <a:ext uri="{63B3BB69-23CF-44E3-9099-C40C66FF867C}">
                  <a14:compatExt spid="_x0000_s15376"/>
                </a:ext>
                <a:ext uri="{FF2B5EF4-FFF2-40B4-BE49-F238E27FC236}">
                  <a16:creationId xmlns:a16="http://schemas.microsoft.com/office/drawing/2014/main" id="{00000000-0008-0000-0300-000010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333375</xdr:colOff>
          <xdr:row>9</xdr:row>
          <xdr:rowOff>180975</xdr:rowOff>
        </xdr:from>
        <xdr:to>
          <xdr:col>12</xdr:col>
          <xdr:colOff>485775</xdr:colOff>
          <xdr:row>11</xdr:row>
          <xdr:rowOff>28575</xdr:rowOff>
        </xdr:to>
        <xdr:sp macro="" textlink="">
          <xdr:nvSpPr>
            <xdr:cNvPr id="15377" name="Check Box 17" hidden="1">
              <a:extLst>
                <a:ext uri="{63B3BB69-23CF-44E3-9099-C40C66FF867C}">
                  <a14:compatExt spid="_x0000_s15377"/>
                </a:ext>
                <a:ext uri="{FF2B5EF4-FFF2-40B4-BE49-F238E27FC236}">
                  <a16:creationId xmlns:a16="http://schemas.microsoft.com/office/drawing/2014/main" id="{00000000-0008-0000-0300-000011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333375</xdr:colOff>
          <xdr:row>11</xdr:row>
          <xdr:rowOff>28575</xdr:rowOff>
        </xdr:from>
        <xdr:to>
          <xdr:col>12</xdr:col>
          <xdr:colOff>485775</xdr:colOff>
          <xdr:row>12</xdr:row>
          <xdr:rowOff>66675</xdr:rowOff>
        </xdr:to>
        <xdr:sp macro="" textlink="">
          <xdr:nvSpPr>
            <xdr:cNvPr id="15378" name="Check Box 18" hidden="1">
              <a:extLst>
                <a:ext uri="{63B3BB69-23CF-44E3-9099-C40C66FF867C}">
                  <a14:compatExt spid="_x0000_s15378"/>
                </a:ext>
                <a:ext uri="{FF2B5EF4-FFF2-40B4-BE49-F238E27FC236}">
                  <a16:creationId xmlns:a16="http://schemas.microsoft.com/office/drawing/2014/main" id="{00000000-0008-0000-0300-000012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99060</xdr:colOff>
      <xdr:row>28</xdr:row>
      <xdr:rowOff>68580</xdr:rowOff>
    </xdr:from>
    <xdr:to>
      <xdr:col>9</xdr:col>
      <xdr:colOff>434340</xdr:colOff>
      <xdr:row>36</xdr:row>
      <xdr:rowOff>121920</xdr:rowOff>
    </xdr:to>
    <xdr:pic>
      <xdr:nvPicPr>
        <xdr:cNvPr id="16908" name="Picture 4">
          <a:extLst>
            <a:ext uri="{FF2B5EF4-FFF2-40B4-BE49-F238E27FC236}">
              <a16:creationId xmlns:a16="http://schemas.microsoft.com/office/drawing/2014/main" id="{00000000-0008-0000-0400-00000C4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18182"/>
        <a:stretch>
          <a:fillRect/>
        </a:stretch>
      </xdr:blipFill>
      <xdr:spPr bwMode="auto">
        <a:xfrm>
          <a:off x="449580" y="5120640"/>
          <a:ext cx="6408420" cy="13944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15240</xdr:colOff>
      <xdr:row>37</xdr:row>
      <xdr:rowOff>60960</xdr:rowOff>
    </xdr:from>
    <xdr:to>
      <xdr:col>12</xdr:col>
      <xdr:colOff>464820</xdr:colOff>
      <xdr:row>40</xdr:row>
      <xdr:rowOff>121920</xdr:rowOff>
    </xdr:to>
    <xdr:pic>
      <xdr:nvPicPr>
        <xdr:cNvPr id="16909" name="Picture 9">
          <a:extLst>
            <a:ext uri="{FF2B5EF4-FFF2-40B4-BE49-F238E27FC236}">
              <a16:creationId xmlns:a16="http://schemas.microsoft.com/office/drawing/2014/main" id="{00000000-0008-0000-0400-00000D42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5760" y="5615940"/>
          <a:ext cx="8397240" cy="5638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40</xdr:row>
      <xdr:rowOff>182880</xdr:rowOff>
    </xdr:from>
    <xdr:to>
      <xdr:col>5</xdr:col>
      <xdr:colOff>99060</xdr:colOff>
      <xdr:row>44</xdr:row>
      <xdr:rowOff>30480</xdr:rowOff>
    </xdr:to>
    <xdr:pic>
      <xdr:nvPicPr>
        <xdr:cNvPr id="16910" name="Picture 10">
          <a:extLst>
            <a:ext uri="{FF2B5EF4-FFF2-40B4-BE49-F238E27FC236}">
              <a16:creationId xmlns:a16="http://schemas.microsoft.com/office/drawing/2014/main" id="{00000000-0008-0000-0400-00000E42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4899660"/>
          <a:ext cx="3672840" cy="6019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845820</xdr:colOff>
      <xdr:row>24</xdr:row>
      <xdr:rowOff>7620</xdr:rowOff>
    </xdr:from>
    <xdr:to>
      <xdr:col>8</xdr:col>
      <xdr:colOff>190500</xdr:colOff>
      <xdr:row>28</xdr:row>
      <xdr:rowOff>60960</xdr:rowOff>
    </xdr:to>
    <xdr:pic>
      <xdr:nvPicPr>
        <xdr:cNvPr id="16911" name="Picture 11">
          <a:extLst>
            <a:ext uri="{FF2B5EF4-FFF2-40B4-BE49-F238E27FC236}">
              <a16:creationId xmlns:a16="http://schemas.microsoft.com/office/drawing/2014/main" id="{00000000-0008-0000-0400-00000F42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6340" y="4389120"/>
          <a:ext cx="4792980" cy="7239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46</xdr:row>
      <xdr:rowOff>30480</xdr:rowOff>
    </xdr:from>
    <xdr:to>
      <xdr:col>13</xdr:col>
      <xdr:colOff>99060</xdr:colOff>
      <xdr:row>49</xdr:row>
      <xdr:rowOff>68580</xdr:rowOff>
    </xdr:to>
    <xdr:pic>
      <xdr:nvPicPr>
        <xdr:cNvPr id="16912" name="Picture 12">
          <a:extLst>
            <a:ext uri="{FF2B5EF4-FFF2-40B4-BE49-F238E27FC236}">
              <a16:creationId xmlns:a16="http://schemas.microsoft.com/office/drawing/2014/main" id="{00000000-0008-0000-0400-00001042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0520" y="5890260"/>
          <a:ext cx="8671560" cy="5410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594360</xdr:colOff>
      <xdr:row>49</xdr:row>
      <xdr:rowOff>22860</xdr:rowOff>
    </xdr:from>
    <xdr:to>
      <xdr:col>13</xdr:col>
      <xdr:colOff>99060</xdr:colOff>
      <xdr:row>59</xdr:row>
      <xdr:rowOff>160020</xdr:rowOff>
    </xdr:to>
    <xdr:pic>
      <xdr:nvPicPr>
        <xdr:cNvPr id="16913" name="Picture 13">
          <a:extLst>
            <a:ext uri="{FF2B5EF4-FFF2-40B4-BE49-F238E27FC236}">
              <a16:creationId xmlns:a16="http://schemas.microsoft.com/office/drawing/2014/main" id="{00000000-0008-0000-0400-00001142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6385560"/>
          <a:ext cx="8671560" cy="18135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533400</xdr:colOff>
          <xdr:row>23</xdr:row>
          <xdr:rowOff>28575</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400-000001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609600</xdr:colOff>
          <xdr:row>21</xdr:row>
          <xdr:rowOff>76200</xdr:rowOff>
        </xdr:from>
        <xdr:to>
          <xdr:col>4</xdr:col>
          <xdr:colOff>0</xdr:colOff>
          <xdr:row>23</xdr:row>
          <xdr:rowOff>28575</xdr:rowOff>
        </xdr:to>
        <xdr:sp macro="" textlink="">
          <xdr:nvSpPr>
            <xdr:cNvPr id="16389" name="Button 5" hidden="1">
              <a:extLst>
                <a:ext uri="{63B3BB69-23CF-44E3-9099-C40C66FF867C}">
                  <a14:compatExt spid="_x0000_s16389"/>
                </a:ext>
                <a:ext uri="{FF2B5EF4-FFF2-40B4-BE49-F238E27FC236}">
                  <a16:creationId xmlns:a16="http://schemas.microsoft.com/office/drawing/2014/main" id="{00000000-0008-0000-0400-000005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373380</xdr:colOff>
      <xdr:row>7</xdr:row>
      <xdr:rowOff>106680</xdr:rowOff>
    </xdr:from>
    <xdr:to>
      <xdr:col>11</xdr:col>
      <xdr:colOff>594182</xdr:colOff>
      <xdr:row>24</xdr:row>
      <xdr:rowOff>1093</xdr:rowOff>
    </xdr:to>
    <xdr:graphicFrame macro="">
      <xdr:nvGraphicFramePr>
        <xdr:cNvPr id="10" name="Chart 9">
          <a:extLst>
            <a:ext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371475</xdr:colOff>
          <xdr:row>7</xdr:row>
          <xdr:rowOff>219075</xdr:rowOff>
        </xdr:from>
        <xdr:to>
          <xdr:col>11</xdr:col>
          <xdr:colOff>523875</xdr:colOff>
          <xdr:row>9</xdr:row>
          <xdr:rowOff>38100</xdr:rowOff>
        </xdr:to>
        <xdr:sp macro="" textlink="">
          <xdr:nvSpPr>
            <xdr:cNvPr id="16393" name="Check Box 9" hidden="1">
              <a:extLst>
                <a:ext uri="{63B3BB69-23CF-44E3-9099-C40C66FF867C}">
                  <a14:compatExt spid="_x0000_s16393"/>
                </a:ext>
                <a:ext uri="{FF2B5EF4-FFF2-40B4-BE49-F238E27FC236}">
                  <a16:creationId xmlns:a16="http://schemas.microsoft.com/office/drawing/2014/main" id="{00000000-0008-0000-0400-000009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371475</xdr:colOff>
          <xdr:row>9</xdr:row>
          <xdr:rowOff>38100</xdr:rowOff>
        </xdr:from>
        <xdr:to>
          <xdr:col>11</xdr:col>
          <xdr:colOff>523875</xdr:colOff>
          <xdr:row>10</xdr:row>
          <xdr:rowOff>66675</xdr:rowOff>
        </xdr:to>
        <xdr:sp macro="" textlink="">
          <xdr:nvSpPr>
            <xdr:cNvPr id="16394" name="Check Box 10" hidden="1">
              <a:extLst>
                <a:ext uri="{63B3BB69-23CF-44E3-9099-C40C66FF867C}">
                  <a14:compatExt spid="_x0000_s16394"/>
                </a:ext>
                <a:ext uri="{FF2B5EF4-FFF2-40B4-BE49-F238E27FC236}">
                  <a16:creationId xmlns:a16="http://schemas.microsoft.com/office/drawing/2014/main" id="{00000000-0008-0000-0400-00000A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371475</xdr:colOff>
          <xdr:row>10</xdr:row>
          <xdr:rowOff>66675</xdr:rowOff>
        </xdr:from>
        <xdr:to>
          <xdr:col>11</xdr:col>
          <xdr:colOff>523875</xdr:colOff>
          <xdr:row>11</xdr:row>
          <xdr:rowOff>104775</xdr:rowOff>
        </xdr:to>
        <xdr:sp macro="" textlink="">
          <xdr:nvSpPr>
            <xdr:cNvPr id="16395" name="Check Box 11" hidden="1">
              <a:extLst>
                <a:ext uri="{63B3BB69-23CF-44E3-9099-C40C66FF867C}">
                  <a14:compatExt spid="_x0000_s16395"/>
                </a:ext>
                <a:ext uri="{FF2B5EF4-FFF2-40B4-BE49-F238E27FC236}">
                  <a16:creationId xmlns:a16="http://schemas.microsoft.com/office/drawing/2014/main" id="{00000000-0008-0000-0400-00000B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297180</xdr:colOff>
      <xdr:row>28</xdr:row>
      <xdr:rowOff>15240</xdr:rowOff>
    </xdr:from>
    <xdr:to>
      <xdr:col>7</xdr:col>
      <xdr:colOff>106680</xdr:colOff>
      <xdr:row>31</xdr:row>
      <xdr:rowOff>152400</xdr:rowOff>
    </xdr:to>
    <xdr:pic>
      <xdr:nvPicPr>
        <xdr:cNvPr id="18104" name="Picture 5">
          <a:extLst>
            <a:ext uri="{FF2B5EF4-FFF2-40B4-BE49-F238E27FC236}">
              <a16:creationId xmlns:a16="http://schemas.microsoft.com/office/drawing/2014/main" id="{00000000-0008-0000-0500-0000B84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7180" y="5036820"/>
          <a:ext cx="4754880" cy="6400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7</xdr:col>
      <xdr:colOff>251460</xdr:colOff>
      <xdr:row>26</xdr:row>
      <xdr:rowOff>160020</xdr:rowOff>
    </xdr:from>
    <xdr:to>
      <xdr:col>11</xdr:col>
      <xdr:colOff>594360</xdr:colOff>
      <xdr:row>32</xdr:row>
      <xdr:rowOff>129540</xdr:rowOff>
    </xdr:to>
    <xdr:pic>
      <xdr:nvPicPr>
        <xdr:cNvPr id="18105" name="Picture 6">
          <a:extLst>
            <a:ext uri="{FF2B5EF4-FFF2-40B4-BE49-F238E27FC236}">
              <a16:creationId xmlns:a16="http://schemas.microsoft.com/office/drawing/2014/main" id="{00000000-0008-0000-0500-0000B94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196840" y="4846320"/>
          <a:ext cx="2842260" cy="9753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32</xdr:row>
      <xdr:rowOff>114300</xdr:rowOff>
    </xdr:from>
    <xdr:to>
      <xdr:col>10</xdr:col>
      <xdr:colOff>320040</xdr:colOff>
      <xdr:row>35</xdr:row>
      <xdr:rowOff>213360</xdr:rowOff>
    </xdr:to>
    <xdr:pic>
      <xdr:nvPicPr>
        <xdr:cNvPr id="18106" name="Picture 8">
          <a:extLst>
            <a:ext uri="{FF2B5EF4-FFF2-40B4-BE49-F238E27FC236}">
              <a16:creationId xmlns:a16="http://schemas.microsoft.com/office/drawing/2014/main" id="{00000000-0008-0000-0500-0000BA4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5806440"/>
          <a:ext cx="6789420" cy="6019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601980</xdr:colOff>
      <xdr:row>35</xdr:row>
      <xdr:rowOff>190500</xdr:rowOff>
    </xdr:from>
    <xdr:to>
      <xdr:col>2</xdr:col>
      <xdr:colOff>594360</xdr:colOff>
      <xdr:row>39</xdr:row>
      <xdr:rowOff>68580</xdr:rowOff>
    </xdr:to>
    <xdr:pic>
      <xdr:nvPicPr>
        <xdr:cNvPr id="18107" name="Picture 9">
          <a:extLst>
            <a:ext uri="{FF2B5EF4-FFF2-40B4-BE49-F238E27FC236}">
              <a16:creationId xmlns:a16="http://schemas.microsoft.com/office/drawing/2014/main" id="{00000000-0008-0000-0500-0000BB4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4876800"/>
          <a:ext cx="2065020" cy="6324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83820</xdr:colOff>
      <xdr:row>23</xdr:row>
      <xdr:rowOff>137160</xdr:rowOff>
    </xdr:from>
    <xdr:to>
      <xdr:col>7</xdr:col>
      <xdr:colOff>281940</xdr:colOff>
      <xdr:row>27</xdr:row>
      <xdr:rowOff>83820</xdr:rowOff>
    </xdr:to>
    <xdr:pic>
      <xdr:nvPicPr>
        <xdr:cNvPr id="18108" name="Picture 10">
          <a:extLst>
            <a:ext uri="{FF2B5EF4-FFF2-40B4-BE49-F238E27FC236}">
              <a16:creationId xmlns:a16="http://schemas.microsoft.com/office/drawing/2014/main" id="{00000000-0008-0000-0500-0000BC4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34340" y="4320540"/>
          <a:ext cx="4792980" cy="6172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41</xdr:row>
      <xdr:rowOff>0</xdr:rowOff>
    </xdr:from>
    <xdr:to>
      <xdr:col>13</xdr:col>
      <xdr:colOff>281940</xdr:colOff>
      <xdr:row>44</xdr:row>
      <xdr:rowOff>45720</xdr:rowOff>
    </xdr:to>
    <xdr:pic>
      <xdr:nvPicPr>
        <xdr:cNvPr id="18109" name="Picture 13">
          <a:extLst>
            <a:ext uri="{FF2B5EF4-FFF2-40B4-BE49-F238E27FC236}">
              <a16:creationId xmlns:a16="http://schemas.microsoft.com/office/drawing/2014/main" id="{00000000-0008-0000-0500-0000BD46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5829300"/>
          <a:ext cx="8625840" cy="5486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594360</xdr:colOff>
      <xdr:row>44</xdr:row>
      <xdr:rowOff>22860</xdr:rowOff>
    </xdr:from>
    <xdr:to>
      <xdr:col>13</xdr:col>
      <xdr:colOff>358140</xdr:colOff>
      <xdr:row>54</xdr:row>
      <xdr:rowOff>129540</xdr:rowOff>
    </xdr:to>
    <xdr:pic>
      <xdr:nvPicPr>
        <xdr:cNvPr id="18110" name="Picture 14">
          <a:extLst>
            <a:ext uri="{FF2B5EF4-FFF2-40B4-BE49-F238E27FC236}">
              <a16:creationId xmlns:a16="http://schemas.microsoft.com/office/drawing/2014/main" id="{00000000-0008-0000-0500-0000BE46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50520" y="6355080"/>
          <a:ext cx="8702040" cy="17830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7620</xdr:colOff>
      <xdr:row>55</xdr:row>
      <xdr:rowOff>137160</xdr:rowOff>
    </xdr:from>
    <xdr:to>
      <xdr:col>13</xdr:col>
      <xdr:colOff>289560</xdr:colOff>
      <xdr:row>61</xdr:row>
      <xdr:rowOff>160020</xdr:rowOff>
    </xdr:to>
    <xdr:pic>
      <xdr:nvPicPr>
        <xdr:cNvPr id="18111" name="Picture 15">
          <a:extLst>
            <a:ext uri="{FF2B5EF4-FFF2-40B4-BE49-F238E27FC236}">
              <a16:creationId xmlns:a16="http://schemas.microsoft.com/office/drawing/2014/main" id="{00000000-0008-0000-0500-0000BF46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58140" y="8313420"/>
          <a:ext cx="8625840" cy="10287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21</xdr:row>
          <xdr:rowOff>76200</xdr:rowOff>
        </xdr:from>
        <xdr:to>
          <xdr:col>4</xdr:col>
          <xdr:colOff>219075</xdr:colOff>
          <xdr:row>23</xdr:row>
          <xdr:rowOff>28575</xdr:rowOff>
        </xdr:to>
        <xdr:sp macro="" textlink="">
          <xdr:nvSpPr>
            <xdr:cNvPr id="17419" name="Button 11" hidden="1">
              <a:extLst>
                <a:ext uri="{63B3BB69-23CF-44E3-9099-C40C66FF867C}">
                  <a14:compatExt spid="_x0000_s17419"/>
                </a:ext>
                <a:ext uri="{FF2B5EF4-FFF2-40B4-BE49-F238E27FC236}">
                  <a16:creationId xmlns:a16="http://schemas.microsoft.com/office/drawing/2014/main" id="{00000000-0008-0000-0500-00000B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617220</xdr:colOff>
      <xdr:row>7</xdr:row>
      <xdr:rowOff>76200</xdr:rowOff>
    </xdr:from>
    <xdr:to>
      <xdr:col>13</xdr:col>
      <xdr:colOff>213182</xdr:colOff>
      <xdr:row>24</xdr:row>
      <xdr:rowOff>1093</xdr:rowOff>
    </xdr:to>
    <xdr:graphicFrame macro="">
      <xdr:nvGraphicFramePr>
        <xdr:cNvPr id="12" name="Chart 11">
          <a:extLst>
            <a:ext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600075</xdr:colOff>
          <xdr:row>7</xdr:row>
          <xdr:rowOff>180975</xdr:rowOff>
        </xdr:from>
        <xdr:to>
          <xdr:col>13</xdr:col>
          <xdr:colOff>142875</xdr:colOff>
          <xdr:row>9</xdr:row>
          <xdr:rowOff>38100</xdr:rowOff>
        </xdr:to>
        <xdr:sp macro="" textlink="">
          <xdr:nvSpPr>
            <xdr:cNvPr id="17421" name="Check Box 13" hidden="1">
              <a:extLst>
                <a:ext uri="{63B3BB69-23CF-44E3-9099-C40C66FF867C}">
                  <a14:compatExt spid="_x0000_s17421"/>
                </a:ext>
                <a:ext uri="{FF2B5EF4-FFF2-40B4-BE49-F238E27FC236}">
                  <a16:creationId xmlns:a16="http://schemas.microsoft.com/office/drawing/2014/main" id="{00000000-0008-0000-0500-00000D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600075</xdr:colOff>
          <xdr:row>9</xdr:row>
          <xdr:rowOff>38100</xdr:rowOff>
        </xdr:from>
        <xdr:to>
          <xdr:col>13</xdr:col>
          <xdr:colOff>142875</xdr:colOff>
          <xdr:row>10</xdr:row>
          <xdr:rowOff>104775</xdr:rowOff>
        </xdr:to>
        <xdr:sp macro="" textlink="">
          <xdr:nvSpPr>
            <xdr:cNvPr id="17422" name="Check Box 14" hidden="1">
              <a:extLst>
                <a:ext uri="{63B3BB69-23CF-44E3-9099-C40C66FF867C}">
                  <a14:compatExt spid="_x0000_s17422"/>
                </a:ext>
                <a:ext uri="{FF2B5EF4-FFF2-40B4-BE49-F238E27FC236}">
                  <a16:creationId xmlns:a16="http://schemas.microsoft.com/office/drawing/2014/main" id="{00000000-0008-0000-0500-00000E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600075</xdr:colOff>
          <xdr:row>10</xdr:row>
          <xdr:rowOff>104775</xdr:rowOff>
        </xdr:from>
        <xdr:to>
          <xdr:col>13</xdr:col>
          <xdr:colOff>142875</xdr:colOff>
          <xdr:row>11</xdr:row>
          <xdr:rowOff>142875</xdr:rowOff>
        </xdr:to>
        <xdr:sp macro="" textlink="">
          <xdr:nvSpPr>
            <xdr:cNvPr id="17423" name="Check Box 15" hidden="1">
              <a:extLst>
                <a:ext uri="{63B3BB69-23CF-44E3-9099-C40C66FF867C}">
                  <a14:compatExt spid="_x0000_s17423"/>
                </a:ext>
                <a:ext uri="{FF2B5EF4-FFF2-40B4-BE49-F238E27FC236}">
                  <a16:creationId xmlns:a16="http://schemas.microsoft.com/office/drawing/2014/main" id="{00000000-0008-0000-0500-00000F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304800</xdr:colOff>
      <xdr:row>30</xdr:row>
      <xdr:rowOff>30480</xdr:rowOff>
    </xdr:from>
    <xdr:to>
      <xdr:col>5</xdr:col>
      <xdr:colOff>76200</xdr:colOff>
      <xdr:row>32</xdr:row>
      <xdr:rowOff>144780</xdr:rowOff>
    </xdr:to>
    <xdr:pic>
      <xdr:nvPicPr>
        <xdr:cNvPr id="18955" name="Picture 5">
          <a:extLst>
            <a:ext uri="{FF2B5EF4-FFF2-40B4-BE49-F238E27FC236}">
              <a16:creationId xmlns:a16="http://schemas.microsoft.com/office/drawing/2014/main" id="{00000000-0008-0000-0600-00000B4A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4800" y="5417820"/>
          <a:ext cx="3467100" cy="4495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5</xdr:col>
      <xdr:colOff>434340</xdr:colOff>
      <xdr:row>27</xdr:row>
      <xdr:rowOff>152400</xdr:rowOff>
    </xdr:from>
    <xdr:to>
      <xdr:col>9</xdr:col>
      <xdr:colOff>426720</xdr:colOff>
      <xdr:row>33</xdr:row>
      <xdr:rowOff>53340</xdr:rowOff>
    </xdr:to>
    <xdr:pic>
      <xdr:nvPicPr>
        <xdr:cNvPr id="18956" name="Picture 6">
          <a:extLst>
            <a:ext uri="{FF2B5EF4-FFF2-40B4-BE49-F238E27FC236}">
              <a16:creationId xmlns:a16="http://schemas.microsoft.com/office/drawing/2014/main" id="{00000000-0008-0000-0600-00000C4A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30040" y="5036820"/>
          <a:ext cx="2491740" cy="9067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45720</xdr:colOff>
      <xdr:row>32</xdr:row>
      <xdr:rowOff>160020</xdr:rowOff>
    </xdr:from>
    <xdr:to>
      <xdr:col>10</xdr:col>
      <xdr:colOff>365760</xdr:colOff>
      <xdr:row>36</xdr:row>
      <xdr:rowOff>99060</xdr:rowOff>
    </xdr:to>
    <xdr:pic>
      <xdr:nvPicPr>
        <xdr:cNvPr id="18957" name="Picture 9">
          <a:extLst>
            <a:ext uri="{FF2B5EF4-FFF2-40B4-BE49-F238E27FC236}">
              <a16:creationId xmlns:a16="http://schemas.microsoft.com/office/drawing/2014/main" id="{00000000-0008-0000-0600-00000D4A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96240" y="5882640"/>
          <a:ext cx="6789420" cy="6096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464820</xdr:colOff>
      <xdr:row>36</xdr:row>
      <xdr:rowOff>152400</xdr:rowOff>
    </xdr:from>
    <xdr:to>
      <xdr:col>2</xdr:col>
      <xdr:colOff>594360</xdr:colOff>
      <xdr:row>40</xdr:row>
      <xdr:rowOff>30480</xdr:rowOff>
    </xdr:to>
    <xdr:pic>
      <xdr:nvPicPr>
        <xdr:cNvPr id="18958" name="Picture 10">
          <a:extLst>
            <a:ext uri="{FF2B5EF4-FFF2-40B4-BE49-F238E27FC236}">
              <a16:creationId xmlns:a16="http://schemas.microsoft.com/office/drawing/2014/main" id="{00000000-0008-0000-0600-00000E4A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4869180"/>
          <a:ext cx="2065020" cy="6324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76200</xdr:colOff>
      <xdr:row>24</xdr:row>
      <xdr:rowOff>83820</xdr:rowOff>
    </xdr:from>
    <xdr:to>
      <xdr:col>7</xdr:col>
      <xdr:colOff>274320</xdr:colOff>
      <xdr:row>28</xdr:row>
      <xdr:rowOff>22860</xdr:rowOff>
    </xdr:to>
    <xdr:pic>
      <xdr:nvPicPr>
        <xdr:cNvPr id="18959" name="Picture 11">
          <a:extLst>
            <a:ext uri="{FF2B5EF4-FFF2-40B4-BE49-F238E27FC236}">
              <a16:creationId xmlns:a16="http://schemas.microsoft.com/office/drawing/2014/main" id="{00000000-0008-0000-0600-00000F4A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26720" y="4465320"/>
          <a:ext cx="4792980" cy="6096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601980</xdr:colOff>
      <xdr:row>42</xdr:row>
      <xdr:rowOff>38100</xdr:rowOff>
    </xdr:from>
    <xdr:to>
      <xdr:col>13</xdr:col>
      <xdr:colOff>320040</xdr:colOff>
      <xdr:row>56</xdr:row>
      <xdr:rowOff>45720</xdr:rowOff>
    </xdr:to>
    <xdr:pic>
      <xdr:nvPicPr>
        <xdr:cNvPr id="18960" name="Picture 12">
          <a:extLst>
            <a:ext uri="{FF2B5EF4-FFF2-40B4-BE49-F238E27FC236}">
              <a16:creationId xmlns:a16="http://schemas.microsoft.com/office/drawing/2014/main" id="{00000000-0008-0000-0600-0000104A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5897880"/>
          <a:ext cx="8663940" cy="23545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600-000001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21</xdr:row>
          <xdr:rowOff>76200</xdr:rowOff>
        </xdr:from>
        <xdr:to>
          <xdr:col>4</xdr:col>
          <xdr:colOff>219075</xdr:colOff>
          <xdr:row>23</xdr:row>
          <xdr:rowOff>28575</xdr:rowOff>
        </xdr:to>
        <xdr:sp macro="" textlink="">
          <xdr:nvSpPr>
            <xdr:cNvPr id="18439" name="Button 7" hidden="1">
              <a:extLst>
                <a:ext uri="{63B3BB69-23CF-44E3-9099-C40C66FF867C}">
                  <a14:compatExt spid="_x0000_s18439"/>
                </a:ext>
                <a:ext uri="{FF2B5EF4-FFF2-40B4-BE49-F238E27FC236}">
                  <a16:creationId xmlns:a16="http://schemas.microsoft.com/office/drawing/2014/main" id="{00000000-0008-0000-0600-000007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495300</xdr:colOff>
      <xdr:row>7</xdr:row>
      <xdr:rowOff>160020</xdr:rowOff>
    </xdr:from>
    <xdr:to>
      <xdr:col>12</xdr:col>
      <xdr:colOff>91262</xdr:colOff>
      <xdr:row>24</xdr:row>
      <xdr:rowOff>54433</xdr:rowOff>
    </xdr:to>
    <xdr:graphicFrame macro="">
      <xdr:nvGraphicFramePr>
        <xdr:cNvPr id="10" name="Chart 9">
          <a:extLst>
            <a:ext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485775</xdr:colOff>
          <xdr:row>8</xdr:row>
          <xdr:rowOff>66675</xdr:rowOff>
        </xdr:from>
        <xdr:to>
          <xdr:col>12</xdr:col>
          <xdr:colOff>28575</xdr:colOff>
          <xdr:row>9</xdr:row>
          <xdr:rowOff>104775</xdr:rowOff>
        </xdr:to>
        <xdr:sp macro="" textlink="">
          <xdr:nvSpPr>
            <xdr:cNvPr id="18441" name="Check Box 9" hidden="1">
              <a:extLst>
                <a:ext uri="{63B3BB69-23CF-44E3-9099-C40C66FF867C}">
                  <a14:compatExt spid="_x0000_s18441"/>
                </a:ext>
                <a:ext uri="{FF2B5EF4-FFF2-40B4-BE49-F238E27FC236}">
                  <a16:creationId xmlns:a16="http://schemas.microsoft.com/office/drawing/2014/main" id="{00000000-0008-0000-0600-000009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485775</xdr:colOff>
          <xdr:row>9</xdr:row>
          <xdr:rowOff>104775</xdr:rowOff>
        </xdr:from>
        <xdr:to>
          <xdr:col>12</xdr:col>
          <xdr:colOff>28575</xdr:colOff>
          <xdr:row>10</xdr:row>
          <xdr:rowOff>104775</xdr:rowOff>
        </xdr:to>
        <xdr:sp macro="" textlink="">
          <xdr:nvSpPr>
            <xdr:cNvPr id="18442" name="Check Box 10" hidden="1">
              <a:extLst>
                <a:ext uri="{63B3BB69-23CF-44E3-9099-C40C66FF867C}">
                  <a14:compatExt spid="_x0000_s18442"/>
                </a:ext>
                <a:ext uri="{FF2B5EF4-FFF2-40B4-BE49-F238E27FC236}">
                  <a16:creationId xmlns:a16="http://schemas.microsoft.com/office/drawing/2014/main" id="{00000000-0008-0000-0600-00000A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485775</xdr:colOff>
          <xdr:row>10</xdr:row>
          <xdr:rowOff>104775</xdr:rowOff>
        </xdr:from>
        <xdr:to>
          <xdr:col>12</xdr:col>
          <xdr:colOff>28575</xdr:colOff>
          <xdr:row>11</xdr:row>
          <xdr:rowOff>142875</xdr:rowOff>
        </xdr:to>
        <xdr:sp macro="" textlink="">
          <xdr:nvSpPr>
            <xdr:cNvPr id="18443" name="Check Box 11" hidden="1">
              <a:extLst>
                <a:ext uri="{63B3BB69-23CF-44E3-9099-C40C66FF867C}">
                  <a14:compatExt spid="_x0000_s18443"/>
                </a:ext>
                <a:ext uri="{FF2B5EF4-FFF2-40B4-BE49-F238E27FC236}">
                  <a16:creationId xmlns:a16="http://schemas.microsoft.com/office/drawing/2014/main" id="{00000000-0008-0000-0600-00000B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312420</xdr:colOff>
      <xdr:row>41</xdr:row>
      <xdr:rowOff>0</xdr:rowOff>
    </xdr:from>
    <xdr:to>
      <xdr:col>11</xdr:col>
      <xdr:colOff>441960</xdr:colOff>
      <xdr:row>44</xdr:row>
      <xdr:rowOff>7620</xdr:rowOff>
    </xdr:to>
    <xdr:pic>
      <xdr:nvPicPr>
        <xdr:cNvPr id="3" name="Picture 1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 y="7019925"/>
          <a:ext cx="7387590" cy="588645"/>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23</xdr:row>
          <xdr:rowOff>0</xdr:rowOff>
        </xdr:from>
        <xdr:to>
          <xdr:col>2</xdr:col>
          <xdr:colOff>0</xdr:colOff>
          <xdr:row>24</xdr:row>
          <xdr:rowOff>85725</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485775</xdr:colOff>
          <xdr:row>23</xdr:row>
          <xdr:rowOff>0</xdr:rowOff>
        </xdr:from>
        <xdr:to>
          <xdr:col>5</xdr:col>
          <xdr:colOff>104775</xdr:colOff>
          <xdr:row>24</xdr:row>
          <xdr:rowOff>85725</xdr:rowOff>
        </xdr:to>
        <xdr:sp macro="" textlink="">
          <xdr:nvSpPr>
            <xdr:cNvPr id="45058" name="Button 2" hidden="1">
              <a:extLst>
                <a:ext uri="{63B3BB69-23CF-44E3-9099-C40C66FF867C}">
                  <a14:compatExt spid="_x0000_s45058"/>
                </a:ext>
                <a:ext uri="{FF2B5EF4-FFF2-40B4-BE49-F238E27FC236}">
                  <a16:creationId xmlns:a16="http://schemas.microsoft.com/office/drawing/2014/main" id="{00000000-0008-0000-0700-000002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23</xdr:row>
          <xdr:rowOff>0</xdr:rowOff>
        </xdr:from>
        <xdr:to>
          <xdr:col>9</xdr:col>
          <xdr:colOff>104775</xdr:colOff>
          <xdr:row>24</xdr:row>
          <xdr:rowOff>85725</xdr:rowOff>
        </xdr:to>
        <xdr:sp macro="" textlink="">
          <xdr:nvSpPr>
            <xdr:cNvPr id="45059" name="Button 3" hidden="1">
              <a:extLst>
                <a:ext uri="{63B3BB69-23CF-44E3-9099-C40C66FF867C}">
                  <a14:compatExt spid="_x0000_s45059"/>
                </a:ext>
                <a:ext uri="{FF2B5EF4-FFF2-40B4-BE49-F238E27FC236}">
                  <a16:creationId xmlns:a16="http://schemas.microsoft.com/office/drawing/2014/main" id="{00000000-0008-0000-0700-000003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23</xdr:row>
          <xdr:rowOff>0</xdr:rowOff>
        </xdr:from>
        <xdr:to>
          <xdr:col>3</xdr:col>
          <xdr:colOff>409575</xdr:colOff>
          <xdr:row>24</xdr:row>
          <xdr:rowOff>85725</xdr:rowOff>
        </xdr:to>
        <xdr:sp macro="" textlink="">
          <xdr:nvSpPr>
            <xdr:cNvPr id="45060" name="Button 4" hidden="1">
              <a:extLst>
                <a:ext uri="{63B3BB69-23CF-44E3-9099-C40C66FF867C}">
                  <a14:compatExt spid="_x0000_s45060"/>
                </a:ext>
                <a:ext uri="{FF2B5EF4-FFF2-40B4-BE49-F238E27FC236}">
                  <a16:creationId xmlns:a16="http://schemas.microsoft.com/office/drawing/2014/main" id="{00000000-0008-0000-0700-000004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5</xdr:col>
      <xdr:colOff>152400</xdr:colOff>
      <xdr:row>5</xdr:row>
      <xdr:rowOff>207645</xdr:rowOff>
    </xdr:from>
    <xdr:to>
      <xdr:col>12</xdr:col>
      <xdr:colOff>373202</xdr:colOff>
      <xdr:row>22</xdr:row>
      <xdr:rowOff>92533</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161925</xdr:colOff>
          <xdr:row>6</xdr:row>
          <xdr:rowOff>66675</xdr:rowOff>
        </xdr:from>
        <xdr:to>
          <xdr:col>12</xdr:col>
          <xdr:colOff>314325</xdr:colOff>
          <xdr:row>7</xdr:row>
          <xdr:rowOff>104775</xdr:rowOff>
        </xdr:to>
        <xdr:sp macro="" textlink="">
          <xdr:nvSpPr>
            <xdr:cNvPr id="45061" name="Check Box 5" hidden="1">
              <a:extLst>
                <a:ext uri="{63B3BB69-23CF-44E3-9099-C40C66FF867C}">
                  <a14:compatExt spid="_x0000_s45061"/>
                </a:ext>
                <a:ext uri="{FF2B5EF4-FFF2-40B4-BE49-F238E27FC236}">
                  <a16:creationId xmlns:a16="http://schemas.microsoft.com/office/drawing/2014/main" id="{00000000-0008-0000-0700-000005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161925</xdr:colOff>
          <xdr:row>7</xdr:row>
          <xdr:rowOff>104775</xdr:rowOff>
        </xdr:from>
        <xdr:to>
          <xdr:col>12</xdr:col>
          <xdr:colOff>314325</xdr:colOff>
          <xdr:row>8</xdr:row>
          <xdr:rowOff>152400</xdr:rowOff>
        </xdr:to>
        <xdr:sp macro="" textlink="">
          <xdr:nvSpPr>
            <xdr:cNvPr id="45062" name="Check Box 6" hidden="1">
              <a:extLst>
                <a:ext uri="{63B3BB69-23CF-44E3-9099-C40C66FF867C}">
                  <a14:compatExt spid="_x0000_s45062"/>
                </a:ext>
                <a:ext uri="{FF2B5EF4-FFF2-40B4-BE49-F238E27FC236}">
                  <a16:creationId xmlns:a16="http://schemas.microsoft.com/office/drawing/2014/main" id="{00000000-0008-0000-0700-000006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161925</xdr:colOff>
          <xdr:row>8</xdr:row>
          <xdr:rowOff>152400</xdr:rowOff>
        </xdr:from>
        <xdr:to>
          <xdr:col>12</xdr:col>
          <xdr:colOff>314325</xdr:colOff>
          <xdr:row>10</xdr:row>
          <xdr:rowOff>28575</xdr:rowOff>
        </xdr:to>
        <xdr:sp macro="" textlink="">
          <xdr:nvSpPr>
            <xdr:cNvPr id="45063" name="Check Box 7" hidden="1">
              <a:extLst>
                <a:ext uri="{63B3BB69-23CF-44E3-9099-C40C66FF867C}">
                  <a14:compatExt spid="_x0000_s45063"/>
                </a:ext>
                <a:ext uri="{FF2B5EF4-FFF2-40B4-BE49-F238E27FC236}">
                  <a16:creationId xmlns:a16="http://schemas.microsoft.com/office/drawing/2014/main" id="{00000000-0008-0000-0700-000007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editAs="oneCell">
    <xdr:from>
      <xdr:col>1</xdr:col>
      <xdr:colOff>7620</xdr:colOff>
      <xdr:row>32</xdr:row>
      <xdr:rowOff>154305</xdr:rowOff>
    </xdr:from>
    <xdr:to>
      <xdr:col>11</xdr:col>
      <xdr:colOff>194310</xdr:colOff>
      <xdr:row>34</xdr:row>
      <xdr:rowOff>154305</xdr:rowOff>
    </xdr:to>
    <xdr:pic>
      <xdr:nvPicPr>
        <xdr:cNvPr id="17" name="Picture 5">
          <a:extLst>
            <a:ext uri="{FF2B5EF4-FFF2-40B4-BE49-F238E27FC236}">
              <a16:creationId xmlns:a16="http://schemas.microsoft.com/office/drawing/2014/main" id="{00000000-0008-0000-0700-000011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r="7463" b="-9091"/>
        <a:stretch>
          <a:fillRect/>
        </a:stretch>
      </xdr:blipFill>
      <xdr:spPr bwMode="auto">
        <a:xfrm>
          <a:off x="350520" y="5850255"/>
          <a:ext cx="7101840" cy="32385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35</xdr:row>
      <xdr:rowOff>0</xdr:rowOff>
    </xdr:from>
    <xdr:to>
      <xdr:col>10</xdr:col>
      <xdr:colOff>19478</xdr:colOff>
      <xdr:row>38</xdr:row>
      <xdr:rowOff>40005</xdr:rowOff>
    </xdr:to>
    <xdr:pic>
      <xdr:nvPicPr>
        <xdr:cNvPr id="18" name="Picture 6">
          <a:extLst>
            <a:ext uri="{FF2B5EF4-FFF2-40B4-BE49-F238E27FC236}">
              <a16:creationId xmlns:a16="http://schemas.microsoft.com/office/drawing/2014/main" id="{00000000-0008-0000-0700-000012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42900" y="6181725"/>
          <a:ext cx="6325028" cy="5257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45720</xdr:colOff>
      <xdr:row>25</xdr:row>
      <xdr:rowOff>47625</xdr:rowOff>
    </xdr:from>
    <xdr:to>
      <xdr:col>4</xdr:col>
      <xdr:colOff>179070</xdr:colOff>
      <xdr:row>33</xdr:row>
      <xdr:rowOff>32385</xdr:rowOff>
    </xdr:to>
    <xdr:pic>
      <xdr:nvPicPr>
        <xdr:cNvPr id="19" name="Picture 10">
          <a:extLst>
            <a:ext uri="{FF2B5EF4-FFF2-40B4-BE49-F238E27FC236}">
              <a16:creationId xmlns:a16="http://schemas.microsoft.com/office/drawing/2014/main" id="{00000000-0008-0000-0700-000013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88620" y="4610100"/>
          <a:ext cx="2781300" cy="12801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314325</xdr:colOff>
      <xdr:row>45</xdr:row>
      <xdr:rowOff>28575</xdr:rowOff>
    </xdr:from>
    <xdr:to>
      <xdr:col>13</xdr:col>
      <xdr:colOff>323850</xdr:colOff>
      <xdr:row>57</xdr:row>
      <xdr:rowOff>120015</xdr:rowOff>
    </xdr:to>
    <xdr:pic>
      <xdr:nvPicPr>
        <xdr:cNvPr id="20" name="Picture 11">
          <a:extLst>
            <a:ext uri="{FF2B5EF4-FFF2-40B4-BE49-F238E27FC236}">
              <a16:creationId xmlns:a16="http://schemas.microsoft.com/office/drawing/2014/main" id="{00000000-0008-0000-0700-00001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14325" y="7991475"/>
          <a:ext cx="8486775" cy="20345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8</xdr:col>
      <xdr:colOff>565784</xdr:colOff>
      <xdr:row>24</xdr:row>
      <xdr:rowOff>79375</xdr:rowOff>
    </xdr:from>
    <xdr:to>
      <xdr:col>9</xdr:col>
      <xdr:colOff>194309</xdr:colOff>
      <xdr:row>25</xdr:row>
      <xdr:rowOff>6984</xdr:rowOff>
    </xdr:to>
    <xdr:sp macro="" textlink="">
      <xdr:nvSpPr>
        <xdr:cNvPr id="21" name="Line 25">
          <a:extLst>
            <a:ext uri="{FF2B5EF4-FFF2-40B4-BE49-F238E27FC236}">
              <a16:creationId xmlns:a16="http://schemas.microsoft.com/office/drawing/2014/main" id="{00000000-0008-0000-0700-000015000000}"/>
            </a:ext>
          </a:extLst>
        </xdr:cNvPr>
        <xdr:cNvSpPr>
          <a:spLocks noChangeShapeType="1"/>
        </xdr:cNvSpPr>
      </xdr:nvSpPr>
      <xdr:spPr bwMode="auto">
        <a:xfrm flipH="1" flipV="1">
          <a:off x="6788784" y="4092575"/>
          <a:ext cx="327025" cy="80009"/>
        </a:xfrm>
        <a:prstGeom prst="line">
          <a:avLst/>
        </a:prstGeom>
        <a:noFill/>
        <a:ln w="9525">
          <a:solidFill>
            <a:srgbClr val="000000"/>
          </a:solidFill>
          <a:round/>
          <a:headEnd/>
          <a:tailEnd type="triangle" w="med" len="med"/>
        </a:ln>
        <a:extLst>
          <a:ext uri="{909E8E84-426E-40dd-AFC4-6F175D3DCCD1}">
            <a14:hiddenFill xmlns:a14="http://schemas.microsoft.com/office/drawing/2010/main" xmlns="">
              <a:noFill/>
            </a14:hiddenFill>
          </a:ext>
        </a:extLst>
      </xdr:spPr>
      <xdr:txBody>
        <a:bodyPr/>
        <a:lstStyle/>
        <a:p>
          <a:endParaRPr/>
        </a:p>
      </xdr:txBody>
    </xdr:sp>
    <xdr:clientData/>
  </xdr:twoCellAnchor>
  <xdr:twoCellAnchor>
    <xdr:from>
      <xdr:col>5</xdr:col>
      <xdr:colOff>438150</xdr:colOff>
      <xdr:row>25</xdr:row>
      <xdr:rowOff>36197</xdr:rowOff>
    </xdr:from>
    <xdr:to>
      <xdr:col>11</xdr:col>
      <xdr:colOff>411488</xdr:colOff>
      <xdr:row>32</xdr:row>
      <xdr:rowOff>25400</xdr:rowOff>
    </xdr:to>
    <xdr:sp macro="" textlink="">
      <xdr:nvSpPr>
        <xdr:cNvPr id="22" name="Text Box 26">
          <a:extLst>
            <a:ext uri="{FF2B5EF4-FFF2-40B4-BE49-F238E27FC236}">
              <a16:creationId xmlns:a16="http://schemas.microsoft.com/office/drawing/2014/main" id="{00000000-0008-0000-0700-000016000000}"/>
            </a:ext>
          </a:extLst>
        </xdr:cNvPr>
        <xdr:cNvSpPr txBox="1">
          <a:spLocks noChangeArrowheads="1"/>
        </xdr:cNvSpPr>
      </xdr:nvSpPr>
      <xdr:spPr bwMode="auto">
        <a:xfrm>
          <a:off x="4222750" y="4531997"/>
          <a:ext cx="3821438" cy="1106803"/>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a:t>
          </a:r>
          <a:r>
            <a:rPr lang="en-US" sz="1000" b="1" i="0" strike="noStrike">
              <a:solidFill>
                <a:srgbClr val="000000"/>
              </a:solidFill>
              <a:latin typeface="Arial"/>
              <a:cs typeface="Arial"/>
            </a:rPr>
            <a:t>parallel </a:t>
          </a:r>
          <a:r>
            <a:rPr lang="en-US" sz="1000" b="0" i="0" strike="noStrike">
              <a:solidFill>
                <a:srgbClr val="000000"/>
              </a:solidFill>
              <a:latin typeface="Arial"/>
              <a:cs typeface="Arial"/>
            </a:rPr>
            <a:t>BE study in the literature that reports the Test/Reference Ratios and 90%CI for Cmax, AUCt, or AUCinf, you can use this macro to back-calculate the total CV. If you're lucky, sometimes authors will publish the total CV directly. </a:t>
          </a:r>
        </a:p>
        <a:p>
          <a:pPr algn="l" rtl="1">
            <a:defRPr sz="1000"/>
          </a:pPr>
          <a:r>
            <a:rPr lang="en-US" sz="1000" b="0" i="0" strike="noStrike">
              <a:solidFill>
                <a:srgbClr val="000000"/>
              </a:solidFill>
              <a:latin typeface="Arial"/>
              <a:cs typeface="Arial"/>
            </a:rPr>
            <a:t>If</a:t>
          </a:r>
          <a:r>
            <a:rPr lang="en-US" sz="1000" b="0" i="0" strike="noStrike" baseline="0">
              <a:solidFill>
                <a:srgbClr val="000000"/>
              </a:solidFill>
              <a:latin typeface="Arial"/>
              <a:cs typeface="Arial"/>
            </a:rPr>
            <a:t> the InterCV and IntraCV are published or you have these resolved from a crossover or replicate, use the </a:t>
          </a:r>
          <a:r>
            <a:rPr lang="en-US" sz="1000" b="1" i="0" strike="noStrike" baseline="0">
              <a:solidFill>
                <a:srgbClr val="000000"/>
              </a:solidFill>
              <a:latin typeface="Arial"/>
              <a:cs typeface="Arial"/>
            </a:rPr>
            <a:t>calculator</a:t>
          </a:r>
          <a:r>
            <a:rPr lang="en-US" sz="1000" b="0" i="0" strike="noStrike" baseline="0">
              <a:solidFill>
                <a:srgbClr val="000000"/>
              </a:solidFill>
              <a:latin typeface="Arial"/>
              <a:cs typeface="Arial"/>
            </a:rPr>
            <a:t> at cell N17 to calculate the total CV.</a:t>
          </a:r>
          <a:endParaRPr lang="en-US" sz="1000" b="0" i="0" strike="noStrike">
            <a:solidFill>
              <a:srgbClr val="000000"/>
            </a:solidFill>
            <a:latin typeface="Arial"/>
            <a:cs typeface="Arial"/>
          </a:endParaRPr>
        </a:p>
      </xdr:txBody>
    </xdr:sp>
    <xdr:clientData/>
  </xdr:twoCellAnchor>
  <xdr:twoCellAnchor editAs="oneCell">
    <xdr:from>
      <xdr:col>12</xdr:col>
      <xdr:colOff>571500</xdr:colOff>
      <xdr:row>5</xdr:row>
      <xdr:rowOff>12700</xdr:rowOff>
    </xdr:from>
    <xdr:to>
      <xdr:col>16</xdr:col>
      <xdr:colOff>408132</xdr:colOff>
      <xdr:row>10</xdr:row>
      <xdr:rowOff>177800</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rotWithShape="1">
        <a:blip xmlns:r="http://schemas.openxmlformats.org/officeDocument/2006/relationships" r:embed="rId7"/>
        <a:srcRect t="1" b="41857"/>
        <a:stretch/>
      </xdr:blipFill>
      <xdr:spPr>
        <a:xfrm>
          <a:off x="8845550" y="1054100"/>
          <a:ext cx="2402032" cy="1035050"/>
        </a:xfrm>
        <a:prstGeom prst="rect">
          <a:avLst/>
        </a:prstGeom>
      </xdr:spPr>
    </xdr:pic>
    <xdr:clientData/>
  </xdr:twoCellAnchor>
  <xdr:twoCellAnchor>
    <xdr:from>
      <xdr:col>3</xdr:col>
      <xdr:colOff>603250</xdr:colOff>
      <xdr:row>50</xdr:row>
      <xdr:rowOff>0</xdr:rowOff>
    </xdr:from>
    <xdr:to>
      <xdr:col>6</xdr:col>
      <xdr:colOff>184150</xdr:colOff>
      <xdr:row>50</xdr:row>
      <xdr:rowOff>0</xdr:rowOff>
    </xdr:to>
    <xdr:cxnSp macro="">
      <xdr:nvCxnSpPr>
        <xdr:cNvPr id="5" name="Straight Connector 4">
          <a:extLst>
            <a:ext uri="{FF2B5EF4-FFF2-40B4-BE49-F238E27FC236}">
              <a16:creationId xmlns:a16="http://schemas.microsoft.com/office/drawing/2014/main" id="{00000000-0008-0000-0700-000005000000}"/>
            </a:ext>
          </a:extLst>
        </xdr:cNvPr>
        <xdr:cNvCxnSpPr/>
      </xdr:nvCxnSpPr>
      <xdr:spPr>
        <a:xfrm>
          <a:off x="3105150" y="8604250"/>
          <a:ext cx="1504950"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488950</xdr:colOff>
      <xdr:row>52</xdr:row>
      <xdr:rowOff>152400</xdr:rowOff>
    </xdr:from>
    <xdr:to>
      <xdr:col>2</xdr:col>
      <xdr:colOff>495300</xdr:colOff>
      <xdr:row>52</xdr:row>
      <xdr:rowOff>152400</xdr:rowOff>
    </xdr:to>
    <xdr:cxnSp macro="">
      <xdr:nvCxnSpPr>
        <xdr:cNvPr id="24" name="Straight Connector 23">
          <a:extLst>
            <a:ext uri="{FF2B5EF4-FFF2-40B4-BE49-F238E27FC236}">
              <a16:creationId xmlns:a16="http://schemas.microsoft.com/office/drawing/2014/main" id="{00000000-0008-0000-0700-000018000000}"/>
            </a:ext>
          </a:extLst>
        </xdr:cNvPr>
        <xdr:cNvCxnSpPr/>
      </xdr:nvCxnSpPr>
      <xdr:spPr>
        <a:xfrm>
          <a:off x="850900" y="9074150"/>
          <a:ext cx="1504950"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6350</xdr:colOff>
      <xdr:row>20</xdr:row>
      <xdr:rowOff>69850</xdr:rowOff>
    </xdr:from>
    <xdr:to>
      <xdr:col>13</xdr:col>
      <xdr:colOff>558800</xdr:colOff>
      <xdr:row>29</xdr:row>
      <xdr:rowOff>44450</xdr:rowOff>
    </xdr:to>
    <xdr:sp macro="" textlink="">
      <xdr:nvSpPr>
        <xdr:cNvPr id="23" name="Line 25">
          <a:extLst>
            <a:ext uri="{FF2B5EF4-FFF2-40B4-BE49-F238E27FC236}">
              <a16:creationId xmlns:a16="http://schemas.microsoft.com/office/drawing/2014/main" id="{00000000-0008-0000-0700-000017000000}"/>
            </a:ext>
          </a:extLst>
        </xdr:cNvPr>
        <xdr:cNvSpPr>
          <a:spLocks noChangeShapeType="1"/>
        </xdr:cNvSpPr>
      </xdr:nvSpPr>
      <xdr:spPr bwMode="auto">
        <a:xfrm flipV="1">
          <a:off x="7639050" y="3733800"/>
          <a:ext cx="1835150" cy="1409700"/>
        </a:xfrm>
        <a:prstGeom prst="line">
          <a:avLst/>
        </a:prstGeom>
        <a:noFill/>
        <a:ln w="9525">
          <a:solidFill>
            <a:srgbClr val="000000"/>
          </a:solidFill>
          <a:round/>
          <a:headEnd/>
          <a:tailEnd type="triangle" w="med" len="med"/>
        </a:ln>
        <a:extLst>
          <a:ext uri="{909E8E84-426E-40dd-AFC4-6F175D3DCCD1}">
            <a14:hiddenFill xmlns:a14="http://schemas.microsoft.com/office/drawing/2010/main" xmlns="">
              <a:noFill/>
            </a14:hiddenFill>
          </a:ext>
        </a:extLst>
      </xdr:spPr>
    </xdr:sp>
    <xdr:clientData/>
  </xdr:twoCellAnchor>
  <xdr:twoCellAnchor editAs="oneCell">
    <xdr:from>
      <xdr:col>13</xdr:col>
      <xdr:colOff>31750</xdr:colOff>
      <xdr:row>11</xdr:row>
      <xdr:rowOff>17083</xdr:rowOff>
    </xdr:from>
    <xdr:to>
      <xdr:col>14</xdr:col>
      <xdr:colOff>514350</xdr:colOff>
      <xdr:row>11</xdr:row>
      <xdr:rowOff>189086</xdr:rowOff>
    </xdr:to>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8"/>
        <a:stretch>
          <a:fillRect/>
        </a:stretch>
      </xdr:blipFill>
      <xdr:spPr>
        <a:xfrm>
          <a:off x="8947150" y="2131633"/>
          <a:ext cx="1123950" cy="172003"/>
        </a:xfrm>
        <a:prstGeom prst="rect">
          <a:avLst/>
        </a:prstGeom>
      </xdr:spPr>
    </xdr:pic>
    <xdr:clientData/>
  </xdr:twoCellAnchor>
  <xdr:twoCellAnchor editAs="oneCell">
    <xdr:from>
      <xdr:col>12</xdr:col>
      <xdr:colOff>603251</xdr:colOff>
      <xdr:row>12</xdr:row>
      <xdr:rowOff>70690</xdr:rowOff>
    </xdr:from>
    <xdr:to>
      <xdr:col>15</xdr:col>
      <xdr:colOff>120651</xdr:colOff>
      <xdr:row>13</xdr:row>
      <xdr:rowOff>89179</xdr:rowOff>
    </xdr:to>
    <xdr:pic>
      <xdr:nvPicPr>
        <xdr:cNvPr id="8" name="Picture 7">
          <a:extLst>
            <a:ext uri="{FF2B5EF4-FFF2-40B4-BE49-F238E27FC236}">
              <a16:creationId xmlns:a16="http://schemas.microsoft.com/office/drawing/2014/main" id="{00000000-0008-0000-0700-000008000000}"/>
            </a:ext>
          </a:extLst>
        </xdr:cNvPr>
        <xdr:cNvPicPr>
          <a:picLocks noChangeAspect="1"/>
        </xdr:cNvPicPr>
      </xdr:nvPicPr>
      <xdr:blipFill>
        <a:blip xmlns:r="http://schemas.openxmlformats.org/officeDocument/2006/relationships" r:embed="rId9"/>
        <a:stretch>
          <a:fillRect/>
        </a:stretch>
      </xdr:blipFill>
      <xdr:spPr>
        <a:xfrm>
          <a:off x="8877301" y="2382090"/>
          <a:ext cx="1441450" cy="21533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220980</xdr:colOff>
      <xdr:row>34</xdr:row>
      <xdr:rowOff>144780</xdr:rowOff>
    </xdr:from>
    <xdr:to>
      <xdr:col>5</xdr:col>
      <xdr:colOff>518160</xdr:colOff>
      <xdr:row>37</xdr:row>
      <xdr:rowOff>7620</xdr:rowOff>
    </xdr:to>
    <xdr:pic>
      <xdr:nvPicPr>
        <xdr:cNvPr id="1732" name="Picture 11">
          <a:extLst>
            <a:ext uri="{FF2B5EF4-FFF2-40B4-BE49-F238E27FC236}">
              <a16:creationId xmlns:a16="http://schemas.microsoft.com/office/drawing/2014/main" id="{00000000-0008-0000-0800-0000C40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815" t="41701" r="21979" b="41179"/>
        <a:stretch>
          <a:fillRect/>
        </a:stretch>
      </xdr:blipFill>
      <xdr:spPr bwMode="auto">
        <a:xfrm>
          <a:off x="220980" y="6141720"/>
          <a:ext cx="3992880" cy="3657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312420</xdr:colOff>
      <xdr:row>41</xdr:row>
      <xdr:rowOff>0</xdr:rowOff>
    </xdr:from>
    <xdr:to>
      <xdr:col>11</xdr:col>
      <xdr:colOff>441960</xdr:colOff>
      <xdr:row>44</xdr:row>
      <xdr:rowOff>7620</xdr:rowOff>
    </xdr:to>
    <xdr:pic>
      <xdr:nvPicPr>
        <xdr:cNvPr id="1733" name="Picture 16">
          <a:extLst>
            <a:ext uri="{FF2B5EF4-FFF2-40B4-BE49-F238E27FC236}">
              <a16:creationId xmlns:a16="http://schemas.microsoft.com/office/drawing/2014/main" id="{00000000-0008-0000-0800-0000C50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2420" y="7170420"/>
          <a:ext cx="7574280" cy="5943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297180</xdr:colOff>
      <xdr:row>37</xdr:row>
      <xdr:rowOff>45720</xdr:rowOff>
    </xdr:from>
    <xdr:to>
      <xdr:col>7</xdr:col>
      <xdr:colOff>236220</xdr:colOff>
      <xdr:row>40</xdr:row>
      <xdr:rowOff>93980</xdr:rowOff>
    </xdr:to>
    <xdr:pic>
      <xdr:nvPicPr>
        <xdr:cNvPr id="1734" name="Picture 21">
          <a:extLst>
            <a:ext uri="{FF2B5EF4-FFF2-40B4-BE49-F238E27FC236}">
              <a16:creationId xmlns:a16="http://schemas.microsoft.com/office/drawing/2014/main" id="{00000000-0008-0000-0800-0000C60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931" t="73627" r="9576"/>
        <a:stretch>
          <a:fillRect/>
        </a:stretch>
      </xdr:blipFill>
      <xdr:spPr bwMode="auto">
        <a:xfrm>
          <a:off x="297180" y="6545580"/>
          <a:ext cx="4884420" cy="5511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281940</xdr:colOff>
      <xdr:row>24</xdr:row>
      <xdr:rowOff>152400</xdr:rowOff>
    </xdr:from>
    <xdr:to>
      <xdr:col>4</xdr:col>
      <xdr:colOff>586740</xdr:colOff>
      <xdr:row>33</xdr:row>
      <xdr:rowOff>129539</xdr:rowOff>
    </xdr:to>
    <xdr:pic>
      <xdr:nvPicPr>
        <xdr:cNvPr id="1735" name="Picture 22">
          <a:extLst>
            <a:ext uri="{FF2B5EF4-FFF2-40B4-BE49-F238E27FC236}">
              <a16:creationId xmlns:a16="http://schemas.microsoft.com/office/drawing/2014/main" id="{00000000-0008-0000-0800-0000C70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1940" y="4472940"/>
          <a:ext cx="3375660" cy="14859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45</xdr:row>
      <xdr:rowOff>0</xdr:rowOff>
    </xdr:from>
    <xdr:to>
      <xdr:col>13</xdr:col>
      <xdr:colOff>320040</xdr:colOff>
      <xdr:row>59</xdr:row>
      <xdr:rowOff>0</xdr:rowOff>
    </xdr:to>
    <xdr:pic>
      <xdr:nvPicPr>
        <xdr:cNvPr id="1736" name="Picture 23">
          <a:extLst>
            <a:ext uri="{FF2B5EF4-FFF2-40B4-BE49-F238E27FC236}">
              <a16:creationId xmlns:a16="http://schemas.microsoft.com/office/drawing/2014/main" id="{00000000-0008-0000-0800-0000C80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5128260"/>
          <a:ext cx="8663940" cy="23469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7620</xdr:colOff>
      <xdr:row>60</xdr:row>
      <xdr:rowOff>129540</xdr:rowOff>
    </xdr:from>
    <xdr:to>
      <xdr:col>13</xdr:col>
      <xdr:colOff>335280</xdr:colOff>
      <xdr:row>65</xdr:row>
      <xdr:rowOff>60961</xdr:rowOff>
    </xdr:to>
    <xdr:pic>
      <xdr:nvPicPr>
        <xdr:cNvPr id="1737" name="Picture 24">
          <a:extLst>
            <a:ext uri="{FF2B5EF4-FFF2-40B4-BE49-F238E27FC236}">
              <a16:creationId xmlns:a16="http://schemas.microsoft.com/office/drawing/2014/main" id="{00000000-0008-0000-0800-0000C90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8140" y="7772400"/>
          <a:ext cx="8671560" cy="7696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5</xdr:col>
      <xdr:colOff>510540</xdr:colOff>
      <xdr:row>25</xdr:row>
      <xdr:rowOff>64771</xdr:rowOff>
    </xdr:from>
    <xdr:to>
      <xdr:col>11</xdr:col>
      <xdr:colOff>483878</xdr:colOff>
      <xdr:row>29</xdr:row>
      <xdr:rowOff>76200</xdr:rowOff>
    </xdr:to>
    <xdr:sp macro="" textlink="">
      <xdr:nvSpPr>
        <xdr:cNvPr id="1050" name="Text Box 26">
          <a:extLst>
            <a:ext uri="{FF2B5EF4-FFF2-40B4-BE49-F238E27FC236}">
              <a16:creationId xmlns:a16="http://schemas.microsoft.com/office/drawing/2014/main" id="{00000000-0008-0000-0800-00001A040000}"/>
            </a:ext>
          </a:extLst>
        </xdr:cNvPr>
        <xdr:cNvSpPr txBox="1">
          <a:spLocks noChangeArrowheads="1"/>
        </xdr:cNvSpPr>
      </xdr:nvSpPr>
      <xdr:spPr bwMode="auto">
        <a:xfrm>
          <a:off x="4110990" y="4493896"/>
          <a:ext cx="3630938" cy="659129"/>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BE study in the literature that reports the Test/Reference Ratios and 90%CI for Cmax, AUCt, or AUCinf, you can use this macro to back-calculate the ISV. If you're lucky, sometimes authors will publish the ISV directly.</a:t>
          </a:r>
        </a:p>
      </xdr:txBody>
    </xdr:sp>
    <xdr:clientData/>
  </xdr:twoCellAnchor>
  <mc:AlternateContent xmlns:mc="http://schemas.openxmlformats.org/markup-compatibility/2006">
    <mc:Choice xmlns:a14="http://schemas.microsoft.com/office/drawing/2010/main" Requires="a14">
      <xdr:twoCellAnchor>
        <xdr:from>
          <xdr:col>1</xdr:col>
          <xdr:colOff>104775</xdr:colOff>
          <xdr:row>23</xdr:row>
          <xdr:rowOff>0</xdr:rowOff>
        </xdr:from>
        <xdr:to>
          <xdr:col>2</xdr:col>
          <xdr:colOff>0</xdr:colOff>
          <xdr:row>24</xdr:row>
          <xdr:rowOff>85725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8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485775</xdr:colOff>
          <xdr:row>23</xdr:row>
          <xdr:rowOff>0</xdr:rowOff>
        </xdr:from>
        <xdr:to>
          <xdr:col>5</xdr:col>
          <xdr:colOff>104775</xdr:colOff>
          <xdr:row>24</xdr:row>
          <xdr:rowOff>85725</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800-00001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23</xdr:row>
          <xdr:rowOff>0</xdr:rowOff>
        </xdr:from>
        <xdr:to>
          <xdr:col>9</xdr:col>
          <xdr:colOff>104775</xdr:colOff>
          <xdr:row>24</xdr:row>
          <xdr:rowOff>85725</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800-00001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ISV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23</xdr:row>
          <xdr:rowOff>0</xdr:rowOff>
        </xdr:from>
        <xdr:to>
          <xdr:col>3</xdr:col>
          <xdr:colOff>409575</xdr:colOff>
          <xdr:row>24</xdr:row>
          <xdr:rowOff>85725</xdr:rowOff>
        </xdr:to>
        <xdr:sp macro="" textlink="">
          <xdr:nvSpPr>
            <xdr:cNvPr id="1147" name="Button 123" hidden="1">
              <a:extLst>
                <a:ext uri="{63B3BB69-23CF-44E3-9099-C40C66FF867C}">
                  <a14:compatExt spid="_x0000_s1147"/>
                </a:ext>
                <a:ext uri="{FF2B5EF4-FFF2-40B4-BE49-F238E27FC236}">
                  <a16:creationId xmlns:a16="http://schemas.microsoft.com/office/drawing/2014/main" id="{00000000-0008-0000-0800-00007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4</xdr:col>
      <xdr:colOff>342900</xdr:colOff>
      <xdr:row>5</xdr:row>
      <xdr:rowOff>207645</xdr:rowOff>
    </xdr:from>
    <xdr:to>
      <xdr:col>11</xdr:col>
      <xdr:colOff>563702</xdr:colOff>
      <xdr:row>22</xdr:row>
      <xdr:rowOff>92533</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352425</xdr:colOff>
          <xdr:row>6</xdr:row>
          <xdr:rowOff>66675</xdr:rowOff>
        </xdr:from>
        <xdr:to>
          <xdr:col>11</xdr:col>
          <xdr:colOff>504825</xdr:colOff>
          <xdr:row>7</xdr:row>
          <xdr:rowOff>104775</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0800-00007C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352425</xdr:colOff>
          <xdr:row>7</xdr:row>
          <xdr:rowOff>104775</xdr:rowOff>
        </xdr:from>
        <xdr:to>
          <xdr:col>11</xdr:col>
          <xdr:colOff>504825</xdr:colOff>
          <xdr:row>8</xdr:row>
          <xdr:rowOff>152400</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0800-00007D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352425</xdr:colOff>
          <xdr:row>8</xdr:row>
          <xdr:rowOff>152400</xdr:rowOff>
        </xdr:from>
        <xdr:to>
          <xdr:col>11</xdr:col>
          <xdr:colOff>504825</xdr:colOff>
          <xdr:row>9</xdr:row>
          <xdr:rowOff>190500</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0800-00007E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xdr:from>
      <xdr:col>12</xdr:col>
      <xdr:colOff>38100</xdr:colOff>
      <xdr:row>6</xdr:row>
      <xdr:rowOff>0</xdr:rowOff>
    </xdr:from>
    <xdr:to>
      <xdr:col>19</xdr:col>
      <xdr:colOff>506831</xdr:colOff>
      <xdr:row>31</xdr:row>
      <xdr:rowOff>152400</xdr:rowOff>
    </xdr:to>
    <xdr:sp macro="" textlink="">
      <xdr:nvSpPr>
        <xdr:cNvPr id="17" name="TextBox 16">
          <a:extLst>
            <a:ext uri="{FF2B5EF4-FFF2-40B4-BE49-F238E27FC236}">
              <a16:creationId xmlns:a16="http://schemas.microsoft.com/office/drawing/2014/main" id="{00000000-0008-0000-0800-000011000000}"/>
            </a:ext>
          </a:extLst>
        </xdr:cNvPr>
        <xdr:cNvSpPr txBox="1"/>
      </xdr:nvSpPr>
      <xdr:spPr>
        <a:xfrm>
          <a:off x="7905750" y="1276350"/>
          <a:ext cx="4735931" cy="4276725"/>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000"/>
            <a:t>Note: </a:t>
          </a:r>
          <a:r>
            <a:rPr lang="en-CA" sz="1000" b="1"/>
            <a:t>For</a:t>
          </a:r>
          <a:r>
            <a:rPr lang="en-CA" sz="1000" b="1" baseline="0"/>
            <a:t> Average Bioequivalence Sample Size that should be equivalent to this routine, </a:t>
          </a:r>
          <a:r>
            <a:rPr lang="en-CA" sz="1000" baseline="0">
              <a:solidFill>
                <a:schemeClr val="dk1"/>
              </a:solidFill>
              <a:effectLst/>
              <a:latin typeface="+mn-lt"/>
              <a:ea typeface="+mn-ea"/>
              <a:cs typeface="+mn-cs"/>
            </a:rPr>
            <a:t>install the PowerTOST library in R-Project, and use the following commands: (e.g.)</a:t>
          </a:r>
          <a:endParaRPr lang="en-CA" sz="1000" baseline="0"/>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sampleN.TOST(</a:t>
          </a:r>
        </a:p>
        <a:p>
          <a:r>
            <a:rPr lang="en-CA" sz="1000" baseline="0">
              <a:solidFill>
                <a:srgbClr val="0070C0"/>
              </a:solidFill>
              <a:latin typeface="+mn-lt"/>
              <a:ea typeface="+mn-ea"/>
              <a:cs typeface="+mn-cs"/>
            </a:rPr>
            <a:t>  alpha = 0.05, </a:t>
          </a:r>
        </a:p>
        <a:p>
          <a:r>
            <a:rPr lang="en-CA" sz="1000" baseline="0">
              <a:solidFill>
                <a:srgbClr val="0070C0"/>
              </a:solidFill>
              <a:latin typeface="+mn-lt"/>
              <a:ea typeface="+mn-ea"/>
              <a:cs typeface="+mn-cs"/>
            </a:rPr>
            <a:t>  targetpower = 0.8, </a:t>
          </a:r>
        </a:p>
        <a:p>
          <a:r>
            <a:rPr lang="en-CA" sz="1000" baseline="0">
              <a:solidFill>
                <a:srgbClr val="0070C0"/>
              </a:solidFill>
              <a:latin typeface="+mn-lt"/>
              <a:ea typeface="+mn-ea"/>
              <a:cs typeface="+mn-cs"/>
            </a:rPr>
            <a:t>  logscale = TRUE,</a:t>
          </a:r>
        </a:p>
        <a:p>
          <a:r>
            <a:rPr lang="en-CA" sz="1000" baseline="0">
              <a:solidFill>
                <a:srgbClr val="0070C0"/>
              </a:solidFill>
              <a:latin typeface="+mn-lt"/>
              <a:ea typeface="+mn-ea"/>
              <a:cs typeface="+mn-cs"/>
            </a:rPr>
            <a:t>  theta0=0.95,  # Replace this desired T/R ratio of PK parameter, if available</a:t>
          </a:r>
        </a:p>
        <a:p>
          <a:r>
            <a:rPr lang="en-CA" sz="1000" baseline="0">
              <a:solidFill>
                <a:srgbClr val="0070C0"/>
              </a:solidFill>
              <a:latin typeface="+mn-lt"/>
              <a:ea typeface="+mn-ea"/>
              <a:cs typeface="+mn-cs"/>
            </a:rPr>
            <a:t>  theta1=0.8,</a:t>
          </a:r>
        </a:p>
        <a:p>
          <a:r>
            <a:rPr lang="en-CA" sz="1000" baseline="0">
              <a:solidFill>
                <a:srgbClr val="0070C0"/>
              </a:solidFill>
              <a:latin typeface="+mn-lt"/>
              <a:ea typeface="+mn-ea"/>
              <a:cs typeface="+mn-cs"/>
            </a:rPr>
            <a:t>  theta2=1.25,</a:t>
          </a:r>
        </a:p>
        <a:p>
          <a:r>
            <a:rPr lang="en-CA" sz="1000" baseline="0">
              <a:solidFill>
                <a:srgbClr val="0070C0"/>
              </a:solidFill>
              <a:latin typeface="+mn-lt"/>
              <a:ea typeface="+mn-ea"/>
              <a:cs typeface="+mn-cs"/>
            </a:rPr>
            <a:t>  CV=IntraCV,  # Replace IntraCV with the actual number (in decimal, not %)  </a:t>
          </a:r>
        </a:p>
        <a:p>
          <a:r>
            <a:rPr lang="en-CA" sz="1000" baseline="0">
              <a:solidFill>
                <a:srgbClr val="0070C0"/>
              </a:solidFill>
              <a:latin typeface="+mn-lt"/>
              <a:ea typeface="+mn-ea"/>
              <a:cs typeface="+mn-cs"/>
            </a:rPr>
            <a:t>  design = "2x2",</a:t>
          </a:r>
        </a:p>
        <a:p>
          <a:r>
            <a:rPr lang="en-CA" sz="1000" baseline="0">
              <a:solidFill>
                <a:srgbClr val="0070C0"/>
              </a:solidFill>
              <a:latin typeface="+mn-lt"/>
              <a:ea typeface="+mn-ea"/>
              <a:cs typeface="+mn-cs"/>
            </a:rPr>
            <a:t>  method = "exact",</a:t>
          </a:r>
        </a:p>
        <a:p>
          <a:r>
            <a:rPr lang="en-CA" sz="1000" baseline="0">
              <a:solidFill>
                <a:srgbClr val="0070C0"/>
              </a:solidFill>
              <a:latin typeface="+mn-lt"/>
              <a:ea typeface="+mn-ea"/>
              <a:cs typeface="+mn-cs"/>
            </a:rPr>
            <a:t>  robust = FALSE,</a:t>
          </a:r>
        </a:p>
        <a:p>
          <a:r>
            <a:rPr lang="en-CA" sz="1000" baseline="0">
              <a:solidFill>
                <a:srgbClr val="0070C0"/>
              </a:solidFill>
              <a:latin typeface="+mn-lt"/>
              <a:ea typeface="+mn-ea"/>
              <a:cs typeface="+mn-cs"/>
            </a:rPr>
            <a:t>  print = FALSE,</a:t>
          </a:r>
        </a:p>
        <a:p>
          <a:r>
            <a:rPr lang="en-CA" sz="1000" baseline="0">
              <a:solidFill>
                <a:srgbClr val="0070C0"/>
              </a:solidFill>
              <a:latin typeface="+mn-lt"/>
              <a:ea typeface="+mn-ea"/>
              <a:cs typeface="+mn-cs"/>
            </a:rPr>
            <a:t>  details = FALSE,</a:t>
          </a:r>
        </a:p>
        <a:p>
          <a:r>
            <a:rPr lang="en-CA" sz="1000" baseline="0">
              <a:solidFill>
                <a:srgbClr val="0070C0"/>
              </a:solidFill>
              <a:latin typeface="+mn-lt"/>
              <a:ea typeface="+mn-ea"/>
              <a:cs typeface="+mn-cs"/>
            </a:rPr>
            <a:t>  imax=100</a:t>
          </a:r>
        </a:p>
        <a:p>
          <a:r>
            <a:rPr lang="en-CA" sz="1000" baseline="0">
              <a:solidFill>
                <a:srgbClr val="0070C0"/>
              </a:solidFill>
              <a:latin typeface="+mn-lt"/>
              <a:ea typeface="+mn-ea"/>
              <a:cs typeface="+mn-cs"/>
            </a:rPr>
            <a:t>)</a:t>
          </a:r>
        </a:p>
        <a:p>
          <a:r>
            <a:rPr lang="en-CA" sz="1000" b="1" baseline="0">
              <a:solidFill>
                <a:schemeClr val="dk1"/>
              </a:solidFill>
              <a:effectLst/>
              <a:latin typeface="+mn-lt"/>
              <a:ea typeface="+mn-ea"/>
              <a:cs typeface="+mn-cs"/>
            </a:rPr>
            <a:t>For more information and updates consult:</a:t>
          </a:r>
          <a:endParaRPr lang="en-CA" sz="1000" b="1">
            <a:effectLst/>
          </a:endParaRPr>
        </a:p>
        <a:p>
          <a:r>
            <a:rPr lang="en-CA" sz="1000" b="0" i="0">
              <a:solidFill>
                <a:schemeClr val="dk1"/>
              </a:solidFill>
              <a:effectLst/>
              <a:latin typeface="+mn-lt"/>
              <a:ea typeface="+mn-ea"/>
              <a:cs typeface="+mn-cs"/>
            </a:rPr>
            <a:t>https://CRAN.R-project.org/package=PowerTOST</a:t>
          </a:r>
          <a:endParaRPr lang="en-CA" sz="1000">
            <a:effectLst/>
          </a:endParaRPr>
        </a:p>
        <a:p>
          <a:r>
            <a:rPr lang="en-CA" sz="1000">
              <a:solidFill>
                <a:schemeClr val="dk1"/>
              </a:solidFill>
              <a:effectLst/>
              <a:latin typeface="+mn-lt"/>
              <a:ea typeface="+mn-ea"/>
              <a:cs typeface="+mn-cs"/>
            </a:rPr>
            <a:t>for more details.</a:t>
          </a:r>
          <a:endParaRPr lang="en-CA" sz="1000">
            <a:effectLst/>
          </a:endParaRPr>
        </a:p>
        <a:p>
          <a:r>
            <a:rPr lang="en-CA" sz="1000" baseline="0">
              <a:solidFill>
                <a:schemeClr val="dk1"/>
              </a:solidFill>
              <a:effectLst/>
              <a:latin typeface="+mn-lt"/>
              <a:ea typeface="+mn-ea"/>
              <a:cs typeface="+mn-cs"/>
            </a:rPr>
            <a:t>Labes D., Shütz H., Lang B. Power and Sample Size for (Bio)Equivalence Studies</a:t>
          </a:r>
          <a:endParaRPr lang="en-CA" sz="1000">
            <a:effectLst/>
          </a:endParaRPr>
        </a:p>
        <a:p>
          <a:r>
            <a:rPr lang="en-CA" sz="1000" baseline="0">
              <a:solidFill>
                <a:schemeClr val="dk1"/>
              </a:solidFill>
              <a:effectLst/>
              <a:latin typeface="+mn-lt"/>
              <a:ea typeface="+mn-ea"/>
              <a:cs typeface="+mn-cs"/>
            </a:rPr>
            <a:t>https://github.com/Detlew/PowerTOST</a:t>
          </a:r>
        </a:p>
        <a:p>
          <a:endParaRPr lang="en-CA" sz="1000">
            <a:effectLst/>
          </a:endParaRPr>
        </a:p>
        <a:p>
          <a:r>
            <a:rPr lang="en-CA" sz="1000">
              <a:solidFill>
                <a:schemeClr val="dk1"/>
              </a:solidFill>
              <a:effectLst/>
              <a:latin typeface="+mn-lt"/>
              <a:ea typeface="+mn-ea"/>
              <a:cs typeface="+mn-cs"/>
            </a:rPr>
            <a:t>With</a:t>
          </a:r>
          <a:r>
            <a:rPr lang="en-CA" sz="1000" baseline="0">
              <a:solidFill>
                <a:schemeClr val="dk1"/>
              </a:solidFill>
              <a:effectLst/>
              <a:latin typeface="+mn-lt"/>
              <a:ea typeface="+mn-ea"/>
              <a:cs typeface="+mn-cs"/>
            </a:rPr>
            <a:t> warm regards and thanks to Helmut Sch</a:t>
          </a:r>
          <a:r>
            <a:rPr lang="en-CA" sz="1000" b="0" i="0">
              <a:solidFill>
                <a:schemeClr val="dk1"/>
              </a:solidFill>
              <a:effectLst/>
              <a:latin typeface="+mn-lt"/>
              <a:ea typeface="+mn-ea"/>
              <a:cs typeface="+mn-cs"/>
            </a:rPr>
            <a:t>üt</a:t>
          </a:r>
          <a:r>
            <a:rPr lang="en-CA" sz="1000" baseline="0">
              <a:solidFill>
                <a:schemeClr val="dk1"/>
              </a:solidFill>
              <a:effectLst/>
              <a:latin typeface="+mn-lt"/>
              <a:ea typeface="+mn-ea"/>
              <a:cs typeface="+mn-cs"/>
            </a:rPr>
            <a:t>z!</a:t>
          </a:r>
          <a:endParaRPr lang="en-CA" sz="10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281138</xdr:colOff>
      <xdr:row>40</xdr:row>
      <xdr:rowOff>74596</xdr:rowOff>
    </xdr:from>
    <xdr:to>
      <xdr:col>5</xdr:col>
      <xdr:colOff>578318</xdr:colOff>
      <xdr:row>42</xdr:row>
      <xdr:rowOff>97857</xdr:rowOff>
    </xdr:to>
    <xdr:pic>
      <xdr:nvPicPr>
        <xdr:cNvPr id="2" name="Picture 1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815" t="41701" r="21979" b="41179"/>
        <a:stretch>
          <a:fillRect/>
        </a:stretch>
      </xdr:blipFill>
      <xdr:spPr bwMode="auto">
        <a:xfrm>
          <a:off x="281138" y="6882464"/>
          <a:ext cx="3906654" cy="344103"/>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302394</xdr:colOff>
      <xdr:row>46</xdr:row>
      <xdr:rowOff>110289</xdr:rowOff>
    </xdr:from>
    <xdr:to>
      <xdr:col>11</xdr:col>
      <xdr:colOff>431934</xdr:colOff>
      <xdr:row>50</xdr:row>
      <xdr:rowOff>57752</xdr:rowOff>
    </xdr:to>
    <xdr:pic>
      <xdr:nvPicPr>
        <xdr:cNvPr id="3" name="Picture 16">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394" y="7980947"/>
          <a:ext cx="7408645" cy="589147"/>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337286</xdr:colOff>
      <xdr:row>43</xdr:row>
      <xdr:rowOff>25667</xdr:rowOff>
    </xdr:from>
    <xdr:to>
      <xdr:col>7</xdr:col>
      <xdr:colOff>276326</xdr:colOff>
      <xdr:row>45</xdr:row>
      <xdr:rowOff>134085</xdr:rowOff>
    </xdr:to>
    <xdr:pic>
      <xdr:nvPicPr>
        <xdr:cNvPr id="4" name="Picture 21">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931" t="73627" r="9576"/>
        <a:stretch>
          <a:fillRect/>
        </a:stretch>
      </xdr:blipFill>
      <xdr:spPr bwMode="auto">
        <a:xfrm>
          <a:off x="337286" y="7314799"/>
          <a:ext cx="4771724" cy="529523"/>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221782</xdr:colOff>
      <xdr:row>30</xdr:row>
      <xdr:rowOff>22058</xdr:rowOff>
    </xdr:from>
    <xdr:to>
      <xdr:col>4</xdr:col>
      <xdr:colOff>526582</xdr:colOff>
      <xdr:row>38</xdr:row>
      <xdr:rowOff>159617</xdr:rowOff>
    </xdr:to>
    <xdr:pic>
      <xdr:nvPicPr>
        <xdr:cNvPr id="5" name="Picture 22">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21782" y="5225716"/>
          <a:ext cx="3302668" cy="1420928"/>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8</xdr:col>
      <xdr:colOff>28574</xdr:colOff>
      <xdr:row>24</xdr:row>
      <xdr:rowOff>133349</xdr:rowOff>
    </xdr:from>
    <xdr:to>
      <xdr:col>8</xdr:col>
      <xdr:colOff>266699</xdr:colOff>
      <xdr:row>25</xdr:row>
      <xdr:rowOff>60958</xdr:rowOff>
    </xdr:to>
    <xdr:sp macro="" textlink="">
      <xdr:nvSpPr>
        <xdr:cNvPr id="8" name="Line 25">
          <a:extLst>
            <a:ext uri="{FF2B5EF4-FFF2-40B4-BE49-F238E27FC236}">
              <a16:creationId xmlns:a16="http://schemas.microsoft.com/office/drawing/2014/main" id="{00000000-0008-0000-0900-000008000000}"/>
            </a:ext>
          </a:extLst>
        </xdr:cNvPr>
        <xdr:cNvSpPr>
          <a:spLocks noChangeShapeType="1"/>
        </xdr:cNvSpPr>
      </xdr:nvSpPr>
      <xdr:spPr bwMode="auto">
        <a:xfrm flipH="1" flipV="1">
          <a:off x="5457824" y="4400549"/>
          <a:ext cx="238125" cy="89534"/>
        </a:xfrm>
        <a:prstGeom prst="line">
          <a:avLst/>
        </a:prstGeom>
        <a:noFill/>
        <a:ln w="9525">
          <a:solidFill>
            <a:srgbClr val="000000"/>
          </a:solidFill>
          <a:round/>
          <a:headEnd/>
          <a:tailEnd type="triangle" w="med" len="med"/>
        </a:ln>
        <a:extLst>
          <a:ext uri="{909E8E84-426E-40dd-AFC4-6F175D3DCCD1}">
            <a14:hiddenFill xmlns:a14="http://schemas.microsoft.com/office/drawing/2010/main" xmlns="">
              <a:noFill/>
            </a14:hiddenFill>
          </a:ext>
        </a:extLst>
      </xdr:spPr>
    </xdr:sp>
    <xdr:clientData/>
  </xdr:twoCellAnchor>
  <xdr:twoCellAnchor>
    <xdr:from>
      <xdr:col>5</xdr:col>
      <xdr:colOff>510540</xdr:colOff>
      <xdr:row>25</xdr:row>
      <xdr:rowOff>64771</xdr:rowOff>
    </xdr:from>
    <xdr:to>
      <xdr:col>11</xdr:col>
      <xdr:colOff>483878</xdr:colOff>
      <xdr:row>29</xdr:row>
      <xdr:rowOff>76200</xdr:rowOff>
    </xdr:to>
    <xdr:sp macro="" textlink="">
      <xdr:nvSpPr>
        <xdr:cNvPr id="9" name="Text Box 26">
          <a:extLst>
            <a:ext uri="{FF2B5EF4-FFF2-40B4-BE49-F238E27FC236}">
              <a16:creationId xmlns:a16="http://schemas.microsoft.com/office/drawing/2014/main" id="{00000000-0008-0000-0900-000009000000}"/>
            </a:ext>
          </a:extLst>
        </xdr:cNvPr>
        <xdr:cNvSpPr txBox="1">
          <a:spLocks noChangeArrowheads="1"/>
        </xdr:cNvSpPr>
      </xdr:nvSpPr>
      <xdr:spPr bwMode="auto">
        <a:xfrm>
          <a:off x="4110990" y="4493896"/>
          <a:ext cx="3630938" cy="659129"/>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BE study in the literature that reports the Test/Reference Ratios and 90%CI for Cmax, AUCt, or AUCinf, you can use this macro to back-calculate the ISV. If you're lucky, sometimes authors will publish the ISV directly.</a:t>
          </a:r>
        </a:p>
      </xdr:txBody>
    </xdr:sp>
    <xdr:clientData/>
  </xdr:twoCellAnchor>
  <mc:AlternateContent xmlns:mc="http://schemas.openxmlformats.org/markup-compatibility/2006">
    <mc:Choice xmlns:a14="http://schemas.microsoft.com/office/drawing/2010/main" Requires="a14">
      <xdr:twoCellAnchor>
        <xdr:from>
          <xdr:col>1</xdr:col>
          <xdr:colOff>104775</xdr:colOff>
          <xdr:row>23</xdr:row>
          <xdr:rowOff>0</xdr:rowOff>
        </xdr:from>
        <xdr:to>
          <xdr:col>2</xdr:col>
          <xdr:colOff>0</xdr:colOff>
          <xdr:row>24</xdr:row>
          <xdr:rowOff>85725</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0900-000001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485775</xdr:colOff>
          <xdr:row>23</xdr:row>
          <xdr:rowOff>0</xdr:rowOff>
        </xdr:from>
        <xdr:to>
          <xdr:col>5</xdr:col>
          <xdr:colOff>104775</xdr:colOff>
          <xdr:row>24</xdr:row>
          <xdr:rowOff>85725</xdr:rowOff>
        </xdr:to>
        <xdr:sp macro="" textlink="">
          <xdr:nvSpPr>
            <xdr:cNvPr id="35842" name="Button 2" hidden="1">
              <a:extLst>
                <a:ext uri="{63B3BB69-23CF-44E3-9099-C40C66FF867C}">
                  <a14:compatExt spid="_x0000_s35842"/>
                </a:ext>
                <a:ext uri="{FF2B5EF4-FFF2-40B4-BE49-F238E27FC236}">
                  <a16:creationId xmlns:a16="http://schemas.microsoft.com/office/drawing/2014/main" id="{00000000-0008-0000-0900-000002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23</xdr:row>
          <xdr:rowOff>0</xdr:rowOff>
        </xdr:from>
        <xdr:to>
          <xdr:col>9</xdr:col>
          <xdr:colOff>104775</xdr:colOff>
          <xdr:row>24</xdr:row>
          <xdr:rowOff>85725</xdr:rowOff>
        </xdr:to>
        <xdr:sp macro="" textlink="">
          <xdr:nvSpPr>
            <xdr:cNvPr id="35843" name="Button 3" hidden="1">
              <a:extLst>
                <a:ext uri="{63B3BB69-23CF-44E3-9099-C40C66FF867C}">
                  <a14:compatExt spid="_x0000_s35843"/>
                </a:ext>
                <a:ext uri="{FF2B5EF4-FFF2-40B4-BE49-F238E27FC236}">
                  <a16:creationId xmlns:a16="http://schemas.microsoft.com/office/drawing/2014/main" id="{00000000-0008-0000-0900-000003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ISV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23</xdr:row>
          <xdr:rowOff>0</xdr:rowOff>
        </xdr:from>
        <xdr:to>
          <xdr:col>3</xdr:col>
          <xdr:colOff>409575</xdr:colOff>
          <xdr:row>24</xdr:row>
          <xdr:rowOff>85725</xdr:rowOff>
        </xdr:to>
        <xdr:sp macro="" textlink="">
          <xdr:nvSpPr>
            <xdr:cNvPr id="35844" name="Button 4" hidden="1">
              <a:extLst>
                <a:ext uri="{63B3BB69-23CF-44E3-9099-C40C66FF867C}">
                  <a14:compatExt spid="_x0000_s35844"/>
                </a:ext>
                <a:ext uri="{FF2B5EF4-FFF2-40B4-BE49-F238E27FC236}">
                  <a16:creationId xmlns:a16="http://schemas.microsoft.com/office/drawing/2014/main" id="{00000000-0008-0000-0900-000004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4</xdr:col>
      <xdr:colOff>342900</xdr:colOff>
      <xdr:row>5</xdr:row>
      <xdr:rowOff>207645</xdr:rowOff>
    </xdr:from>
    <xdr:to>
      <xdr:col>11</xdr:col>
      <xdr:colOff>563702</xdr:colOff>
      <xdr:row>22</xdr:row>
      <xdr:rowOff>92533</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333375</xdr:colOff>
          <xdr:row>6</xdr:row>
          <xdr:rowOff>85725</xdr:rowOff>
        </xdr:from>
        <xdr:to>
          <xdr:col>11</xdr:col>
          <xdr:colOff>485775</xdr:colOff>
          <xdr:row>7</xdr:row>
          <xdr:rowOff>123825</xdr:rowOff>
        </xdr:to>
        <xdr:sp macro="" textlink="">
          <xdr:nvSpPr>
            <xdr:cNvPr id="35845" name="Check Box 5" hidden="1">
              <a:extLst>
                <a:ext uri="{63B3BB69-23CF-44E3-9099-C40C66FF867C}">
                  <a14:compatExt spid="_x0000_s35845"/>
                </a:ext>
                <a:ext uri="{FF2B5EF4-FFF2-40B4-BE49-F238E27FC236}">
                  <a16:creationId xmlns:a16="http://schemas.microsoft.com/office/drawing/2014/main" id="{00000000-0008-0000-0900-000005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333375</xdr:colOff>
          <xdr:row>7</xdr:row>
          <xdr:rowOff>123825</xdr:rowOff>
        </xdr:from>
        <xdr:to>
          <xdr:col>11</xdr:col>
          <xdr:colOff>485775</xdr:colOff>
          <xdr:row>9</xdr:row>
          <xdr:rowOff>28575</xdr:rowOff>
        </xdr:to>
        <xdr:sp macro="" textlink="">
          <xdr:nvSpPr>
            <xdr:cNvPr id="35846" name="Check Box 6" hidden="1">
              <a:extLst>
                <a:ext uri="{63B3BB69-23CF-44E3-9099-C40C66FF867C}">
                  <a14:compatExt spid="_x0000_s35846"/>
                </a:ext>
                <a:ext uri="{FF2B5EF4-FFF2-40B4-BE49-F238E27FC236}">
                  <a16:creationId xmlns:a16="http://schemas.microsoft.com/office/drawing/2014/main" id="{00000000-0008-0000-0900-000006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333375</xdr:colOff>
          <xdr:row>9</xdr:row>
          <xdr:rowOff>28575</xdr:rowOff>
        </xdr:from>
        <xdr:to>
          <xdr:col>11</xdr:col>
          <xdr:colOff>485775</xdr:colOff>
          <xdr:row>10</xdr:row>
          <xdr:rowOff>28575</xdr:rowOff>
        </xdr:to>
        <xdr:sp macro="" textlink="">
          <xdr:nvSpPr>
            <xdr:cNvPr id="35847" name="Check Box 7" hidden="1">
              <a:extLst>
                <a:ext uri="{63B3BB69-23CF-44E3-9099-C40C66FF867C}">
                  <a14:compatExt spid="_x0000_s35847"/>
                </a:ext>
                <a:ext uri="{FF2B5EF4-FFF2-40B4-BE49-F238E27FC236}">
                  <a16:creationId xmlns:a16="http://schemas.microsoft.com/office/drawing/2014/main" id="{00000000-0008-0000-0900-000007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editAs="oneCell">
    <xdr:from>
      <xdr:col>1</xdr:col>
      <xdr:colOff>4010</xdr:colOff>
      <xdr:row>52</xdr:row>
      <xdr:rowOff>46121</xdr:rowOff>
    </xdr:from>
    <xdr:to>
      <xdr:col>12</xdr:col>
      <xdr:colOff>80210</xdr:colOff>
      <xdr:row>60</xdr:row>
      <xdr:rowOff>145309</xdr:rowOff>
    </xdr:to>
    <xdr:pic>
      <xdr:nvPicPr>
        <xdr:cNvPr id="19" name="Picture 19">
          <a:extLst>
            <a:ext uri="{FF2B5EF4-FFF2-40B4-BE49-F238E27FC236}">
              <a16:creationId xmlns:a16="http://schemas.microsoft.com/office/drawing/2014/main" id="{00000000-0008-0000-0900-000013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44905" y="8929437"/>
          <a:ext cx="7626016" cy="1382556"/>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41710</xdr:colOff>
      <xdr:row>67</xdr:row>
      <xdr:rowOff>146385</xdr:rowOff>
    </xdr:from>
    <xdr:to>
      <xdr:col>1</xdr:col>
      <xdr:colOff>1245670</xdr:colOff>
      <xdr:row>69</xdr:row>
      <xdr:rowOff>154005</xdr:rowOff>
    </xdr:to>
    <xdr:pic>
      <xdr:nvPicPr>
        <xdr:cNvPr id="20" name="Picture 5">
          <a:extLst>
            <a:ext uri="{FF2B5EF4-FFF2-40B4-BE49-F238E27FC236}">
              <a16:creationId xmlns:a16="http://schemas.microsoft.com/office/drawing/2014/main" id="{00000000-0008-0000-0900-00001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82605" y="11456069"/>
          <a:ext cx="1203960" cy="328462"/>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321645</xdr:colOff>
      <xdr:row>65</xdr:row>
      <xdr:rowOff>48829</xdr:rowOff>
    </xdr:from>
    <xdr:to>
      <xdr:col>1</xdr:col>
      <xdr:colOff>948490</xdr:colOff>
      <xdr:row>67</xdr:row>
      <xdr:rowOff>108284</xdr:rowOff>
    </xdr:to>
    <xdr:pic>
      <xdr:nvPicPr>
        <xdr:cNvPr id="21" name="Picture 6">
          <a:extLst>
            <a:ext uri="{FF2B5EF4-FFF2-40B4-BE49-F238E27FC236}">
              <a16:creationId xmlns:a16="http://schemas.microsoft.com/office/drawing/2014/main" id="{00000000-0008-0000-0900-000015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21645" y="11037671"/>
          <a:ext cx="967740" cy="380298"/>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260685</xdr:colOff>
      <xdr:row>70</xdr:row>
      <xdr:rowOff>8824</xdr:rowOff>
    </xdr:from>
    <xdr:to>
      <xdr:col>4</xdr:col>
      <xdr:colOff>611406</xdr:colOff>
      <xdr:row>74</xdr:row>
      <xdr:rowOff>56449</xdr:rowOff>
    </xdr:to>
    <xdr:pic>
      <xdr:nvPicPr>
        <xdr:cNvPr id="22" name="Picture 7">
          <a:extLst>
            <a:ext uri="{FF2B5EF4-FFF2-40B4-BE49-F238E27FC236}">
              <a16:creationId xmlns:a16="http://schemas.microsoft.com/office/drawing/2014/main" id="{00000000-0008-0000-0900-000016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60685" y="11799771"/>
          <a:ext cx="3348589" cy="689309"/>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41709</xdr:colOff>
      <xdr:row>63</xdr:row>
      <xdr:rowOff>70185</xdr:rowOff>
    </xdr:from>
    <xdr:to>
      <xdr:col>12</xdr:col>
      <xdr:colOff>113616</xdr:colOff>
      <xdr:row>64</xdr:row>
      <xdr:rowOff>150395</xdr:rowOff>
    </xdr:to>
    <xdr:pic>
      <xdr:nvPicPr>
        <xdr:cNvPr id="23" name="Picture 10">
          <a:extLst>
            <a:ext uri="{FF2B5EF4-FFF2-40B4-BE49-F238E27FC236}">
              <a16:creationId xmlns:a16="http://schemas.microsoft.com/office/drawing/2014/main" id="{00000000-0008-0000-0900-000017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82604" y="10718132"/>
          <a:ext cx="7621723" cy="240631"/>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3</xdr:col>
          <xdr:colOff>114300</xdr:colOff>
          <xdr:row>1</xdr:row>
          <xdr:rowOff>0</xdr:rowOff>
        </xdr:from>
        <xdr:to>
          <xdr:col>6</xdr:col>
          <xdr:colOff>409575</xdr:colOff>
          <xdr:row>2</xdr:row>
          <xdr:rowOff>28575</xdr:rowOff>
        </xdr:to>
        <xdr:sp macro="" textlink="">
          <xdr:nvSpPr>
            <xdr:cNvPr id="35850" name="Drop Down 10" hidden="1">
              <a:extLst>
                <a:ext uri="{63B3BB69-23CF-44E3-9099-C40C66FF867C}">
                  <a14:compatExt spid="_x0000_s35850"/>
                </a:ext>
                <a:ext uri="{FF2B5EF4-FFF2-40B4-BE49-F238E27FC236}">
                  <a16:creationId xmlns:a16="http://schemas.microsoft.com/office/drawing/2014/main" id="{00000000-0008-0000-0900-00000A8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12</xdr:col>
      <xdr:colOff>146885</xdr:colOff>
      <xdr:row>6</xdr:row>
      <xdr:rowOff>3176</xdr:rowOff>
    </xdr:from>
    <xdr:to>
      <xdr:col>19</xdr:col>
      <xdr:colOff>601580</xdr:colOff>
      <xdr:row>58</xdr:row>
      <xdr:rowOff>40105</xdr:rowOff>
    </xdr:to>
    <xdr:sp macro="" textlink="">
      <xdr:nvSpPr>
        <xdr:cNvPr id="25" name="TextBox 24">
          <a:extLst>
            <a:ext uri="{FF2B5EF4-FFF2-40B4-BE49-F238E27FC236}">
              <a16:creationId xmlns:a16="http://schemas.microsoft.com/office/drawing/2014/main" id="{00000000-0008-0000-0900-000019000000}"/>
            </a:ext>
          </a:extLst>
        </xdr:cNvPr>
        <xdr:cNvSpPr txBox="1"/>
      </xdr:nvSpPr>
      <xdr:spPr>
        <a:xfrm>
          <a:off x="8421938" y="1246439"/>
          <a:ext cx="4946484" cy="8626140"/>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000"/>
            <a:t>Note: </a:t>
          </a:r>
          <a:r>
            <a:rPr lang="en-CA" sz="1000" b="1"/>
            <a:t>For</a:t>
          </a:r>
          <a:r>
            <a:rPr lang="en-CA" sz="1000" b="1" baseline="0"/>
            <a:t> HVD Sample Size Estimation (TPD and EMA)</a:t>
          </a:r>
          <a:r>
            <a:rPr lang="en-CA" sz="1000" baseline="0"/>
            <a:t>, install the PowerTOST library in R-Project, and use the following commands: (e.g.)</a:t>
          </a:r>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sampleN.scABEL(</a:t>
          </a:r>
        </a:p>
        <a:p>
          <a:r>
            <a:rPr lang="en-CA" sz="1000" baseline="0">
              <a:solidFill>
                <a:srgbClr val="0070C0"/>
              </a:solidFill>
              <a:latin typeface="+mn-lt"/>
              <a:ea typeface="+mn-ea"/>
              <a:cs typeface="+mn-cs"/>
            </a:rPr>
            <a:t>   alpha = 0.05,	   # Probability of Type I Error (nominal level of test)</a:t>
          </a:r>
        </a:p>
        <a:p>
          <a:r>
            <a:rPr lang="en-CA" sz="1000" baseline="0">
              <a:solidFill>
                <a:srgbClr val="0070C0"/>
              </a:solidFill>
              <a:latin typeface="+mn-lt"/>
              <a:ea typeface="+mn-ea"/>
              <a:cs typeface="+mn-cs"/>
            </a:rPr>
            <a:t>   targetpower = 0.8, # Desired Power</a:t>
          </a:r>
        </a:p>
        <a:p>
          <a:r>
            <a:rPr lang="en-CA" sz="1000" baseline="0">
              <a:solidFill>
                <a:srgbClr val="0070C0"/>
              </a:solidFill>
              <a:latin typeface="+mn-lt"/>
              <a:ea typeface="+mn-ea"/>
              <a:cs typeface="+mn-cs"/>
            </a:rPr>
            <a:t>   theta0 = 0.90,     # Test/Reference Ratio</a:t>
          </a:r>
        </a:p>
        <a:p>
          <a:r>
            <a:rPr lang="en-CA" sz="1000" baseline="0">
              <a:solidFill>
                <a:srgbClr val="0070C0"/>
              </a:solidFill>
              <a:latin typeface="+mn-lt"/>
              <a:ea typeface="+mn-ea"/>
              <a:cs typeface="+mn-cs"/>
            </a:rPr>
            <a:t>   theta1 = 0.80,     # Lower BE Limit</a:t>
          </a:r>
        </a:p>
        <a:p>
          <a:r>
            <a:rPr lang="en-CA" sz="1000" baseline="0">
              <a:solidFill>
                <a:srgbClr val="0070C0"/>
              </a:solidFill>
              <a:latin typeface="+mn-lt"/>
              <a:ea typeface="+mn-ea"/>
              <a:cs typeface="+mn-cs"/>
            </a:rPr>
            <a:t>   theta2 = 1.25,     # Upper BE Limit</a:t>
          </a:r>
        </a:p>
        <a:p>
          <a:r>
            <a:rPr lang="en-CA" sz="1000" baseline="0">
              <a:solidFill>
                <a:srgbClr val="0070C0"/>
              </a:solidFill>
              <a:latin typeface="+mn-lt"/>
              <a:ea typeface="+mn-ea"/>
              <a:cs typeface="+mn-cs"/>
            </a:rPr>
            <a:t>   CV = IntraCV,      # Replace IntraCV with the actual number (in decimal, not %)</a:t>
          </a:r>
        </a:p>
        <a:p>
          <a:r>
            <a:rPr lang="en-CA" sz="1000" baseline="0">
              <a:solidFill>
                <a:srgbClr val="0070C0"/>
              </a:solidFill>
              <a:latin typeface="+mn-lt"/>
              <a:ea typeface="+mn-ea"/>
              <a:cs typeface="+mn-cs"/>
            </a:rPr>
            <a:t>   design = "2x2x4",  # "2x3x3", "2x2x4", "2x2x3", "2x4x4", "2x4x2" (TRT x SEQ x PER)</a:t>
          </a:r>
        </a:p>
        <a:p>
          <a:r>
            <a:rPr lang="en-CA" sz="1000" baseline="0">
              <a:solidFill>
                <a:srgbClr val="0070C0"/>
              </a:solidFill>
              <a:latin typeface="+mn-lt"/>
              <a:ea typeface="+mn-ea"/>
              <a:cs typeface="+mn-cs"/>
            </a:rPr>
            <a:t>   details = TRUE,    # Show regulatory settings, iterations</a:t>
          </a:r>
        </a:p>
        <a:p>
          <a:r>
            <a:rPr lang="en-CA" sz="1000" baseline="0">
              <a:solidFill>
                <a:srgbClr val="0070C0"/>
              </a:solidFill>
              <a:latin typeface="+mn-lt"/>
              <a:ea typeface="+mn-ea"/>
              <a:cs typeface="+mn-cs"/>
            </a:rPr>
            <a:t>   regulator = "HC"   # choose "HC" or "EMA"</a:t>
          </a:r>
        </a:p>
        <a:p>
          <a:r>
            <a:rPr lang="en-CA" sz="1000" baseline="0">
              <a:solidFill>
                <a:srgbClr val="0070C0"/>
              </a:solidFill>
              <a:latin typeface="+mn-lt"/>
              <a:ea typeface="+mn-ea"/>
              <a:cs typeface="+mn-cs"/>
            </a:rPr>
            <a:t>)</a:t>
          </a:r>
        </a:p>
        <a:p>
          <a:r>
            <a:rPr lang="en-CA" sz="1000" baseline="0">
              <a:solidFill>
                <a:sysClr val="windowText" lastClr="000000"/>
              </a:solidFill>
              <a:latin typeface="+mn-lt"/>
              <a:ea typeface="+mn-ea"/>
              <a:cs typeface="+mn-cs"/>
            </a:rPr>
            <a:t>CV above can be given as a vector of CVwT and CVwR, to perform a sample size based on pilot data where they are estimated for both formulations. e.g.:</a:t>
          </a:r>
        </a:p>
        <a:p>
          <a:r>
            <a:rPr lang="en-CA" sz="1000">
              <a:solidFill>
                <a:srgbClr val="0070C0"/>
              </a:solidFill>
            </a:rPr>
            <a:t>CV &lt;- 0.4</a:t>
          </a:r>
        </a:p>
        <a:p>
          <a:r>
            <a:rPr lang="en-CA" sz="1000">
              <a:solidFill>
                <a:srgbClr val="0070C0"/>
              </a:solidFill>
            </a:rPr>
            <a:t>sampleN.scABEL(</a:t>
          </a:r>
        </a:p>
        <a:p>
          <a:r>
            <a:rPr lang="en-CA" sz="1000">
              <a:solidFill>
                <a:srgbClr val="0070C0"/>
              </a:solidFill>
            </a:rPr>
            <a:t>   CV = CV,</a:t>
          </a:r>
        </a:p>
        <a:p>
          <a:r>
            <a:rPr lang="en-CA" sz="1000">
              <a:solidFill>
                <a:srgbClr val="0070C0"/>
              </a:solidFill>
            </a:rPr>
            <a:t>   design = "2x2x4",</a:t>
          </a:r>
        </a:p>
        <a:p>
          <a:r>
            <a:rPr lang="en-CA" sz="1000">
              <a:solidFill>
                <a:srgbClr val="0070C0"/>
              </a:solidFill>
            </a:rPr>
            <a:t>   regulator = "HC",</a:t>
          </a:r>
        </a:p>
        <a:p>
          <a:r>
            <a:rPr lang="en-CA" sz="1000">
              <a:solidFill>
                <a:srgbClr val="0070C0"/>
              </a:solidFill>
            </a:rPr>
            <a:t>   details = FALSE, print = FALSE</a:t>
          </a:r>
        </a:p>
        <a:p>
          <a:r>
            <a:rPr lang="en-CA" sz="1000">
              <a:solidFill>
                <a:srgbClr val="0070C0"/>
              </a:solidFill>
            </a:rPr>
            <a:t>)[["Sample size"]]</a:t>
          </a:r>
        </a:p>
        <a:p>
          <a:br>
            <a:rPr lang="en-CA" sz="1000">
              <a:solidFill>
                <a:srgbClr val="0070C0"/>
              </a:solidFill>
            </a:rPr>
          </a:br>
          <a:r>
            <a:rPr lang="en-CA" sz="1000">
              <a:solidFill>
                <a:srgbClr val="0070C0"/>
              </a:solidFill>
            </a:rPr>
            <a:t>CV &lt;- CVp2CV(CV, ratio = 0.75) # split based the variance ratio (T ‘better’ than R)</a:t>
          </a:r>
        </a:p>
        <a:p>
          <a:r>
            <a:rPr lang="en-CA" sz="1000">
              <a:solidFill>
                <a:srgbClr val="0070C0"/>
              </a:solidFill>
            </a:rPr>
            <a:t>sampleN.scABEL(</a:t>
          </a:r>
        </a:p>
        <a:p>
          <a:r>
            <a:rPr lang="en-CA" sz="1000">
              <a:solidFill>
                <a:srgbClr val="0070C0"/>
              </a:solidFill>
            </a:rPr>
            <a:t>   CV = CV,</a:t>
          </a:r>
        </a:p>
        <a:p>
          <a:r>
            <a:rPr lang="en-CA" sz="1000">
              <a:solidFill>
                <a:srgbClr val="0070C0"/>
              </a:solidFill>
            </a:rPr>
            <a:t>   design = "2x2x4",</a:t>
          </a:r>
        </a:p>
        <a:p>
          <a:r>
            <a:rPr lang="en-CA" sz="1000">
              <a:solidFill>
                <a:srgbClr val="0070C0"/>
              </a:solidFill>
            </a:rPr>
            <a:t>   regulator = "HC",</a:t>
          </a:r>
        </a:p>
        <a:p>
          <a:r>
            <a:rPr lang="en-CA" sz="1000">
              <a:solidFill>
                <a:srgbClr val="0070C0"/>
              </a:solidFill>
            </a:rPr>
            <a:t>   details = FALSE,</a:t>
          </a:r>
        </a:p>
        <a:p>
          <a:r>
            <a:rPr lang="en-CA" sz="1000">
              <a:solidFill>
                <a:srgbClr val="0070C0"/>
              </a:solidFill>
            </a:rPr>
            <a:t>   print = FALSE</a:t>
          </a:r>
        </a:p>
        <a:p>
          <a:r>
            <a:rPr lang="en-CA" sz="1000">
              <a:solidFill>
                <a:srgbClr val="0070C0"/>
              </a:solidFill>
            </a:rPr>
            <a:t>)[["Sample size"]]</a:t>
          </a:r>
        </a:p>
        <a:p>
          <a:endParaRPr lang="en-CA" sz="1000" baseline="0">
            <a:solidFill>
              <a:srgbClr val="0070C0"/>
            </a:solidFill>
            <a:latin typeface="+mn-lt"/>
            <a:ea typeface="+mn-ea"/>
            <a:cs typeface="+mn-cs"/>
          </a:endParaRPr>
        </a:p>
        <a:p>
          <a:r>
            <a:rPr lang="en-CA" sz="1000" b="1" baseline="0">
              <a:solidFill>
                <a:schemeClr val="dk1"/>
              </a:solidFill>
              <a:latin typeface="+mn-lt"/>
              <a:ea typeface="+mn-ea"/>
              <a:cs typeface="+mn-cs"/>
            </a:rPr>
            <a:t>For the HVDs (FDA) use </a:t>
          </a:r>
          <a:r>
            <a:rPr lang="en-US" sz="1000" b="1" baseline="0">
              <a:solidFill>
                <a:schemeClr val="dk1"/>
              </a:solidFill>
              <a:latin typeface="+mn-lt"/>
              <a:ea typeface="+mn-ea"/>
              <a:cs typeface="+mn-cs"/>
            </a:rPr>
            <a:t>sampleN.</a:t>
          </a:r>
          <a:r>
            <a:rPr lang="en-US" sz="1100" b="1" i="0">
              <a:solidFill>
                <a:schemeClr val="dk1"/>
              </a:solidFill>
              <a:effectLst/>
              <a:latin typeface="+mn-lt"/>
              <a:ea typeface="+mn-ea"/>
              <a:cs typeface="+mn-cs"/>
            </a:rPr>
            <a:t>RSABE()</a:t>
          </a:r>
          <a:r>
            <a:rPr lang="en-US" sz="1100" b="0" i="0">
              <a:solidFill>
                <a:schemeClr val="dk1"/>
              </a:solidFill>
              <a:effectLst/>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library(PowerTOST)</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sampleN.RSABE(</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CV = IntraCV,           # Replace IntraCV with the actual number (as a decimal)</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effectLst/>
              <a:latin typeface="+mn-lt"/>
              <a:ea typeface="+mn-ea"/>
              <a:cs typeface="+mn-cs"/>
            </a:rPr>
            <a:t>   theta0 = 0.90,         # Test/Reference Ratio</a:t>
          </a:r>
          <a:endParaRPr lang="en-CA" sz="1000" baseline="0">
            <a:solidFill>
              <a:srgbClr val="0070C0"/>
            </a:solidFill>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design = "2x2x4"     # design="2x2x4", "2x3x3"</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endParaRPr lang="en-CA" sz="1000" baseline="0">
            <a:solidFill>
              <a:srgbClr val="0070C0"/>
            </a:solidFill>
            <a:latin typeface="+mn-lt"/>
            <a:ea typeface="+mn-ea"/>
            <a:cs typeface="+mn-cs"/>
          </a:endParaRPr>
        </a:p>
        <a:p>
          <a:r>
            <a:rPr lang="en-CA" sz="1100" b="1">
              <a:solidFill>
                <a:schemeClr val="dk1"/>
              </a:solidFill>
              <a:effectLst/>
              <a:latin typeface="+mn-lt"/>
              <a:ea typeface="+mn-ea"/>
              <a:cs typeface="+mn-cs"/>
            </a:rPr>
            <a:t>For</a:t>
          </a:r>
          <a:r>
            <a:rPr lang="en-CA" sz="1100" b="1" baseline="0">
              <a:solidFill>
                <a:schemeClr val="dk1"/>
              </a:solidFill>
              <a:effectLst/>
              <a:latin typeface="+mn-lt"/>
              <a:ea typeface="+mn-ea"/>
              <a:cs typeface="+mn-cs"/>
            </a:rPr>
            <a:t> NTID Reference-Scaled Sample Size Estimation (FDA)</a:t>
          </a:r>
          <a:r>
            <a:rPr lang="en-CA" sz="1100" baseline="0">
              <a:solidFill>
                <a:schemeClr val="dk1"/>
              </a:solidFill>
              <a:effectLst/>
              <a:latin typeface="+mn-lt"/>
              <a:ea typeface="+mn-ea"/>
              <a:cs typeface="+mn-cs"/>
            </a:rPr>
            <a:t>, consult PowerTOST in R-Project, using the following commands: (e.g.)</a:t>
          </a:r>
          <a:endParaRPr lang="en-CA" sz="1000">
            <a:effectLst/>
          </a:endParaRPr>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sampleN.NTIDFDA(CV = 0.1, theta0 = 0.975, targetpower = 0.8)</a:t>
          </a:r>
        </a:p>
        <a:p>
          <a:r>
            <a:rPr lang="en-CA" sz="1000" baseline="0">
              <a:solidFill>
                <a:srgbClr val="0070C0"/>
              </a:solidFill>
              <a:latin typeface="+mn-lt"/>
              <a:ea typeface="+mn-ea"/>
              <a:cs typeface="+mn-cs"/>
            </a:rPr>
            <a:t>#theta0 is the expected T/R Ratio</a:t>
          </a:r>
        </a:p>
        <a:p>
          <a:r>
            <a:rPr lang="en-CA" sz="1100" b="1" baseline="0">
              <a:solidFill>
                <a:schemeClr val="dk1"/>
              </a:solidFill>
              <a:effectLst/>
              <a:latin typeface="+mn-lt"/>
              <a:ea typeface="+mn-ea"/>
              <a:cs typeface="+mn-cs"/>
            </a:rPr>
            <a:t>For more information and updates consult:</a:t>
          </a:r>
          <a:endParaRPr lang="en-CA" sz="1000" b="1">
            <a:effectLst/>
          </a:endParaRPr>
        </a:p>
        <a:p>
          <a:r>
            <a:rPr lang="en-CA" sz="1100" b="0" i="0">
              <a:solidFill>
                <a:schemeClr val="dk1"/>
              </a:solidFill>
              <a:effectLst/>
              <a:latin typeface="+mn-lt"/>
              <a:ea typeface="+mn-ea"/>
              <a:cs typeface="+mn-cs"/>
            </a:rPr>
            <a:t>https://CRAN.R-project.org/package=PowerTOST</a:t>
          </a:r>
          <a:endParaRPr lang="en-CA">
            <a:effectLst/>
          </a:endParaRPr>
        </a:p>
        <a:p>
          <a:r>
            <a:rPr lang="en-CA" sz="1100">
              <a:solidFill>
                <a:schemeClr val="dk1"/>
              </a:solidFill>
              <a:effectLst/>
              <a:latin typeface="+mn-lt"/>
              <a:ea typeface="+mn-ea"/>
              <a:cs typeface="+mn-cs"/>
            </a:rPr>
            <a:t>for more details.</a:t>
          </a:r>
          <a:endParaRPr lang="en-CA" sz="1000">
            <a:effectLst/>
          </a:endParaRPr>
        </a:p>
        <a:p>
          <a:r>
            <a:rPr lang="en-CA" sz="1100" baseline="0">
              <a:solidFill>
                <a:schemeClr val="dk1"/>
              </a:solidFill>
              <a:effectLst/>
              <a:latin typeface="+mn-lt"/>
              <a:ea typeface="+mn-ea"/>
              <a:cs typeface="+mn-cs"/>
            </a:rPr>
            <a:t>Labes D., Shütz H., Lang B. Power and Sample Size for (Bio)Equivalence Studies</a:t>
          </a:r>
          <a:endParaRPr lang="en-CA" sz="1000">
            <a:effectLst/>
          </a:endParaRPr>
        </a:p>
        <a:p>
          <a:r>
            <a:rPr lang="en-CA" sz="1100" baseline="0">
              <a:solidFill>
                <a:schemeClr val="dk1"/>
              </a:solidFill>
              <a:effectLst/>
              <a:latin typeface="+mn-lt"/>
              <a:ea typeface="+mn-ea"/>
              <a:cs typeface="+mn-cs"/>
            </a:rPr>
            <a:t>https://github.com/Detlew/PowerTOST</a:t>
          </a:r>
        </a:p>
        <a:p>
          <a:endParaRPr lang="en-CA" sz="1000">
            <a:effectLst/>
          </a:endParaRPr>
        </a:p>
        <a:p>
          <a:r>
            <a:rPr lang="en-CA" sz="1100">
              <a:solidFill>
                <a:schemeClr val="dk1"/>
              </a:solidFill>
              <a:effectLst/>
              <a:latin typeface="+mn-lt"/>
              <a:ea typeface="+mn-ea"/>
              <a:cs typeface="+mn-cs"/>
            </a:rPr>
            <a:t>With</a:t>
          </a:r>
          <a:r>
            <a:rPr lang="en-CA" sz="1100" baseline="0">
              <a:solidFill>
                <a:schemeClr val="dk1"/>
              </a:solidFill>
              <a:effectLst/>
              <a:latin typeface="+mn-lt"/>
              <a:ea typeface="+mn-ea"/>
              <a:cs typeface="+mn-cs"/>
            </a:rPr>
            <a:t> warm regards and thanks to Helmut Sch</a:t>
          </a:r>
          <a:r>
            <a:rPr lang="en-CA" sz="1100" b="0" i="0">
              <a:solidFill>
                <a:schemeClr val="dk1"/>
              </a:solidFill>
              <a:effectLst/>
              <a:latin typeface="+mn-lt"/>
              <a:ea typeface="+mn-ea"/>
              <a:cs typeface="+mn-cs"/>
            </a:rPr>
            <a:t>üt</a:t>
          </a:r>
          <a:r>
            <a:rPr lang="en-CA" sz="1100" baseline="0">
              <a:solidFill>
                <a:schemeClr val="dk1"/>
              </a:solidFill>
              <a:effectLst/>
              <a:latin typeface="+mn-lt"/>
              <a:ea typeface="+mn-ea"/>
              <a:cs typeface="+mn-cs"/>
            </a:rPr>
            <a:t>z!</a:t>
          </a:r>
          <a:endParaRPr lang="en-CA" sz="10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552450</xdr:colOff>
      <xdr:row>2</xdr:row>
      <xdr:rowOff>142875</xdr:rowOff>
    </xdr:from>
    <xdr:to>
      <xdr:col>8</xdr:col>
      <xdr:colOff>161926</xdr:colOff>
      <xdr:row>17</xdr:row>
      <xdr:rowOff>114300</xdr:rowOff>
    </xdr:to>
    <xdr:sp macro="" textlink="">
      <xdr:nvSpPr>
        <xdr:cNvPr id="2" name="Rectangle 1">
          <a:extLst>
            <a:ext uri="{FF2B5EF4-FFF2-40B4-BE49-F238E27FC236}">
              <a16:creationId xmlns:a16="http://schemas.microsoft.com/office/drawing/2014/main" id="{00000000-0008-0000-0A00-000002000000}"/>
            </a:ext>
          </a:extLst>
        </xdr:cNvPr>
        <xdr:cNvSpPr/>
      </xdr:nvSpPr>
      <xdr:spPr>
        <a:xfrm>
          <a:off x="390525" y="628650"/>
          <a:ext cx="4429126" cy="2828925"/>
        </a:xfrm>
        <a:prstGeom prst="rect">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1</xdr:col>
      <xdr:colOff>228600</xdr:colOff>
      <xdr:row>3</xdr:row>
      <xdr:rowOff>171450</xdr:rowOff>
    </xdr:from>
    <xdr:to>
      <xdr:col>5</xdr:col>
      <xdr:colOff>466725</xdr:colOff>
      <xdr:row>15</xdr:row>
      <xdr:rowOff>28575</xdr:rowOff>
    </xdr:to>
    <xdr:sp macro="" textlink="">
      <xdr:nvSpPr>
        <xdr:cNvPr id="3" name="Oval 2">
          <a:extLst>
            <a:ext uri="{FF2B5EF4-FFF2-40B4-BE49-F238E27FC236}">
              <a16:creationId xmlns:a16="http://schemas.microsoft.com/office/drawing/2014/main" id="{00000000-0008-0000-0A00-000003000000}"/>
            </a:ext>
          </a:extLst>
        </xdr:cNvPr>
        <xdr:cNvSpPr/>
      </xdr:nvSpPr>
      <xdr:spPr>
        <a:xfrm>
          <a:off x="619125" y="847725"/>
          <a:ext cx="2676525" cy="2143125"/>
        </a:xfrm>
        <a:prstGeom prst="ellipse">
          <a:avLst/>
        </a:prstGeom>
        <a:solidFill>
          <a:srgbClr val="FFFF99">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CA" sz="1100">
            <a:solidFill>
              <a:schemeClr val="lt1"/>
            </a:solidFill>
            <a:latin typeface="+mn-lt"/>
            <a:ea typeface="+mn-ea"/>
            <a:cs typeface="+mn-cs"/>
          </a:endParaRPr>
        </a:p>
      </xdr:txBody>
    </xdr:sp>
    <xdr:clientData/>
  </xdr:twoCellAnchor>
  <xdr:twoCellAnchor>
    <xdr:from>
      <xdr:col>3</xdr:col>
      <xdr:colOff>285751</xdr:colOff>
      <xdr:row>3</xdr:row>
      <xdr:rowOff>171450</xdr:rowOff>
    </xdr:from>
    <xdr:to>
      <xdr:col>7</xdr:col>
      <xdr:colOff>571501</xdr:colOff>
      <xdr:row>15</xdr:row>
      <xdr:rowOff>28575</xdr:rowOff>
    </xdr:to>
    <xdr:sp macro="" textlink="">
      <xdr:nvSpPr>
        <xdr:cNvPr id="4" name="Oval 3">
          <a:extLst>
            <a:ext uri="{FF2B5EF4-FFF2-40B4-BE49-F238E27FC236}">
              <a16:creationId xmlns:a16="http://schemas.microsoft.com/office/drawing/2014/main" id="{00000000-0008-0000-0A00-000004000000}"/>
            </a:ext>
          </a:extLst>
        </xdr:cNvPr>
        <xdr:cNvSpPr/>
      </xdr:nvSpPr>
      <xdr:spPr>
        <a:xfrm>
          <a:off x="1895476" y="847725"/>
          <a:ext cx="2724150" cy="2143125"/>
        </a:xfrm>
        <a:prstGeom prst="ellipse">
          <a:avLst/>
        </a:prstGeom>
        <a:solidFill>
          <a:srgbClr val="FFFF99">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3</xdr:col>
      <xdr:colOff>542925</xdr:colOff>
      <xdr:row>8</xdr:row>
      <xdr:rowOff>161926</xdr:rowOff>
    </xdr:from>
    <xdr:to>
      <xdr:col>5</xdr:col>
      <xdr:colOff>200025</xdr:colOff>
      <xdr:row>10</xdr:row>
      <xdr:rowOff>142876</xdr:rowOff>
    </xdr:to>
    <xdr:sp macro="" textlink="">
      <xdr:nvSpPr>
        <xdr:cNvPr id="5" name="TextBox 4">
          <a:extLst>
            <a:ext uri="{FF2B5EF4-FFF2-40B4-BE49-F238E27FC236}">
              <a16:creationId xmlns:a16="http://schemas.microsoft.com/office/drawing/2014/main" id="{00000000-0008-0000-0A00-000005000000}"/>
            </a:ext>
          </a:extLst>
        </xdr:cNvPr>
        <xdr:cNvSpPr txBox="1"/>
      </xdr:nvSpPr>
      <xdr:spPr>
        <a:xfrm>
          <a:off x="2152650" y="1790701"/>
          <a:ext cx="876300"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B</a:t>
          </a:r>
          <a:endParaRPr lang="en-CA" sz="1100"/>
        </a:p>
      </xdr:txBody>
    </xdr:sp>
    <xdr:clientData/>
  </xdr:twoCellAnchor>
  <xdr:twoCellAnchor>
    <xdr:from>
      <xdr:col>1</xdr:col>
      <xdr:colOff>600074</xdr:colOff>
      <xdr:row>5</xdr:row>
      <xdr:rowOff>152400</xdr:rowOff>
    </xdr:from>
    <xdr:to>
      <xdr:col>3</xdr:col>
      <xdr:colOff>342899</xdr:colOff>
      <xdr:row>9</xdr:row>
      <xdr:rowOff>57150</xdr:rowOff>
    </xdr:to>
    <xdr:sp macro="" textlink="">
      <xdr:nvSpPr>
        <xdr:cNvPr id="6" name="TextBox 5">
          <a:extLst>
            <a:ext uri="{FF2B5EF4-FFF2-40B4-BE49-F238E27FC236}">
              <a16:creationId xmlns:a16="http://schemas.microsoft.com/office/drawing/2014/main" id="{00000000-0008-0000-0A00-000006000000}"/>
            </a:ext>
          </a:extLst>
        </xdr:cNvPr>
        <xdr:cNvSpPr txBox="1"/>
      </xdr:nvSpPr>
      <xdr:spPr>
        <a:xfrm>
          <a:off x="990599" y="1209675"/>
          <a:ext cx="962025" cy="666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Dropout</a:t>
          </a:r>
          <a:r>
            <a:rPr lang="en-CA" sz="1100" baseline="0"/>
            <a:t> background rate = </a:t>
          </a:r>
          <a:r>
            <a:rPr lang="en-CA" sz="1100"/>
            <a:t>p</a:t>
          </a:r>
          <a:r>
            <a:rPr lang="en-CA" sz="1100" baseline="-25000"/>
            <a:t>A</a:t>
          </a:r>
          <a:endParaRPr lang="en-CA" sz="1100"/>
        </a:p>
      </xdr:txBody>
    </xdr:sp>
    <xdr:clientData/>
  </xdr:twoCellAnchor>
  <xdr:twoCellAnchor>
    <xdr:from>
      <xdr:col>5</xdr:col>
      <xdr:colOff>542924</xdr:colOff>
      <xdr:row>5</xdr:row>
      <xdr:rowOff>171450</xdr:rowOff>
    </xdr:from>
    <xdr:to>
      <xdr:col>7</xdr:col>
      <xdr:colOff>285749</xdr:colOff>
      <xdr:row>8</xdr:row>
      <xdr:rowOff>142875</xdr:rowOff>
    </xdr:to>
    <xdr:sp macro="" textlink="">
      <xdr:nvSpPr>
        <xdr:cNvPr id="7" name="TextBox 6">
          <a:extLst>
            <a:ext uri="{FF2B5EF4-FFF2-40B4-BE49-F238E27FC236}">
              <a16:creationId xmlns:a16="http://schemas.microsoft.com/office/drawing/2014/main" id="{00000000-0008-0000-0A00-000007000000}"/>
            </a:ext>
          </a:extLst>
        </xdr:cNvPr>
        <xdr:cNvSpPr txBox="1"/>
      </xdr:nvSpPr>
      <xdr:spPr>
        <a:xfrm>
          <a:off x="3371849" y="1228725"/>
          <a:ext cx="962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100"/>
            <a:t>Dropout</a:t>
          </a:r>
          <a:r>
            <a:rPr lang="en-CA" sz="1100" baseline="0"/>
            <a:t> Due to AE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endParaRPr lang="en-CA">
            <a:effectLst/>
          </a:endParaRPr>
        </a:p>
      </xdr:txBody>
    </xdr:sp>
    <xdr:clientData/>
  </xdr:twoCellAnchor>
  <xdr:twoCellAnchor>
    <xdr:from>
      <xdr:col>1</xdr:col>
      <xdr:colOff>228600</xdr:colOff>
      <xdr:row>15</xdr:row>
      <xdr:rowOff>38100</xdr:rowOff>
    </xdr:from>
    <xdr:to>
      <xdr:col>7</xdr:col>
      <xdr:colOff>533400</xdr:colOff>
      <xdr:row>17</xdr:row>
      <xdr:rowOff>114300</xdr:rowOff>
    </xdr:to>
    <xdr:sp macro="" textlink="">
      <xdr:nvSpPr>
        <xdr:cNvPr id="8" name="TextBox 7">
          <a:extLst>
            <a:ext uri="{FF2B5EF4-FFF2-40B4-BE49-F238E27FC236}">
              <a16:creationId xmlns:a16="http://schemas.microsoft.com/office/drawing/2014/main" id="{00000000-0008-0000-0A00-000008000000}"/>
            </a:ext>
          </a:extLst>
        </xdr:cNvPr>
        <xdr:cNvSpPr txBox="1"/>
      </xdr:nvSpPr>
      <xdr:spPr>
        <a:xfrm>
          <a:off x="619125" y="3000375"/>
          <a:ext cx="39624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baseline="0">
              <a:solidFill>
                <a:schemeClr val="dk1"/>
              </a:solidFill>
              <a:effectLst/>
              <a:latin typeface="+mn-lt"/>
              <a:ea typeface="+mn-ea"/>
              <a:cs typeface="+mn-cs"/>
            </a:rPr>
            <a:t>Total Dropout Rate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B</a:t>
          </a:r>
          <a:r>
            <a:rPr lang="en-CA" sz="1100" baseline="0">
              <a:solidFill>
                <a:schemeClr val="dk1"/>
              </a:solidFill>
              <a:effectLst/>
              <a:latin typeface="+mn-lt"/>
              <a:ea typeface="+mn-ea"/>
              <a:cs typeface="+mn-cs"/>
              <a:sym typeface="Symbol" panose="05050102010706020507" pitchFamily="18" charset="2"/>
            </a:rPr>
            <a:t> </a:t>
          </a:r>
          <a:r>
            <a:rPr lang="en-CA" sz="1100">
              <a:solidFill>
                <a:schemeClr val="dk1"/>
              </a:solidFill>
              <a:effectLst/>
              <a:latin typeface="+mn-lt"/>
              <a:ea typeface="+mn-ea"/>
              <a:cs typeface="+mn-cs"/>
            </a:rPr>
            <a:t>= p</a:t>
          </a:r>
          <a:r>
            <a:rPr lang="en-CA" sz="1100" baseline="-25000">
              <a:solidFill>
                <a:schemeClr val="dk1"/>
              </a:solidFill>
              <a:effectLst/>
              <a:latin typeface="+mn-lt"/>
              <a:ea typeface="+mn-ea"/>
              <a:cs typeface="+mn-cs"/>
            </a:rPr>
            <a:t>A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endParaRPr lang="en-CA"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Remain</a:t>
          </a:r>
          <a:r>
            <a:rPr lang="en-CA" sz="1100" baseline="0">
              <a:solidFill>
                <a:schemeClr val="dk1"/>
              </a:solidFill>
              <a:effectLst/>
              <a:latin typeface="+mn-lt"/>
              <a:ea typeface="+mn-ea"/>
              <a:cs typeface="+mn-cs"/>
            </a:rPr>
            <a:t> in trial = 1-Total Dropout Rate</a:t>
          </a:r>
          <a:endParaRPr lang="en-CA">
            <a:effectLst/>
          </a:endParaRPr>
        </a:p>
      </xdr:txBody>
    </xdr:sp>
    <xdr:clientData/>
  </xdr:twoCellAnchor>
  <xdr:twoCellAnchor>
    <xdr:from>
      <xdr:col>1</xdr:col>
      <xdr:colOff>333375</xdr:colOff>
      <xdr:row>8</xdr:row>
      <xdr:rowOff>28575</xdr:rowOff>
    </xdr:from>
    <xdr:to>
      <xdr:col>2</xdr:col>
      <xdr:colOff>304800</xdr:colOff>
      <xdr:row>11</xdr:row>
      <xdr:rowOff>0</xdr:rowOff>
    </xdr:to>
    <xdr:sp macro="" textlink="">
      <xdr:nvSpPr>
        <xdr:cNvPr id="9" name="TextBox 8">
          <a:extLst>
            <a:ext uri="{FF2B5EF4-FFF2-40B4-BE49-F238E27FC236}">
              <a16:creationId xmlns:a16="http://schemas.microsoft.com/office/drawing/2014/main" id="{00000000-0008-0000-0A00-000009000000}"/>
            </a:ext>
          </a:extLst>
        </xdr:cNvPr>
        <xdr:cNvSpPr txBox="1"/>
      </xdr:nvSpPr>
      <xdr:spPr>
        <a:xfrm>
          <a:off x="723900" y="1657350"/>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A</a:t>
          </a:r>
        </a:p>
      </xdr:txBody>
    </xdr:sp>
    <xdr:clientData/>
  </xdr:twoCellAnchor>
  <xdr:twoCellAnchor>
    <xdr:from>
      <xdr:col>7</xdr:col>
      <xdr:colOff>104775</xdr:colOff>
      <xdr:row>8</xdr:row>
      <xdr:rowOff>47625</xdr:rowOff>
    </xdr:from>
    <xdr:to>
      <xdr:col>8</xdr:col>
      <xdr:colOff>76200</xdr:colOff>
      <xdr:row>11</xdr:row>
      <xdr:rowOff>19050</xdr:rowOff>
    </xdr:to>
    <xdr:sp macro="" textlink="">
      <xdr:nvSpPr>
        <xdr:cNvPr id="10" name="TextBox 9">
          <a:extLst>
            <a:ext uri="{FF2B5EF4-FFF2-40B4-BE49-F238E27FC236}">
              <a16:creationId xmlns:a16="http://schemas.microsoft.com/office/drawing/2014/main" id="{00000000-0008-0000-0A00-00000A000000}"/>
            </a:ext>
          </a:extLst>
        </xdr:cNvPr>
        <xdr:cNvSpPr txBox="1"/>
      </xdr:nvSpPr>
      <xdr:spPr>
        <a:xfrm>
          <a:off x="4152900" y="1676400"/>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B</a:t>
          </a:r>
        </a:p>
      </xdr:txBody>
    </xdr:sp>
    <xdr:clientData/>
  </xdr:twoCellAnchor>
  <xdr:twoCellAnchor>
    <xdr:from>
      <xdr:col>5</xdr:col>
      <xdr:colOff>129081</xdr:colOff>
      <xdr:row>20</xdr:row>
      <xdr:rowOff>137948</xdr:rowOff>
    </xdr:from>
    <xdr:to>
      <xdr:col>12</xdr:col>
      <xdr:colOff>282465</xdr:colOff>
      <xdr:row>29</xdr:row>
      <xdr:rowOff>72259</xdr:rowOff>
    </xdr:to>
    <xdr:sp macro="" textlink="">
      <xdr:nvSpPr>
        <xdr:cNvPr id="11" name="TextBox 10">
          <a:extLst>
            <a:ext uri="{FF2B5EF4-FFF2-40B4-BE49-F238E27FC236}">
              <a16:creationId xmlns:a16="http://schemas.microsoft.com/office/drawing/2014/main" id="{00000000-0008-0000-0A00-00000B000000}"/>
            </a:ext>
          </a:extLst>
        </xdr:cNvPr>
        <xdr:cNvSpPr txBox="1"/>
      </xdr:nvSpPr>
      <xdr:spPr>
        <a:xfrm>
          <a:off x="2960305" y="4105603"/>
          <a:ext cx="4429781" cy="1826173"/>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000">
              <a:solidFill>
                <a:schemeClr val="dk1"/>
              </a:solidFill>
              <a:latin typeface="+mn-lt"/>
              <a:ea typeface="+mn-ea"/>
              <a:cs typeface="+mn-cs"/>
            </a:rPr>
            <a:t>The probability of two independent events coinciding is equal to their probabilities, multiplied.</a:t>
          </a:r>
        </a:p>
        <a:p>
          <a:pPr marL="0" marR="0" lvl="0" indent="0" defTabSz="914400" eaLnBrk="1" fontAlgn="auto" latinLnBrk="0" hangingPunct="1">
            <a:lnSpc>
              <a:spcPct val="100000"/>
            </a:lnSpc>
            <a:spcBef>
              <a:spcPts val="0"/>
            </a:spcBef>
            <a:spcAft>
              <a:spcPts val="0"/>
            </a:spcAft>
            <a:buClrTx/>
            <a:buSzTx/>
            <a:buFontTx/>
            <a:buNone/>
            <a:tabLst/>
            <a:defRPr/>
          </a:pPr>
          <a:r>
            <a:rPr lang="en-CA" sz="1000">
              <a:solidFill>
                <a:schemeClr val="dk1"/>
              </a:solidFill>
              <a:latin typeface="+mn-lt"/>
              <a:ea typeface="+mn-ea"/>
              <a:cs typeface="+mn-cs"/>
            </a:rPr>
            <a:t>Consequently if there is a background chance that someone might drop out of a clinical study (e.g. 10%) and an independent chance that they might experience an adverse event and be removed (e.g. 20%), then the total dropout rate would NOT be 30%. It would be equal to pA + pB - (pAxpB) = 28%. </a:t>
          </a:r>
        </a:p>
        <a:p>
          <a:pPr marL="0" marR="0" lvl="0" indent="0" defTabSz="914400" eaLnBrk="1" fontAlgn="auto" latinLnBrk="0" hangingPunct="1">
            <a:lnSpc>
              <a:spcPct val="100000"/>
            </a:lnSpc>
            <a:spcBef>
              <a:spcPts val="0"/>
            </a:spcBef>
            <a:spcAft>
              <a:spcPts val="0"/>
            </a:spcAft>
            <a:buClrTx/>
            <a:buSzTx/>
            <a:buFontTx/>
            <a:buNone/>
            <a:tabLst/>
            <a:defRPr/>
          </a:pPr>
          <a:r>
            <a:rPr lang="en-CA" sz="1000">
              <a:solidFill>
                <a:schemeClr val="dk1"/>
              </a:solidFill>
              <a:latin typeface="+mn-lt"/>
              <a:ea typeface="+mn-ea"/>
              <a:cs typeface="+mn-cs"/>
            </a:rPr>
            <a:t>This spreadsheet calculates the total dropout rate, then buffers the number of completed subjects to properly account for dropouts using the formula Total = #Completed/(1-Total Dropout Rate). Then you can round up </a:t>
          </a:r>
          <a:r>
            <a:rPr lang="en-CA" sz="1000" baseline="0">
              <a:solidFill>
                <a:schemeClr val="dk1"/>
              </a:solidFill>
              <a:latin typeface="+mn-lt"/>
              <a:ea typeface="+mn-ea"/>
              <a:cs typeface="+mn-cs"/>
            </a:rPr>
            <a:t>to plan for an equal number of subjects per sequence.</a:t>
          </a:r>
          <a:endParaRPr lang="en-CA" sz="1000">
            <a:solidFill>
              <a:schemeClr val="dk1"/>
            </a:solidFill>
            <a:latin typeface="+mn-lt"/>
            <a:ea typeface="+mn-ea"/>
            <a:cs typeface="+mn-cs"/>
          </a:endParaRPr>
        </a:p>
        <a:p>
          <a:pPr marL="0" indent="0"/>
          <a:endParaRPr lang="en-CA" sz="1000">
            <a:solidFill>
              <a:schemeClr val="dk1"/>
            </a:solidFill>
            <a:latin typeface="+mn-lt"/>
            <a:ea typeface="+mn-ea"/>
            <a:cs typeface="+mn-cs"/>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36980</xdr:colOff>
      <xdr:row>2</xdr:row>
      <xdr:rowOff>112059</xdr:rowOff>
    </xdr:from>
    <xdr:to>
      <xdr:col>9</xdr:col>
      <xdr:colOff>556371</xdr:colOff>
      <xdr:row>26</xdr:row>
      <xdr:rowOff>81803</xdr:rowOff>
    </xdr:to>
    <xdr:sp macro="" textlink="">
      <xdr:nvSpPr>
        <xdr:cNvPr id="2" name="Rectangle 1">
          <a:extLst>
            <a:ext uri="{FF2B5EF4-FFF2-40B4-BE49-F238E27FC236}">
              <a16:creationId xmlns:a16="http://schemas.microsoft.com/office/drawing/2014/main" id="{00000000-0008-0000-0B00-000002000000}"/>
            </a:ext>
          </a:extLst>
        </xdr:cNvPr>
        <xdr:cNvSpPr/>
      </xdr:nvSpPr>
      <xdr:spPr>
        <a:xfrm>
          <a:off x="389405" y="597834"/>
          <a:ext cx="5396191" cy="4646519"/>
        </a:xfrm>
        <a:prstGeom prst="rect">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2</xdr:col>
      <xdr:colOff>228600</xdr:colOff>
      <xdr:row>5</xdr:row>
      <xdr:rowOff>171450</xdr:rowOff>
    </xdr:from>
    <xdr:to>
      <xdr:col>6</xdr:col>
      <xdr:colOff>466725</xdr:colOff>
      <xdr:row>17</xdr:row>
      <xdr:rowOff>28575</xdr:rowOff>
    </xdr:to>
    <xdr:sp macro="" textlink="">
      <xdr:nvSpPr>
        <xdr:cNvPr id="3" name="Oval 2">
          <a:extLst>
            <a:ext uri="{FF2B5EF4-FFF2-40B4-BE49-F238E27FC236}">
              <a16:creationId xmlns:a16="http://schemas.microsoft.com/office/drawing/2014/main" id="{00000000-0008-0000-0B00-000003000000}"/>
            </a:ext>
          </a:extLst>
        </xdr:cNvPr>
        <xdr:cNvSpPr/>
      </xdr:nvSpPr>
      <xdr:spPr>
        <a:xfrm>
          <a:off x="1190625" y="1333500"/>
          <a:ext cx="2676525" cy="2143125"/>
        </a:xfrm>
        <a:prstGeom prst="ellipse">
          <a:avLst/>
        </a:prstGeom>
        <a:solidFill>
          <a:srgbClr val="FFFF99">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CA" sz="1100">
            <a:solidFill>
              <a:schemeClr val="lt1"/>
            </a:solidFill>
            <a:latin typeface="+mn-lt"/>
            <a:ea typeface="+mn-ea"/>
            <a:cs typeface="+mn-cs"/>
          </a:endParaRPr>
        </a:p>
      </xdr:txBody>
    </xdr:sp>
    <xdr:clientData/>
  </xdr:twoCellAnchor>
  <xdr:twoCellAnchor>
    <xdr:from>
      <xdr:col>4</xdr:col>
      <xdr:colOff>285751</xdr:colOff>
      <xdr:row>5</xdr:row>
      <xdr:rowOff>171450</xdr:rowOff>
    </xdr:from>
    <xdr:to>
      <xdr:col>8</xdr:col>
      <xdr:colOff>571501</xdr:colOff>
      <xdr:row>17</xdr:row>
      <xdr:rowOff>28575</xdr:rowOff>
    </xdr:to>
    <xdr:sp macro="" textlink="">
      <xdr:nvSpPr>
        <xdr:cNvPr id="4" name="Oval 3">
          <a:extLst>
            <a:ext uri="{FF2B5EF4-FFF2-40B4-BE49-F238E27FC236}">
              <a16:creationId xmlns:a16="http://schemas.microsoft.com/office/drawing/2014/main" id="{00000000-0008-0000-0B00-000004000000}"/>
            </a:ext>
          </a:extLst>
        </xdr:cNvPr>
        <xdr:cNvSpPr/>
      </xdr:nvSpPr>
      <xdr:spPr>
        <a:xfrm>
          <a:off x="2466976" y="1333500"/>
          <a:ext cx="2724150" cy="2143125"/>
        </a:xfrm>
        <a:prstGeom prst="ellipse">
          <a:avLst/>
        </a:prstGeom>
        <a:solidFill>
          <a:srgbClr val="FFFF99">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5</xdr:col>
      <xdr:colOff>255080</xdr:colOff>
      <xdr:row>9</xdr:row>
      <xdr:rowOff>16152</xdr:rowOff>
    </xdr:from>
    <xdr:to>
      <xdr:col>6</xdr:col>
      <xdr:colOff>31108</xdr:colOff>
      <xdr:row>13</xdr:row>
      <xdr:rowOff>118174</xdr:rowOff>
    </xdr:to>
    <xdr:sp macro="" textlink="">
      <xdr:nvSpPr>
        <xdr:cNvPr id="5" name="TextBox 4">
          <a:extLst>
            <a:ext uri="{FF2B5EF4-FFF2-40B4-BE49-F238E27FC236}">
              <a16:creationId xmlns:a16="http://schemas.microsoft.com/office/drawing/2014/main" id="{00000000-0008-0000-0B00-000005000000}"/>
            </a:ext>
          </a:extLst>
        </xdr:cNvPr>
        <xdr:cNvSpPr txBox="1"/>
      </xdr:nvSpPr>
      <xdr:spPr>
        <a:xfrm rot="16399730">
          <a:off x="2806708" y="2179399"/>
          <a:ext cx="864022" cy="3856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B</a:t>
          </a:r>
          <a:endParaRPr lang="en-CA" sz="1100"/>
        </a:p>
      </xdr:txBody>
    </xdr:sp>
    <xdr:clientData/>
  </xdr:twoCellAnchor>
  <xdr:twoCellAnchor>
    <xdr:from>
      <xdr:col>2</xdr:col>
      <xdr:colOff>371474</xdr:colOff>
      <xdr:row>8</xdr:row>
      <xdr:rowOff>28575</xdr:rowOff>
    </xdr:from>
    <xdr:to>
      <xdr:col>4</xdr:col>
      <xdr:colOff>114299</xdr:colOff>
      <xdr:row>12</xdr:row>
      <xdr:rowOff>104775</xdr:rowOff>
    </xdr:to>
    <xdr:sp macro="" textlink="">
      <xdr:nvSpPr>
        <xdr:cNvPr id="6" name="TextBox 5">
          <a:extLst>
            <a:ext uri="{FF2B5EF4-FFF2-40B4-BE49-F238E27FC236}">
              <a16:creationId xmlns:a16="http://schemas.microsoft.com/office/drawing/2014/main" id="{00000000-0008-0000-0B00-000006000000}"/>
            </a:ext>
          </a:extLst>
        </xdr:cNvPr>
        <xdr:cNvSpPr txBox="1"/>
      </xdr:nvSpPr>
      <xdr:spPr>
        <a:xfrm>
          <a:off x="1333499" y="1762125"/>
          <a:ext cx="962025" cy="838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Dropout</a:t>
          </a:r>
          <a:r>
            <a:rPr lang="en-CA" sz="1100" baseline="0"/>
            <a:t> background rate = </a:t>
          </a:r>
          <a:r>
            <a:rPr lang="en-CA" sz="1100"/>
            <a:t>p</a:t>
          </a:r>
          <a:r>
            <a:rPr lang="en-CA" sz="1100" baseline="-25000"/>
            <a:t>A</a:t>
          </a:r>
          <a:endParaRPr lang="en-CA" sz="1100"/>
        </a:p>
      </xdr:txBody>
    </xdr:sp>
    <xdr:clientData/>
  </xdr:twoCellAnchor>
  <xdr:twoCellAnchor>
    <xdr:from>
      <xdr:col>7</xdr:col>
      <xdr:colOff>119341</xdr:colOff>
      <xdr:row>10</xdr:row>
      <xdr:rowOff>36979</xdr:rowOff>
    </xdr:from>
    <xdr:to>
      <xdr:col>8</xdr:col>
      <xdr:colOff>467284</xdr:colOff>
      <xdr:row>14</xdr:row>
      <xdr:rowOff>113179</xdr:rowOff>
    </xdr:to>
    <xdr:sp macro="" textlink="">
      <xdr:nvSpPr>
        <xdr:cNvPr id="7" name="TextBox 6">
          <a:extLst>
            <a:ext uri="{FF2B5EF4-FFF2-40B4-BE49-F238E27FC236}">
              <a16:creationId xmlns:a16="http://schemas.microsoft.com/office/drawing/2014/main" id="{00000000-0008-0000-0B00-000007000000}"/>
            </a:ext>
          </a:extLst>
        </xdr:cNvPr>
        <xdr:cNvSpPr txBox="1"/>
      </xdr:nvSpPr>
      <xdr:spPr>
        <a:xfrm>
          <a:off x="4129366" y="2151529"/>
          <a:ext cx="957543" cy="838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100"/>
            <a:t>Dropout</a:t>
          </a:r>
          <a:r>
            <a:rPr lang="en-CA" sz="1100" baseline="0"/>
            <a:t> Due to AE1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endParaRPr lang="en-CA">
            <a:effectLst/>
          </a:endParaRPr>
        </a:p>
      </xdr:txBody>
    </xdr:sp>
    <xdr:clientData/>
  </xdr:twoCellAnchor>
  <xdr:twoCellAnchor>
    <xdr:from>
      <xdr:col>1</xdr:col>
      <xdr:colOff>142314</xdr:colOff>
      <xdr:row>23</xdr:row>
      <xdr:rowOff>179294</xdr:rowOff>
    </xdr:from>
    <xdr:to>
      <xdr:col>9</xdr:col>
      <xdr:colOff>490256</xdr:colOff>
      <xdr:row>26</xdr:row>
      <xdr:rowOff>64994</xdr:rowOff>
    </xdr:to>
    <xdr:sp macro="" textlink="">
      <xdr:nvSpPr>
        <xdr:cNvPr id="8" name="TextBox 7">
          <a:extLst>
            <a:ext uri="{FF2B5EF4-FFF2-40B4-BE49-F238E27FC236}">
              <a16:creationId xmlns:a16="http://schemas.microsoft.com/office/drawing/2014/main" id="{00000000-0008-0000-0B00-000008000000}"/>
            </a:ext>
          </a:extLst>
        </xdr:cNvPr>
        <xdr:cNvSpPr txBox="1"/>
      </xdr:nvSpPr>
      <xdr:spPr>
        <a:xfrm>
          <a:off x="494739" y="4770344"/>
          <a:ext cx="5224742"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b="1" baseline="0">
              <a:solidFill>
                <a:schemeClr val="dk1"/>
              </a:solidFill>
              <a:effectLst/>
              <a:latin typeface="+mn-lt"/>
              <a:ea typeface="+mn-ea"/>
              <a:cs typeface="+mn-cs"/>
            </a:rPr>
            <a:t>Total Dropout Rate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baseline="-25000">
              <a:solidFill>
                <a:schemeClr val="dk1"/>
              </a:solidFill>
              <a:effectLst/>
              <a:latin typeface="+mn-lt"/>
              <a:ea typeface="+mn-ea"/>
              <a:cs typeface="+mn-cs"/>
              <a:sym typeface="Symbol" panose="05050102010706020507" pitchFamily="18" charset="2"/>
            </a:rPr>
            <a:t>C</a:t>
          </a:r>
          <a:r>
            <a:rPr lang="en-CA" sz="1100" baseline="0">
              <a:solidFill>
                <a:schemeClr val="dk1"/>
              </a:solidFill>
              <a:effectLst/>
              <a:latin typeface="+mn-lt"/>
              <a:ea typeface="+mn-ea"/>
              <a:cs typeface="+mn-cs"/>
              <a:sym typeface="Symbol" panose="05050102010706020507" pitchFamily="18" charset="2"/>
            </a:rPr>
            <a:t> </a:t>
          </a:r>
          <a:r>
            <a:rPr lang="en-CA" sz="1100">
              <a:solidFill>
                <a:schemeClr val="dk1"/>
              </a:solidFill>
              <a:effectLst/>
              <a:latin typeface="+mn-lt"/>
              <a:ea typeface="+mn-ea"/>
              <a:cs typeface="+mn-cs"/>
            </a:rPr>
            <a:t>= p</a:t>
          </a:r>
          <a:r>
            <a:rPr lang="en-CA" sz="1100" baseline="-25000">
              <a:solidFill>
                <a:schemeClr val="dk1"/>
              </a:solidFill>
              <a:effectLst/>
              <a:latin typeface="+mn-lt"/>
              <a:ea typeface="+mn-ea"/>
              <a:cs typeface="+mn-cs"/>
            </a:rPr>
            <a:t>A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c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baseline="0">
              <a:solidFill>
                <a:schemeClr val="dk1"/>
              </a:solidFill>
              <a:effectLst/>
              <a:latin typeface="+mn-lt"/>
              <a:ea typeface="+mn-ea"/>
              <a:cs typeface="+mn-cs"/>
            </a:rPr>
            <a:t> </a:t>
          </a:r>
          <a:r>
            <a:rPr lang="en-CA" sz="1100" baseline="-25000">
              <a:solidFill>
                <a:schemeClr val="dk1"/>
              </a:solidFill>
              <a:effectLst/>
              <a:latin typeface="+mn-lt"/>
              <a:ea typeface="+mn-ea"/>
              <a:cs typeface="+mn-cs"/>
            </a:rPr>
            <a:t>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C</a:t>
          </a:r>
          <a:r>
            <a:rPr lang="en-CA" sz="1100" baseline="0">
              <a:solidFill>
                <a:schemeClr val="dk1"/>
              </a:solidFill>
              <a:effectLst/>
              <a:latin typeface="+mn-lt"/>
              <a:ea typeface="+mn-ea"/>
              <a:cs typeface="+mn-cs"/>
            </a:rPr>
            <a:t>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C</a:t>
          </a:r>
          <a:r>
            <a:rPr lang="en-CA" sz="1100" baseline="0">
              <a:solidFill>
                <a:schemeClr val="dk1"/>
              </a:solidFill>
              <a:effectLst/>
              <a:latin typeface="+mn-lt"/>
              <a:ea typeface="+mn-ea"/>
              <a:cs typeface="+mn-cs"/>
            </a:rPr>
            <a:t> </a:t>
          </a:r>
          <a:r>
            <a:rPr lang="en-CA" sz="1100" baseline="-25000">
              <a:solidFill>
                <a:schemeClr val="dk1"/>
              </a:solidFill>
              <a:effectLst/>
              <a:latin typeface="+mn-lt"/>
              <a:ea typeface="+mn-ea"/>
              <a:cs typeface="+mn-cs"/>
            </a:rPr>
            <a:t>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baseline="-25000">
              <a:solidFill>
                <a:schemeClr val="dk1"/>
              </a:solidFill>
              <a:effectLst/>
              <a:latin typeface="+mn-lt"/>
              <a:ea typeface="+mn-ea"/>
              <a:cs typeface="+mn-cs"/>
              <a:sym typeface="Symbol" panose="05050102010706020507" pitchFamily="18" charset="2"/>
            </a:rPr>
            <a:t>C</a:t>
          </a:r>
          <a:endParaRPr lang="en-CA" sz="1100" b="1"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CA" sz="1100" b="1">
              <a:solidFill>
                <a:schemeClr val="dk1"/>
              </a:solidFill>
              <a:effectLst/>
              <a:latin typeface="+mn-lt"/>
              <a:ea typeface="+mn-ea"/>
              <a:cs typeface="+mn-cs"/>
            </a:rPr>
            <a:t>Remain</a:t>
          </a:r>
          <a:r>
            <a:rPr lang="en-CA" sz="1100" b="1" baseline="0">
              <a:solidFill>
                <a:schemeClr val="dk1"/>
              </a:solidFill>
              <a:effectLst/>
              <a:latin typeface="+mn-lt"/>
              <a:ea typeface="+mn-ea"/>
              <a:cs typeface="+mn-cs"/>
            </a:rPr>
            <a:t> in trial </a:t>
          </a:r>
          <a:r>
            <a:rPr lang="en-CA" sz="1100" baseline="0">
              <a:solidFill>
                <a:schemeClr val="dk1"/>
              </a:solidFill>
              <a:effectLst/>
              <a:latin typeface="+mn-lt"/>
              <a:ea typeface="+mn-ea"/>
              <a:cs typeface="+mn-cs"/>
            </a:rPr>
            <a:t>= 1-Total Dropout Rate</a:t>
          </a:r>
          <a:endParaRPr lang="en-CA" b="1">
            <a:effectLst/>
          </a:endParaRPr>
        </a:p>
      </xdr:txBody>
    </xdr:sp>
    <xdr:clientData/>
  </xdr:twoCellAnchor>
  <xdr:twoCellAnchor>
    <xdr:from>
      <xdr:col>3</xdr:col>
      <xdr:colOff>190500</xdr:colOff>
      <xdr:row>11</xdr:row>
      <xdr:rowOff>123825</xdr:rowOff>
    </xdr:from>
    <xdr:to>
      <xdr:col>7</xdr:col>
      <xdr:colOff>476250</xdr:colOff>
      <xdr:row>24</xdr:row>
      <xdr:rowOff>28575</xdr:rowOff>
    </xdr:to>
    <xdr:sp macro="" textlink="">
      <xdr:nvSpPr>
        <xdr:cNvPr id="9" name="Oval 8">
          <a:extLst>
            <a:ext uri="{FF2B5EF4-FFF2-40B4-BE49-F238E27FC236}">
              <a16:creationId xmlns:a16="http://schemas.microsoft.com/office/drawing/2014/main" id="{00000000-0008-0000-0B00-000009000000}"/>
            </a:ext>
          </a:extLst>
        </xdr:cNvPr>
        <xdr:cNvSpPr/>
      </xdr:nvSpPr>
      <xdr:spPr>
        <a:xfrm>
          <a:off x="1762125" y="2428875"/>
          <a:ext cx="2724150" cy="2381250"/>
        </a:xfrm>
        <a:prstGeom prst="ellipse">
          <a:avLst/>
        </a:prstGeom>
        <a:solidFill>
          <a:srgbClr val="FFFF99">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4</xdr:col>
      <xdr:colOff>504825</xdr:colOff>
      <xdr:row>20</xdr:row>
      <xdr:rowOff>133350</xdr:rowOff>
    </xdr:from>
    <xdr:to>
      <xdr:col>6</xdr:col>
      <xdr:colOff>247650</xdr:colOff>
      <xdr:row>23</xdr:row>
      <xdr:rowOff>44824</xdr:rowOff>
    </xdr:to>
    <xdr:sp macro="" textlink="">
      <xdr:nvSpPr>
        <xdr:cNvPr id="10" name="TextBox 9">
          <a:extLst>
            <a:ext uri="{FF2B5EF4-FFF2-40B4-BE49-F238E27FC236}">
              <a16:creationId xmlns:a16="http://schemas.microsoft.com/office/drawing/2014/main" id="{00000000-0008-0000-0B00-00000A000000}"/>
            </a:ext>
          </a:extLst>
        </xdr:cNvPr>
        <xdr:cNvSpPr txBox="1"/>
      </xdr:nvSpPr>
      <xdr:spPr>
        <a:xfrm>
          <a:off x="2686050" y="4152900"/>
          <a:ext cx="962025" cy="4829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100"/>
            <a:t>Dropout</a:t>
          </a:r>
          <a:r>
            <a:rPr lang="en-CA" sz="1100" baseline="0"/>
            <a:t> Due to AE2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c</a:t>
          </a:r>
          <a:endParaRPr lang="en-CA">
            <a:effectLst/>
          </a:endParaRPr>
        </a:p>
      </xdr:txBody>
    </xdr:sp>
    <xdr:clientData/>
  </xdr:twoCellAnchor>
  <xdr:twoCellAnchor>
    <xdr:from>
      <xdr:col>5</xdr:col>
      <xdr:colOff>508577</xdr:colOff>
      <xdr:row>14</xdr:row>
      <xdr:rowOff>32204</xdr:rowOff>
    </xdr:from>
    <xdr:to>
      <xdr:col>7</xdr:col>
      <xdr:colOff>165677</xdr:colOff>
      <xdr:row>15</xdr:row>
      <xdr:rowOff>168089</xdr:rowOff>
    </xdr:to>
    <xdr:sp macro="" textlink="">
      <xdr:nvSpPr>
        <xdr:cNvPr id="11" name="TextBox 10">
          <a:extLst>
            <a:ext uri="{FF2B5EF4-FFF2-40B4-BE49-F238E27FC236}">
              <a16:creationId xmlns:a16="http://schemas.microsoft.com/office/drawing/2014/main" id="{00000000-0008-0000-0B00-00000B000000}"/>
            </a:ext>
          </a:extLst>
        </xdr:cNvPr>
        <xdr:cNvSpPr txBox="1"/>
      </xdr:nvSpPr>
      <xdr:spPr>
        <a:xfrm rot="2161981">
          <a:off x="3299402" y="2908754"/>
          <a:ext cx="876300" cy="3263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B&amp;C</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C</a:t>
          </a:r>
          <a:endParaRPr lang="en-CA" sz="1100"/>
        </a:p>
      </xdr:txBody>
    </xdr:sp>
    <xdr:clientData/>
  </xdr:twoCellAnchor>
  <xdr:twoCellAnchor>
    <xdr:from>
      <xdr:col>4</xdr:col>
      <xdr:colOff>22971</xdr:colOff>
      <xdr:row>14</xdr:row>
      <xdr:rowOff>26334</xdr:rowOff>
    </xdr:from>
    <xdr:to>
      <xdr:col>5</xdr:col>
      <xdr:colOff>369793</xdr:colOff>
      <xdr:row>15</xdr:row>
      <xdr:rowOff>145677</xdr:rowOff>
    </xdr:to>
    <xdr:sp macro="" textlink="">
      <xdr:nvSpPr>
        <xdr:cNvPr id="12" name="TextBox 11">
          <a:extLst>
            <a:ext uri="{FF2B5EF4-FFF2-40B4-BE49-F238E27FC236}">
              <a16:creationId xmlns:a16="http://schemas.microsoft.com/office/drawing/2014/main" id="{00000000-0008-0000-0B00-00000C000000}"/>
            </a:ext>
          </a:extLst>
        </xdr:cNvPr>
        <xdr:cNvSpPr txBox="1"/>
      </xdr:nvSpPr>
      <xdr:spPr>
        <a:xfrm rot="19982596">
          <a:off x="2204196" y="2902884"/>
          <a:ext cx="956422" cy="3098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C</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C</a:t>
          </a:r>
          <a:endParaRPr lang="en-CA" sz="1100"/>
        </a:p>
      </xdr:txBody>
    </xdr:sp>
    <xdr:clientData/>
  </xdr:twoCellAnchor>
  <xdr:twoCellAnchor>
    <xdr:from>
      <xdr:col>5</xdr:col>
      <xdr:colOff>400050</xdr:colOff>
      <xdr:row>13</xdr:row>
      <xdr:rowOff>114300</xdr:rowOff>
    </xdr:from>
    <xdr:to>
      <xdr:col>8</xdr:col>
      <xdr:colOff>104775</xdr:colOff>
      <xdr:row>20</xdr:row>
      <xdr:rowOff>171450</xdr:rowOff>
    </xdr:to>
    <xdr:cxnSp macro="">
      <xdr:nvCxnSpPr>
        <xdr:cNvPr id="13" name="Straight Arrow Connector 12">
          <a:extLst>
            <a:ext uri="{FF2B5EF4-FFF2-40B4-BE49-F238E27FC236}">
              <a16:creationId xmlns:a16="http://schemas.microsoft.com/office/drawing/2014/main" id="{00000000-0008-0000-0B00-00000D000000}"/>
            </a:ext>
          </a:extLst>
        </xdr:cNvPr>
        <xdr:cNvCxnSpPr/>
      </xdr:nvCxnSpPr>
      <xdr:spPr>
        <a:xfrm flipH="1" flipV="1">
          <a:off x="3190875" y="2800350"/>
          <a:ext cx="1533525" cy="13906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422414</xdr:colOff>
      <xdr:row>20</xdr:row>
      <xdr:rowOff>114300</xdr:rowOff>
    </xdr:from>
    <xdr:to>
      <xdr:col>9</xdr:col>
      <xdr:colOff>571500</xdr:colOff>
      <xdr:row>22</xdr:row>
      <xdr:rowOff>134471</xdr:rowOff>
    </xdr:to>
    <xdr:sp macro="" textlink="">
      <xdr:nvSpPr>
        <xdr:cNvPr id="14" name="TextBox 13">
          <a:extLst>
            <a:ext uri="{FF2B5EF4-FFF2-40B4-BE49-F238E27FC236}">
              <a16:creationId xmlns:a16="http://schemas.microsoft.com/office/drawing/2014/main" id="{00000000-0008-0000-0B00-00000E000000}"/>
            </a:ext>
          </a:extLst>
        </xdr:cNvPr>
        <xdr:cNvSpPr txBox="1"/>
      </xdr:nvSpPr>
      <xdr:spPr>
        <a:xfrm>
          <a:off x="4432439" y="4133850"/>
          <a:ext cx="1368286" cy="4011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C</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C</a:t>
          </a:r>
        </a:p>
      </xdr:txBody>
    </xdr:sp>
    <xdr:clientData/>
  </xdr:twoCellAnchor>
  <xdr:twoCellAnchor>
    <xdr:from>
      <xdr:col>3</xdr:col>
      <xdr:colOff>371475</xdr:colOff>
      <xdr:row>6</xdr:row>
      <xdr:rowOff>19050</xdr:rowOff>
    </xdr:from>
    <xdr:to>
      <xdr:col>4</xdr:col>
      <xdr:colOff>342900</xdr:colOff>
      <xdr:row>8</xdr:row>
      <xdr:rowOff>180975</xdr:rowOff>
    </xdr:to>
    <xdr:sp macro="" textlink="">
      <xdr:nvSpPr>
        <xdr:cNvPr id="15" name="TextBox 14">
          <a:extLst>
            <a:ext uri="{FF2B5EF4-FFF2-40B4-BE49-F238E27FC236}">
              <a16:creationId xmlns:a16="http://schemas.microsoft.com/office/drawing/2014/main" id="{00000000-0008-0000-0B00-00000F000000}"/>
            </a:ext>
          </a:extLst>
        </xdr:cNvPr>
        <xdr:cNvSpPr txBox="1"/>
      </xdr:nvSpPr>
      <xdr:spPr>
        <a:xfrm>
          <a:off x="1943100" y="1371600"/>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A</a:t>
          </a:r>
        </a:p>
      </xdr:txBody>
    </xdr:sp>
    <xdr:clientData/>
  </xdr:twoCellAnchor>
  <xdr:twoCellAnchor>
    <xdr:from>
      <xdr:col>7</xdr:col>
      <xdr:colOff>352425</xdr:colOff>
      <xdr:row>6</xdr:row>
      <xdr:rowOff>142875</xdr:rowOff>
    </xdr:from>
    <xdr:to>
      <xdr:col>8</xdr:col>
      <xdr:colOff>323850</xdr:colOff>
      <xdr:row>9</xdr:row>
      <xdr:rowOff>114300</xdr:rowOff>
    </xdr:to>
    <xdr:sp macro="" textlink="">
      <xdr:nvSpPr>
        <xdr:cNvPr id="16" name="TextBox 15">
          <a:extLst>
            <a:ext uri="{FF2B5EF4-FFF2-40B4-BE49-F238E27FC236}">
              <a16:creationId xmlns:a16="http://schemas.microsoft.com/office/drawing/2014/main" id="{00000000-0008-0000-0B00-000010000000}"/>
            </a:ext>
          </a:extLst>
        </xdr:cNvPr>
        <xdr:cNvSpPr txBox="1"/>
      </xdr:nvSpPr>
      <xdr:spPr>
        <a:xfrm>
          <a:off x="4362450" y="1495425"/>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B</a:t>
          </a:r>
        </a:p>
      </xdr:txBody>
    </xdr:sp>
    <xdr:clientData/>
  </xdr:twoCellAnchor>
  <xdr:twoCellAnchor>
    <xdr:from>
      <xdr:col>4</xdr:col>
      <xdr:colOff>0</xdr:colOff>
      <xdr:row>19</xdr:row>
      <xdr:rowOff>161925</xdr:rowOff>
    </xdr:from>
    <xdr:to>
      <xdr:col>4</xdr:col>
      <xdr:colOff>581025</xdr:colOff>
      <xdr:row>22</xdr:row>
      <xdr:rowOff>133350</xdr:rowOff>
    </xdr:to>
    <xdr:sp macro="" textlink="">
      <xdr:nvSpPr>
        <xdr:cNvPr id="17" name="TextBox 16">
          <a:extLst>
            <a:ext uri="{FF2B5EF4-FFF2-40B4-BE49-F238E27FC236}">
              <a16:creationId xmlns:a16="http://schemas.microsoft.com/office/drawing/2014/main" id="{00000000-0008-0000-0B00-000011000000}"/>
            </a:ext>
          </a:extLst>
        </xdr:cNvPr>
        <xdr:cNvSpPr txBox="1"/>
      </xdr:nvSpPr>
      <xdr:spPr>
        <a:xfrm>
          <a:off x="2181225" y="3990975"/>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C</a:t>
          </a: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9</xdr:col>
      <xdr:colOff>342900</xdr:colOff>
      <xdr:row>14</xdr:row>
      <xdr:rowOff>99060</xdr:rowOff>
    </xdr:from>
    <xdr:to>
      <xdr:col>15</xdr:col>
      <xdr:colOff>251460</xdr:colOff>
      <xdr:row>28</xdr:row>
      <xdr:rowOff>53340</xdr:rowOff>
    </xdr:to>
    <xdr:pic>
      <xdr:nvPicPr>
        <xdr:cNvPr id="30314" name="Picture 10">
          <a:extLst>
            <a:ext uri="{FF2B5EF4-FFF2-40B4-BE49-F238E27FC236}">
              <a16:creationId xmlns:a16="http://schemas.microsoft.com/office/drawing/2014/main" id="{00000000-0008-0000-0C00-00006A7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95160" y="2819400"/>
          <a:ext cx="3657600" cy="24079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7620</xdr:colOff>
      <xdr:row>61</xdr:row>
      <xdr:rowOff>38100</xdr:rowOff>
    </xdr:from>
    <xdr:to>
      <xdr:col>5</xdr:col>
      <xdr:colOff>60960</xdr:colOff>
      <xdr:row>74</xdr:row>
      <xdr:rowOff>137160</xdr:rowOff>
    </xdr:to>
    <xdr:pic>
      <xdr:nvPicPr>
        <xdr:cNvPr id="30315" name="Picture 27">
          <a:extLst>
            <a:ext uri="{FF2B5EF4-FFF2-40B4-BE49-F238E27FC236}">
              <a16:creationId xmlns:a16="http://schemas.microsoft.com/office/drawing/2014/main" id="{00000000-0008-0000-0C00-00006B7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8140" y="11071860"/>
          <a:ext cx="3855720" cy="22783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3</xdr:col>
      <xdr:colOff>388620</xdr:colOff>
      <xdr:row>53</xdr:row>
      <xdr:rowOff>106680</xdr:rowOff>
    </xdr:from>
    <xdr:to>
      <xdr:col>8</xdr:col>
      <xdr:colOff>182880</xdr:colOff>
      <xdr:row>55</xdr:row>
      <xdr:rowOff>60960</xdr:rowOff>
    </xdr:to>
    <xdr:pic>
      <xdr:nvPicPr>
        <xdr:cNvPr id="30316" name="Picture 31">
          <a:extLst>
            <a:ext uri="{FF2B5EF4-FFF2-40B4-BE49-F238E27FC236}">
              <a16:creationId xmlns:a16="http://schemas.microsoft.com/office/drawing/2014/main" id="{00000000-0008-0000-0C00-00006C7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291840" y="9753600"/>
          <a:ext cx="2918460" cy="2895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3</xdr:col>
      <xdr:colOff>403860</xdr:colOff>
      <xdr:row>50</xdr:row>
      <xdr:rowOff>167640</xdr:rowOff>
    </xdr:from>
    <xdr:to>
      <xdr:col>5</xdr:col>
      <xdr:colOff>563880</xdr:colOff>
      <xdr:row>54</xdr:row>
      <xdr:rowOff>38100</xdr:rowOff>
    </xdr:to>
    <xdr:pic>
      <xdr:nvPicPr>
        <xdr:cNvPr id="30317" name="Picture 32">
          <a:extLst>
            <a:ext uri="{FF2B5EF4-FFF2-40B4-BE49-F238E27FC236}">
              <a16:creationId xmlns:a16="http://schemas.microsoft.com/office/drawing/2014/main" id="{00000000-0008-0000-0C00-00006D7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307080" y="9296400"/>
          <a:ext cx="1409700" cy="5562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3</xdr:col>
      <xdr:colOff>388620</xdr:colOff>
      <xdr:row>49</xdr:row>
      <xdr:rowOff>99060</xdr:rowOff>
    </xdr:from>
    <xdr:to>
      <xdr:col>6</xdr:col>
      <xdr:colOff>472440</xdr:colOff>
      <xdr:row>50</xdr:row>
      <xdr:rowOff>152400</xdr:rowOff>
    </xdr:to>
    <xdr:pic>
      <xdr:nvPicPr>
        <xdr:cNvPr id="30318" name="Picture 33">
          <a:extLst>
            <a:ext uri="{FF2B5EF4-FFF2-40B4-BE49-F238E27FC236}">
              <a16:creationId xmlns:a16="http://schemas.microsoft.com/office/drawing/2014/main" id="{00000000-0008-0000-0C00-00006E7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291840" y="9052560"/>
          <a:ext cx="1958340" cy="2286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99060</xdr:colOff>
      <xdr:row>86</xdr:row>
      <xdr:rowOff>76200</xdr:rowOff>
    </xdr:from>
    <xdr:to>
      <xdr:col>4</xdr:col>
      <xdr:colOff>220980</xdr:colOff>
      <xdr:row>104</xdr:row>
      <xdr:rowOff>76200</xdr:rowOff>
    </xdr:to>
    <xdr:pic>
      <xdr:nvPicPr>
        <xdr:cNvPr id="30319" name="Picture 50">
          <a:extLst>
            <a:ext uri="{FF2B5EF4-FFF2-40B4-BE49-F238E27FC236}">
              <a16:creationId xmlns:a16="http://schemas.microsoft.com/office/drawing/2014/main" id="{00000000-0008-0000-0C00-00006F76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49580" y="15476220"/>
          <a:ext cx="3299460" cy="30175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38100</xdr:colOff>
      <xdr:row>158</xdr:row>
      <xdr:rowOff>144780</xdr:rowOff>
    </xdr:from>
    <xdr:to>
      <xdr:col>5</xdr:col>
      <xdr:colOff>251460</xdr:colOff>
      <xdr:row>174</xdr:row>
      <xdr:rowOff>99060</xdr:rowOff>
    </xdr:to>
    <xdr:pic>
      <xdr:nvPicPr>
        <xdr:cNvPr id="30320" name="Picture 69">
          <a:extLst>
            <a:ext uri="{FF2B5EF4-FFF2-40B4-BE49-F238E27FC236}">
              <a16:creationId xmlns:a16="http://schemas.microsoft.com/office/drawing/2014/main" id="{00000000-0008-0000-0C00-00007076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8620" y="28003500"/>
          <a:ext cx="4015740" cy="26365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4</xdr:col>
      <xdr:colOff>289560</xdr:colOff>
      <xdr:row>119</xdr:row>
      <xdr:rowOff>7620</xdr:rowOff>
    </xdr:from>
    <xdr:to>
      <xdr:col>12</xdr:col>
      <xdr:colOff>403860</xdr:colOff>
      <xdr:row>136</xdr:row>
      <xdr:rowOff>99060</xdr:rowOff>
    </xdr:to>
    <xdr:pic>
      <xdr:nvPicPr>
        <xdr:cNvPr id="30321" name="Picture 122">
          <a:extLst>
            <a:ext uri="{FF2B5EF4-FFF2-40B4-BE49-F238E27FC236}">
              <a16:creationId xmlns:a16="http://schemas.microsoft.com/office/drawing/2014/main" id="{00000000-0008-0000-0C00-00007176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17620" y="21137880"/>
          <a:ext cx="5113020" cy="29413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289560</xdr:colOff>
      <xdr:row>120</xdr:row>
      <xdr:rowOff>45720</xdr:rowOff>
    </xdr:from>
    <xdr:to>
      <xdr:col>4</xdr:col>
      <xdr:colOff>182880</xdr:colOff>
      <xdr:row>136</xdr:row>
      <xdr:rowOff>91440</xdr:rowOff>
    </xdr:to>
    <xdr:pic>
      <xdr:nvPicPr>
        <xdr:cNvPr id="30322" name="Picture 123">
          <a:extLst>
            <a:ext uri="{FF2B5EF4-FFF2-40B4-BE49-F238E27FC236}">
              <a16:creationId xmlns:a16="http://schemas.microsoft.com/office/drawing/2014/main" id="{00000000-0008-0000-0C00-00007276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89560" y="21343620"/>
          <a:ext cx="3421380" cy="27279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411480</xdr:colOff>
      <xdr:row>137</xdr:row>
      <xdr:rowOff>7620</xdr:rowOff>
    </xdr:from>
    <xdr:to>
      <xdr:col>7</xdr:col>
      <xdr:colOff>38100</xdr:colOff>
      <xdr:row>142</xdr:row>
      <xdr:rowOff>22860</xdr:rowOff>
    </xdr:to>
    <xdr:pic>
      <xdr:nvPicPr>
        <xdr:cNvPr id="30323" name="Picture 151">
          <a:extLst>
            <a:ext uri="{FF2B5EF4-FFF2-40B4-BE49-F238E27FC236}">
              <a16:creationId xmlns:a16="http://schemas.microsoft.com/office/drawing/2014/main" id="{00000000-0008-0000-0C00-00007376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762000" y="24155400"/>
          <a:ext cx="4678680" cy="8534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4</xdr:col>
      <xdr:colOff>563880</xdr:colOff>
      <xdr:row>85</xdr:row>
      <xdr:rowOff>190500</xdr:rowOff>
    </xdr:from>
    <xdr:to>
      <xdr:col>13</xdr:col>
      <xdr:colOff>7620</xdr:colOff>
      <xdr:row>94</xdr:row>
      <xdr:rowOff>99060</xdr:rowOff>
    </xdr:to>
    <xdr:pic>
      <xdr:nvPicPr>
        <xdr:cNvPr id="30324" name="Picture 173">
          <a:extLst>
            <a:ext uri="{FF2B5EF4-FFF2-40B4-BE49-F238E27FC236}">
              <a16:creationId xmlns:a16="http://schemas.microsoft.com/office/drawing/2014/main" id="{00000000-0008-0000-0C00-00007476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4091940" y="15369540"/>
          <a:ext cx="5067300" cy="14706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6</xdr:col>
      <xdr:colOff>0</xdr:colOff>
      <xdr:row>159</xdr:row>
      <xdr:rowOff>0</xdr:rowOff>
    </xdr:from>
    <xdr:to>
      <xdr:col>13</xdr:col>
      <xdr:colOff>495300</xdr:colOff>
      <xdr:row>168</xdr:row>
      <xdr:rowOff>137160</xdr:rowOff>
    </xdr:to>
    <xdr:pic>
      <xdr:nvPicPr>
        <xdr:cNvPr id="30325" name="Picture 174">
          <a:extLst>
            <a:ext uri="{FF2B5EF4-FFF2-40B4-BE49-F238E27FC236}">
              <a16:creationId xmlns:a16="http://schemas.microsoft.com/office/drawing/2014/main" id="{00000000-0008-0000-0C00-00007576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77740" y="28026360"/>
          <a:ext cx="4869180" cy="16459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5</xdr:col>
      <xdr:colOff>579120</xdr:colOff>
      <xdr:row>39</xdr:row>
      <xdr:rowOff>7620</xdr:rowOff>
    </xdr:from>
    <xdr:to>
      <xdr:col>10</xdr:col>
      <xdr:colOff>487680</xdr:colOff>
      <xdr:row>46</xdr:row>
      <xdr:rowOff>76200</xdr:rowOff>
    </xdr:to>
    <xdr:pic>
      <xdr:nvPicPr>
        <xdr:cNvPr id="30326" name="Picture 175">
          <a:extLst>
            <a:ext uri="{FF2B5EF4-FFF2-40B4-BE49-F238E27FC236}">
              <a16:creationId xmlns:a16="http://schemas.microsoft.com/office/drawing/2014/main" id="{00000000-0008-0000-0C00-00007676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732020" y="7124700"/>
          <a:ext cx="3032760" cy="12954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28575</xdr:colOff>
          <xdr:row>30</xdr:row>
          <xdr:rowOff>38100</xdr:rowOff>
        </xdr:from>
        <xdr:to>
          <xdr:col>5</xdr:col>
          <xdr:colOff>114300</xdr:colOff>
          <xdr:row>33</xdr:row>
          <xdr:rowOff>142875</xdr:rowOff>
        </xdr:to>
        <xdr:sp macro="" textlink="">
          <xdr:nvSpPr>
            <xdr:cNvPr id="29697" name="Object 1" hidden="1">
              <a:extLst>
                <a:ext uri="{63B3BB69-23CF-44E3-9099-C40C66FF867C}">
                  <a14:compatExt spid="_x0000_s29697"/>
                </a:ext>
                <a:ext uri="{FF2B5EF4-FFF2-40B4-BE49-F238E27FC236}">
                  <a16:creationId xmlns:a16="http://schemas.microsoft.com/office/drawing/2014/main" id="{00000000-0008-0000-0C00-0000017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3</xdr:col>
      <xdr:colOff>350520</xdr:colOff>
      <xdr:row>7</xdr:row>
      <xdr:rowOff>76200</xdr:rowOff>
    </xdr:from>
    <xdr:to>
      <xdr:col>8</xdr:col>
      <xdr:colOff>220980</xdr:colOff>
      <xdr:row>11</xdr:row>
      <xdr:rowOff>76200</xdr:rowOff>
    </xdr:to>
    <xdr:pic>
      <xdr:nvPicPr>
        <xdr:cNvPr id="21865" name="Picture 10">
          <a:extLst>
            <a:ext uri="{FF2B5EF4-FFF2-40B4-BE49-F238E27FC236}">
              <a16:creationId xmlns:a16="http://schemas.microsoft.com/office/drawing/2014/main" id="{00000000-0008-0000-0D00-0000695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96540" y="1470660"/>
          <a:ext cx="2994660" cy="6781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7620</xdr:colOff>
      <xdr:row>37</xdr:row>
      <xdr:rowOff>7620</xdr:rowOff>
    </xdr:from>
    <xdr:to>
      <xdr:col>13</xdr:col>
      <xdr:colOff>335280</xdr:colOff>
      <xdr:row>40</xdr:row>
      <xdr:rowOff>91440</xdr:rowOff>
    </xdr:to>
    <xdr:pic>
      <xdr:nvPicPr>
        <xdr:cNvPr id="21866" name="Picture 18">
          <a:extLst>
            <a:ext uri="{FF2B5EF4-FFF2-40B4-BE49-F238E27FC236}">
              <a16:creationId xmlns:a16="http://schemas.microsoft.com/office/drawing/2014/main" id="{00000000-0008-0000-0D00-00006A55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8140" y="6606540"/>
          <a:ext cx="8671560" cy="5867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571500</xdr:colOff>
      <xdr:row>26</xdr:row>
      <xdr:rowOff>0</xdr:rowOff>
    </xdr:from>
    <xdr:to>
      <xdr:col>13</xdr:col>
      <xdr:colOff>358140</xdr:colOff>
      <xdr:row>36</xdr:row>
      <xdr:rowOff>38100</xdr:rowOff>
    </xdr:to>
    <xdr:pic>
      <xdr:nvPicPr>
        <xdr:cNvPr id="21867" name="Picture 19">
          <a:extLst>
            <a:ext uri="{FF2B5EF4-FFF2-40B4-BE49-F238E27FC236}">
              <a16:creationId xmlns:a16="http://schemas.microsoft.com/office/drawing/2014/main" id="{00000000-0008-0000-0D00-00006B55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4671060"/>
          <a:ext cx="8702040" cy="17983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594360</xdr:colOff>
      <xdr:row>40</xdr:row>
      <xdr:rowOff>38100</xdr:rowOff>
    </xdr:from>
    <xdr:to>
      <xdr:col>13</xdr:col>
      <xdr:colOff>358140</xdr:colOff>
      <xdr:row>50</xdr:row>
      <xdr:rowOff>144780</xdr:rowOff>
    </xdr:to>
    <xdr:pic>
      <xdr:nvPicPr>
        <xdr:cNvPr id="21868" name="Picture 20">
          <a:extLst>
            <a:ext uri="{FF2B5EF4-FFF2-40B4-BE49-F238E27FC236}">
              <a16:creationId xmlns:a16="http://schemas.microsoft.com/office/drawing/2014/main" id="{00000000-0008-0000-0D00-00006C55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7139940"/>
          <a:ext cx="8702040" cy="17830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D00-000001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3</xdr:col>
      <xdr:colOff>487680</xdr:colOff>
      <xdr:row>7</xdr:row>
      <xdr:rowOff>91440</xdr:rowOff>
    </xdr:from>
    <xdr:to>
      <xdr:col>6</xdr:col>
      <xdr:colOff>358140</xdr:colOff>
      <xdr:row>11</xdr:row>
      <xdr:rowOff>91440</xdr:rowOff>
    </xdr:to>
    <xdr:pic>
      <xdr:nvPicPr>
        <xdr:cNvPr id="22705" name="Picture 5">
          <a:extLst>
            <a:ext uri="{FF2B5EF4-FFF2-40B4-BE49-F238E27FC236}">
              <a16:creationId xmlns:a16="http://schemas.microsoft.com/office/drawing/2014/main" id="{00000000-0008-0000-0E00-0000B15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33700" y="1478280"/>
          <a:ext cx="1744980" cy="7086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556260</xdr:colOff>
      <xdr:row>26</xdr:row>
      <xdr:rowOff>38100</xdr:rowOff>
    </xdr:from>
    <xdr:to>
      <xdr:col>13</xdr:col>
      <xdr:colOff>320040</xdr:colOff>
      <xdr:row>33</xdr:row>
      <xdr:rowOff>76200</xdr:rowOff>
    </xdr:to>
    <xdr:pic>
      <xdr:nvPicPr>
        <xdr:cNvPr id="22706" name="Picture 6">
          <a:extLst>
            <a:ext uri="{FF2B5EF4-FFF2-40B4-BE49-F238E27FC236}">
              <a16:creationId xmlns:a16="http://schemas.microsoft.com/office/drawing/2014/main" id="{00000000-0008-0000-0E00-0000B258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0520" y="4701540"/>
          <a:ext cx="8663940" cy="12954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E00-000001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7620</xdr:colOff>
      <xdr:row>0</xdr:row>
      <xdr:rowOff>91440</xdr:rowOff>
    </xdr:from>
    <xdr:to>
      <xdr:col>28</xdr:col>
      <xdr:colOff>289560</xdr:colOff>
      <xdr:row>3</xdr:row>
      <xdr:rowOff>38100</xdr:rowOff>
    </xdr:to>
    <xdr:pic>
      <xdr:nvPicPr>
        <xdr:cNvPr id="28091" name="Picture 8">
          <a:extLst>
            <a:ext uri="{FF2B5EF4-FFF2-40B4-BE49-F238E27FC236}">
              <a16:creationId xmlns:a16="http://schemas.microsoft.com/office/drawing/2014/main" id="{00000000-0008-0000-0F00-0000BB6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011400" y="91440"/>
          <a:ext cx="4030980" cy="6096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1">
              <a:solidFill>
                <a:srgbClr val="000000"/>
              </a:solidFill>
              <a:miter lim="800000"/>
              <a:headEnd/>
              <a:tailEnd/>
            </a14:hiddenLine>
          </a:ext>
        </a:extLst>
      </xdr:spPr>
    </xdr:pic>
    <xdr:clientData/>
  </xdr:twoCellAnchor>
  <xdr:twoCellAnchor editAs="oneCell">
    <xdr:from>
      <xdr:col>21</xdr:col>
      <xdr:colOff>556260</xdr:colOff>
      <xdr:row>3</xdr:row>
      <xdr:rowOff>137160</xdr:rowOff>
    </xdr:from>
    <xdr:to>
      <xdr:col>36</xdr:col>
      <xdr:colOff>381000</xdr:colOff>
      <xdr:row>8</xdr:row>
      <xdr:rowOff>45720</xdr:rowOff>
    </xdr:to>
    <xdr:pic>
      <xdr:nvPicPr>
        <xdr:cNvPr id="28092" name="Picture 9">
          <a:extLst>
            <a:ext uri="{FF2B5EF4-FFF2-40B4-BE49-F238E27FC236}">
              <a16:creationId xmlns:a16="http://schemas.microsoft.com/office/drawing/2014/main" id="{00000000-0008-0000-0F00-0000BC6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935200" y="800100"/>
          <a:ext cx="9197340" cy="8458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21</xdr:col>
      <xdr:colOff>525780</xdr:colOff>
      <xdr:row>33</xdr:row>
      <xdr:rowOff>68580</xdr:rowOff>
    </xdr:from>
    <xdr:to>
      <xdr:col>25</xdr:col>
      <xdr:colOff>556260</xdr:colOff>
      <xdr:row>34</xdr:row>
      <xdr:rowOff>76200</xdr:rowOff>
    </xdr:to>
    <xdr:pic>
      <xdr:nvPicPr>
        <xdr:cNvPr id="28093" name="Picture 10">
          <a:extLst>
            <a:ext uri="{FF2B5EF4-FFF2-40B4-BE49-F238E27FC236}">
              <a16:creationId xmlns:a16="http://schemas.microsoft.com/office/drawing/2014/main" id="{00000000-0008-0000-0F00-0000BD6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904720" y="6057900"/>
          <a:ext cx="2529840" cy="1752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1">
              <a:solidFill>
                <a:srgbClr val="000000"/>
              </a:solidFill>
              <a:miter lim="800000"/>
              <a:headEnd/>
              <a:tailEnd/>
            </a14:hiddenLine>
          </a:ext>
        </a:extLst>
      </xdr:spPr>
    </xdr:pic>
    <xdr:clientData/>
  </xdr:twoCellAnchor>
  <xdr:twoCellAnchor editAs="oneCell">
    <xdr:from>
      <xdr:col>21</xdr:col>
      <xdr:colOff>510540</xdr:colOff>
      <xdr:row>9</xdr:row>
      <xdr:rowOff>30480</xdr:rowOff>
    </xdr:from>
    <xdr:to>
      <xdr:col>37</xdr:col>
      <xdr:colOff>533400</xdr:colOff>
      <xdr:row>31</xdr:row>
      <xdr:rowOff>99060</xdr:rowOff>
    </xdr:to>
    <xdr:pic>
      <xdr:nvPicPr>
        <xdr:cNvPr id="28094" name="Picture 11">
          <a:extLst>
            <a:ext uri="{FF2B5EF4-FFF2-40B4-BE49-F238E27FC236}">
              <a16:creationId xmlns:a16="http://schemas.microsoft.com/office/drawing/2014/main" id="{00000000-0008-0000-0F00-0000BE6D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4889480" y="1798320"/>
          <a:ext cx="10020300" cy="39547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571500</xdr:colOff>
      <xdr:row>30</xdr:row>
      <xdr:rowOff>99060</xdr:rowOff>
    </xdr:from>
    <xdr:to>
      <xdr:col>16</xdr:col>
      <xdr:colOff>160020</xdr:colOff>
      <xdr:row>37</xdr:row>
      <xdr:rowOff>76200</xdr:rowOff>
    </xdr:to>
    <xdr:pic>
      <xdr:nvPicPr>
        <xdr:cNvPr id="28095" name="Picture 17">
          <a:extLst>
            <a:ext uri="{FF2B5EF4-FFF2-40B4-BE49-F238E27FC236}">
              <a16:creationId xmlns:a16="http://schemas.microsoft.com/office/drawing/2014/main" id="{00000000-0008-0000-0F00-0000BF6D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0520" y="5585460"/>
          <a:ext cx="11064240" cy="11506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F00-000001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1</xdr:col>
      <xdr:colOff>0</xdr:colOff>
      <xdr:row>6</xdr:row>
      <xdr:rowOff>0</xdr:rowOff>
    </xdr:from>
    <xdr:to>
      <xdr:col>6</xdr:col>
      <xdr:colOff>7620</xdr:colOff>
      <xdr:row>10</xdr:row>
      <xdr:rowOff>38100</xdr:rowOff>
    </xdr:to>
    <xdr:pic>
      <xdr:nvPicPr>
        <xdr:cNvPr id="23811" name="Picture 1">
          <a:extLst>
            <a:ext uri="{FF2B5EF4-FFF2-40B4-BE49-F238E27FC236}">
              <a16:creationId xmlns:a16="http://schemas.microsoft.com/office/drawing/2014/main" id="{00000000-0008-0000-1000-0000035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0520" y="1150620"/>
          <a:ext cx="3230880" cy="7086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617220</xdr:colOff>
      <xdr:row>24</xdr:row>
      <xdr:rowOff>99060</xdr:rowOff>
    </xdr:from>
    <xdr:to>
      <xdr:col>12</xdr:col>
      <xdr:colOff>563880</xdr:colOff>
      <xdr:row>32</xdr:row>
      <xdr:rowOff>68580</xdr:rowOff>
    </xdr:to>
    <xdr:pic>
      <xdr:nvPicPr>
        <xdr:cNvPr id="23812" name="Picture 2">
          <a:extLst>
            <a:ext uri="{FF2B5EF4-FFF2-40B4-BE49-F238E27FC236}">
              <a16:creationId xmlns:a16="http://schemas.microsoft.com/office/drawing/2014/main" id="{00000000-0008-0000-1000-0000045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0520" y="4358640"/>
          <a:ext cx="7536180" cy="13106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44</xdr:row>
      <xdr:rowOff>144780</xdr:rowOff>
    </xdr:from>
    <xdr:to>
      <xdr:col>7</xdr:col>
      <xdr:colOff>441960</xdr:colOff>
      <xdr:row>48</xdr:row>
      <xdr:rowOff>160020</xdr:rowOff>
    </xdr:to>
    <xdr:pic>
      <xdr:nvPicPr>
        <xdr:cNvPr id="23813" name="Picture 3">
          <a:extLst>
            <a:ext uri="{FF2B5EF4-FFF2-40B4-BE49-F238E27FC236}">
              <a16:creationId xmlns:a16="http://schemas.microsoft.com/office/drawing/2014/main" id="{00000000-0008-0000-1000-0000055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7848600"/>
          <a:ext cx="4290060" cy="6858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www.fda.gov/ohrms/dockets/ac/04/briefing/4034B1_07_Bioequivalence%20Requirments-Draft.pdf" TargetMode="External"/><Relationship Id="rId3" Type="http://schemas.openxmlformats.org/officeDocument/2006/relationships/hyperlink" Target="http://www.fda.gov/ohrms/dockets/ac/06/slides/2006-4241s2_5.ppt" TargetMode="External"/><Relationship Id="rId7" Type="http://schemas.openxmlformats.org/officeDocument/2006/relationships/hyperlink" Target="http://www.fda.gov/cder/Guidance/3616fnl.pdf" TargetMode="External"/><Relationship Id="rId2" Type="http://schemas.openxmlformats.org/officeDocument/2006/relationships/hyperlink" Target="http://www.springerlink.com/content/u503p62056413677/fulltext.pdf" TargetMode="External"/><Relationship Id="rId1" Type="http://schemas.openxmlformats.org/officeDocument/2006/relationships/hyperlink" Target="mailto:d.dubins@utoronto.ca" TargetMode="External"/><Relationship Id="rId6" Type="http://schemas.openxmlformats.org/officeDocument/2006/relationships/hyperlink" Target="http://bebac.at/news/2006-10-06.htm" TargetMode="External"/><Relationship Id="rId5" Type="http://schemas.openxmlformats.org/officeDocument/2006/relationships/hyperlink" Target="http://www.fda.gov/ohrms/dockets/ac/06/slides/2006-4241s2_4.ppt" TargetMode="External"/><Relationship Id="rId10" Type="http://schemas.openxmlformats.org/officeDocument/2006/relationships/drawing" Target="../drawings/drawing1.xml"/><Relationship Id="rId4" Type="http://schemas.openxmlformats.org/officeDocument/2006/relationships/hyperlink" Target="http://www.fda.gov/ohrms/dockets/ac/06/slides/2006-4241s2_3.ppt" TargetMode="External"/><Relationship Id="rId9" Type="http://schemas.openxmlformats.org/officeDocument/2006/relationships/hyperlink" Target="https://bebac.at/articles/Sample-Size-Estimation-for-Equivalence-Studies-in-a-Parallel-Design.htm" TargetMode="Externa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ctrlProp" Target="../ctrlProps/ctrlProp6.xml"/><Relationship Id="rId7" Type="http://schemas.openxmlformats.org/officeDocument/2006/relationships/ctrlProp" Target="../ctrlProps/ctrlProp10.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ctrlProp" Target="../ctrlProps/ctrlProp11.xml"/><Relationship Id="rId7" Type="http://schemas.openxmlformats.org/officeDocument/2006/relationships/ctrlProp" Target="../ctrlProps/ctrlProp15.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ctrlProp" Target="../ctrlProps/ctrlProp16.xml"/><Relationship Id="rId7"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5.xml"/><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ctrlProp" Target="../ctrlProps/ctrlProp21.xml"/><Relationship Id="rId7" Type="http://schemas.openxmlformats.org/officeDocument/2006/relationships/ctrlProp" Target="../ctrlProps/ctrlProp25.xml"/><Relationship Id="rId2" Type="http://schemas.openxmlformats.org/officeDocument/2006/relationships/vmlDrawing" Target="../drawings/vmlDrawing5.vml"/><Relationship Id="rId1" Type="http://schemas.openxmlformats.org/officeDocument/2006/relationships/drawing" Target="../drawings/drawing6.xml"/><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7.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ctrlProp" Target="../ctrlProps/ctrlProp26.xml"/><Relationship Id="rId7" Type="http://schemas.openxmlformats.org/officeDocument/2006/relationships/ctrlProp" Target="../ctrlProps/ctrlProp30.xml"/><Relationship Id="rId2" Type="http://schemas.openxmlformats.org/officeDocument/2006/relationships/vmlDrawing" Target="../drawings/vmlDrawing6.vml"/><Relationship Id="rId1" Type="http://schemas.openxmlformats.org/officeDocument/2006/relationships/drawing" Target="../drawings/drawing7.xml"/><Relationship Id="rId6" Type="http://schemas.openxmlformats.org/officeDocument/2006/relationships/ctrlProp" Target="../ctrlProps/ctrlProp29.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6.xml"/><Relationship Id="rId3" Type="http://schemas.openxmlformats.org/officeDocument/2006/relationships/ctrlProp" Target="../ctrlProps/ctrlProp31.xml"/><Relationship Id="rId7" Type="http://schemas.openxmlformats.org/officeDocument/2006/relationships/ctrlProp" Target="../ctrlProps/ctrlProp35.xml"/><Relationship Id="rId2" Type="http://schemas.openxmlformats.org/officeDocument/2006/relationships/vmlDrawing" Target="../drawings/vmlDrawing7.vml"/><Relationship Id="rId1" Type="http://schemas.openxmlformats.org/officeDocument/2006/relationships/drawing" Target="../drawings/drawing8.xml"/><Relationship Id="rId6" Type="http://schemas.openxmlformats.org/officeDocument/2006/relationships/ctrlProp" Target="../ctrlProps/ctrlProp34.xml"/><Relationship Id="rId5" Type="http://schemas.openxmlformats.org/officeDocument/2006/relationships/ctrlProp" Target="../ctrlProps/ctrlProp33.xml"/><Relationship Id="rId10" Type="http://schemas.openxmlformats.org/officeDocument/2006/relationships/comments" Target="../comments7.xml"/><Relationship Id="rId4" Type="http://schemas.openxmlformats.org/officeDocument/2006/relationships/ctrlProp" Target="../ctrlProps/ctrlProp32.xml"/><Relationship Id="rId9" Type="http://schemas.openxmlformats.org/officeDocument/2006/relationships/ctrlProp" Target="../ctrlProps/ctrlProp37.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3.xml"/><Relationship Id="rId3" Type="http://schemas.openxmlformats.org/officeDocument/2006/relationships/ctrlProp" Target="../ctrlProps/ctrlProp38.xml"/><Relationship Id="rId7" Type="http://schemas.openxmlformats.org/officeDocument/2006/relationships/ctrlProp" Target="../ctrlProps/ctrlProp42.xml"/><Relationship Id="rId2" Type="http://schemas.openxmlformats.org/officeDocument/2006/relationships/vmlDrawing" Target="../drawings/vmlDrawing8.vml"/><Relationship Id="rId1" Type="http://schemas.openxmlformats.org/officeDocument/2006/relationships/drawing" Target="../drawings/drawing9.xml"/><Relationship Id="rId6" Type="http://schemas.openxmlformats.org/officeDocument/2006/relationships/ctrlProp" Target="../ctrlProps/ctrlProp41.xml"/><Relationship Id="rId5" Type="http://schemas.openxmlformats.org/officeDocument/2006/relationships/ctrlProp" Target="../ctrlProps/ctrlProp40.xml"/><Relationship Id="rId10" Type="http://schemas.openxmlformats.org/officeDocument/2006/relationships/comments" Target="../comments8.xml"/><Relationship Id="rId4" Type="http://schemas.openxmlformats.org/officeDocument/2006/relationships/ctrlProp" Target="../ctrlProps/ctrlProp39.xml"/><Relationship Id="rId9" Type="http://schemas.openxmlformats.org/officeDocument/2006/relationships/ctrlProp" Target="../ctrlProps/ctrlProp44.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50.xml"/><Relationship Id="rId3" Type="http://schemas.openxmlformats.org/officeDocument/2006/relationships/ctrlProp" Target="../ctrlProps/ctrlProp45.xml"/><Relationship Id="rId7" Type="http://schemas.openxmlformats.org/officeDocument/2006/relationships/ctrlProp" Target="../ctrlProps/ctrlProp49.xml"/><Relationship Id="rId2" Type="http://schemas.openxmlformats.org/officeDocument/2006/relationships/vmlDrawing" Target="../drawings/vmlDrawing9.vml"/><Relationship Id="rId1" Type="http://schemas.openxmlformats.org/officeDocument/2006/relationships/drawing" Target="../drawings/drawing10.xml"/><Relationship Id="rId6" Type="http://schemas.openxmlformats.org/officeDocument/2006/relationships/ctrlProp" Target="../ctrlProps/ctrlProp48.xml"/><Relationship Id="rId11" Type="http://schemas.openxmlformats.org/officeDocument/2006/relationships/comments" Target="../comments9.xml"/><Relationship Id="rId5" Type="http://schemas.openxmlformats.org/officeDocument/2006/relationships/ctrlProp" Target="../ctrlProps/ctrlProp47.xml"/><Relationship Id="rId10" Type="http://schemas.openxmlformats.org/officeDocument/2006/relationships/ctrlProp" Target="../ctrlProps/ctrlProp52.xml"/><Relationship Id="rId4" Type="http://schemas.openxmlformats.org/officeDocument/2006/relationships/ctrlProp" Target="../ctrlProps/ctrlProp46.xml"/><Relationship Id="rId9" Type="http://schemas.openxmlformats.org/officeDocument/2006/relationships/ctrlProp" Target="../ctrlProps/ctrlProp51.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8" Type="http://schemas.openxmlformats.org/officeDocument/2006/relationships/hyperlink" Target="http://www.springerlink.com/content/u503p62056413677/fulltext.pdf" TargetMode="External"/><Relationship Id="rId13" Type="http://schemas.openxmlformats.org/officeDocument/2006/relationships/drawing" Target="../drawings/drawing13.xml"/><Relationship Id="rId3" Type="http://schemas.openxmlformats.org/officeDocument/2006/relationships/hyperlink" Target="http://bebac.at/news/2006-10-06.htm" TargetMode="External"/><Relationship Id="rId7" Type="http://schemas.openxmlformats.org/officeDocument/2006/relationships/hyperlink" Target="http://www.springerlink.com/content/u503p62056413677/fulltext.pdf" TargetMode="External"/><Relationship Id="rId12" Type="http://schemas.openxmlformats.org/officeDocument/2006/relationships/hyperlink" Target="http://www.fda.gov/ohrms/dockets/ac/04/briefing/4034B1_07_Bioequivalence%20Requirments-Draft.pdf" TargetMode="External"/><Relationship Id="rId2" Type="http://schemas.openxmlformats.org/officeDocument/2006/relationships/hyperlink" Target="http://www.fda.gov/ohrms/dockets/ac/06/slides/2006-4241s2_3.ppt" TargetMode="External"/><Relationship Id="rId16" Type="http://schemas.openxmlformats.org/officeDocument/2006/relationships/image" Target="../media/image45.emf"/><Relationship Id="rId1" Type="http://schemas.openxmlformats.org/officeDocument/2006/relationships/hyperlink" Target="http://www.fda.gov/ohrms/dockets/ac/06/slides/2006-4241s2_4.ppt" TargetMode="External"/><Relationship Id="rId6" Type="http://schemas.openxmlformats.org/officeDocument/2006/relationships/hyperlink" Target="http://www.springerlink.com/content/u503p62056413677/fulltext.pdf" TargetMode="External"/><Relationship Id="rId11" Type="http://schemas.openxmlformats.org/officeDocument/2006/relationships/hyperlink" Target="http://www.fda.gov/ohrms/dockets/ac/04/briefing/4034B1_07_Bioequivalence%20Requirments-Draft.pdf" TargetMode="External"/><Relationship Id="rId5" Type="http://schemas.openxmlformats.org/officeDocument/2006/relationships/hyperlink" Target="http://www.fda.gov/ohrms/dockets/ac/06/slides/2006-4241s2_5.ppt" TargetMode="External"/><Relationship Id="rId15" Type="http://schemas.openxmlformats.org/officeDocument/2006/relationships/oleObject" Target="../embeddings/oleObject1.bin"/><Relationship Id="rId10" Type="http://schemas.openxmlformats.org/officeDocument/2006/relationships/hyperlink" Target="http://www.springerlink.com/content/u503p62056413677/fulltext.pdf" TargetMode="External"/><Relationship Id="rId4" Type="http://schemas.openxmlformats.org/officeDocument/2006/relationships/hyperlink" Target="http://www.springerlink.com/content/u503p62056413677/fulltext.pdf" TargetMode="External"/><Relationship Id="rId9" Type="http://schemas.openxmlformats.org/officeDocument/2006/relationships/hyperlink" Target="http://www.fda.gov/cder/Guidance/3616fnl.pdf" TargetMode="External"/><Relationship Id="rId14" Type="http://schemas.openxmlformats.org/officeDocument/2006/relationships/vmlDrawing" Target="../drawings/vmlDrawing10.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53.xml"/><Relationship Id="rId2" Type="http://schemas.openxmlformats.org/officeDocument/2006/relationships/vmlDrawing" Target="../drawings/vmlDrawing11.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54.xml"/><Relationship Id="rId2" Type="http://schemas.openxmlformats.org/officeDocument/2006/relationships/vmlDrawing" Target="../drawings/vmlDrawing12.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55.xml"/><Relationship Id="rId2" Type="http://schemas.openxmlformats.org/officeDocument/2006/relationships/vmlDrawing" Target="../drawings/vmlDrawing13.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dimension ref="B2:I45"/>
  <sheetViews>
    <sheetView tabSelected="1" zoomScale="115" zoomScaleNormal="115" zoomScalePageLayoutView="115" workbookViewId="0">
      <selection activeCell="C9" sqref="C9"/>
    </sheetView>
  </sheetViews>
  <sheetFormatPr defaultColWidth="9.140625" defaultRowHeight="12.75"/>
  <cols>
    <col min="1" max="1" width="5.140625" style="65" customWidth="1"/>
    <col min="2" max="2" width="10.42578125" style="65" customWidth="1"/>
    <col min="3" max="16384" width="9.140625" style="65"/>
  </cols>
  <sheetData>
    <row r="2" spans="2:9" ht="20.25">
      <c r="C2" s="66" t="s">
        <v>241</v>
      </c>
      <c r="I2" s="67" t="s">
        <v>281</v>
      </c>
    </row>
    <row r="3" spans="2:9" ht="20.25">
      <c r="C3" s="66" t="s">
        <v>242</v>
      </c>
    </row>
    <row r="4" spans="2:9">
      <c r="B4" s="68" t="s">
        <v>80</v>
      </c>
    </row>
    <row r="6" spans="2:9">
      <c r="B6" s="69" t="s">
        <v>282</v>
      </c>
    </row>
    <row r="8" spans="2:9">
      <c r="B8" s="70"/>
    </row>
    <row r="9" spans="2:9">
      <c r="B9" s="71"/>
    </row>
    <row r="10" spans="2:9">
      <c r="B10" s="72"/>
    </row>
    <row r="11" spans="2:9">
      <c r="B11" s="72"/>
    </row>
    <row r="12" spans="2:9">
      <c r="B12" s="72"/>
    </row>
    <row r="28" spans="2:9">
      <c r="B28" s="73" t="s">
        <v>89</v>
      </c>
    </row>
    <row r="29" spans="2:9">
      <c r="B29" s="74" t="s">
        <v>196</v>
      </c>
    </row>
    <row r="30" spans="2:9" ht="22.5" customHeight="1">
      <c r="B30" s="90" t="s">
        <v>130</v>
      </c>
      <c r="C30" s="90"/>
      <c r="D30" s="90"/>
      <c r="E30" s="90"/>
      <c r="F30" s="90"/>
      <c r="G30" s="90"/>
      <c r="H30" s="90"/>
      <c r="I30" s="90"/>
    </row>
    <row r="31" spans="2:9">
      <c r="B31" s="75" t="s">
        <v>144</v>
      </c>
    </row>
    <row r="32" spans="2:9">
      <c r="B32" s="75" t="s">
        <v>147</v>
      </c>
    </row>
    <row r="33" spans="2:2">
      <c r="B33" s="75" t="s">
        <v>137</v>
      </c>
    </row>
    <row r="34" spans="2:2">
      <c r="B34" s="75" t="s">
        <v>136</v>
      </c>
    </row>
    <row r="35" spans="2:2">
      <c r="B35" s="75" t="s">
        <v>141</v>
      </c>
    </row>
    <row r="36" spans="2:2">
      <c r="B36" s="75" t="s">
        <v>178</v>
      </c>
    </row>
    <row r="37" spans="2:2">
      <c r="B37" s="75" t="s">
        <v>199</v>
      </c>
    </row>
    <row r="38" spans="2:2">
      <c r="B38" s="75" t="s">
        <v>243</v>
      </c>
    </row>
    <row r="40" spans="2:2">
      <c r="B40" s="74" t="s">
        <v>201</v>
      </c>
    </row>
    <row r="41" spans="2:2">
      <c r="B41" s="74" t="s">
        <v>202</v>
      </c>
    </row>
    <row r="42" spans="2:2">
      <c r="B42" s="74" t="s">
        <v>203</v>
      </c>
    </row>
    <row r="43" spans="2:2">
      <c r="B43" s="74" t="s">
        <v>131</v>
      </c>
    </row>
    <row r="44" spans="2:2">
      <c r="B44" s="74" t="s">
        <v>204</v>
      </c>
    </row>
    <row r="45" spans="2:2">
      <c r="B45" s="75" t="s">
        <v>195</v>
      </c>
    </row>
  </sheetData>
  <mergeCells count="1">
    <mergeCell ref="B30:I30"/>
  </mergeCells>
  <phoneticPr fontId="4" type="noConversion"/>
  <hyperlinks>
    <hyperlink ref="B45" r:id="rId1" xr:uid="{00000000-0004-0000-0000-000000000000}"/>
    <hyperlink ref="B31" r:id="rId2" xr:uid="{00000000-0004-0000-0000-000001000000}"/>
    <hyperlink ref="B32" r:id="rId3" xr:uid="{00000000-0004-0000-0000-000002000000}"/>
    <hyperlink ref="B33" r:id="rId4" xr:uid="{00000000-0004-0000-0000-000003000000}"/>
    <hyperlink ref="B34" r:id="rId5" xr:uid="{00000000-0004-0000-0000-000004000000}"/>
    <hyperlink ref="B35" r:id="rId6" xr:uid="{00000000-0004-0000-0000-000005000000}"/>
    <hyperlink ref="B36" r:id="rId7" xr:uid="{00000000-0004-0000-0000-000006000000}"/>
    <hyperlink ref="B37" r:id="rId8" xr:uid="{00000000-0004-0000-0000-000007000000}"/>
    <hyperlink ref="B38" r:id="rId9" location="fn9" xr:uid="{00000000-0004-0000-0000-000008000000}"/>
  </hyperlinks>
  <pageMargins left="0.75" right="0.75" top="1" bottom="1" header="0.5" footer="0.5"/>
  <pageSetup orientation="portrait" horizontalDpi="4294967293"/>
  <headerFooter alignWithMargins="0"/>
  <drawing r:id="rId10"/>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AF66"/>
  <sheetViews>
    <sheetView zoomScale="96" zoomScaleNormal="96" zoomScalePageLayoutView="96" workbookViewId="0">
      <selection activeCell="C2" sqref="C2"/>
    </sheetView>
  </sheetViews>
  <sheetFormatPr defaultColWidth="9.140625" defaultRowHeight="12.75"/>
  <cols>
    <col min="1" max="1" width="5.140625" style="1" customWidth="1"/>
    <col min="2" max="2" width="22.42578125" style="1" customWidth="1"/>
    <col min="3" max="20" width="9.140625" style="1"/>
    <col min="21" max="21" width="9.140625" style="51"/>
    <col min="22" max="23" width="12.28515625" style="51" bestFit="1" customWidth="1"/>
    <col min="24" max="32" width="9.140625" style="51"/>
    <col min="33" max="16384" width="9.140625" style="1"/>
  </cols>
  <sheetData>
    <row r="1" spans="2:31" ht="27" thickBot="1">
      <c r="B1" s="17" t="s">
        <v>68</v>
      </c>
      <c r="E1" s="9" t="s">
        <v>122</v>
      </c>
    </row>
    <row r="2" spans="2:31" ht="13.5" thickBot="1">
      <c r="B2" s="1" t="s">
        <v>1</v>
      </c>
      <c r="C2" s="2">
        <v>0.9</v>
      </c>
      <c r="D2" s="1" t="s">
        <v>21</v>
      </c>
    </row>
    <row r="3" spans="2:31" ht="16.5" thickBot="1">
      <c r="B3" s="1" t="s">
        <v>22</v>
      </c>
      <c r="C3" s="3">
        <v>1</v>
      </c>
      <c r="D3" s="1" t="s">
        <v>23</v>
      </c>
    </row>
    <row r="4" spans="2:31" ht="13.5" thickBot="1">
      <c r="B4" s="8" t="s">
        <v>59</v>
      </c>
      <c r="C4" s="18">
        <v>0.05</v>
      </c>
      <c r="D4" s="1" t="s">
        <v>67</v>
      </c>
    </row>
    <row r="5" spans="2:31" ht="13.5" thickBot="1">
      <c r="B5" s="8" t="s">
        <v>18</v>
      </c>
      <c r="C5" s="3">
        <v>40</v>
      </c>
      <c r="D5" s="1" t="s">
        <v>19</v>
      </c>
      <c r="U5" s="51" t="s">
        <v>56</v>
      </c>
    </row>
    <row r="6" spans="2:31" ht="16.5" thickBot="1">
      <c r="B6" s="1" t="s">
        <v>17</v>
      </c>
      <c r="C6" s="3">
        <v>8</v>
      </c>
      <c r="D6" s="1" t="s">
        <v>24</v>
      </c>
      <c r="U6" s="51">
        <v>2</v>
      </c>
    </row>
    <row r="7" spans="2:31" ht="13.5" thickBot="1">
      <c r="C7" s="4"/>
    </row>
    <row r="8" spans="2:31" ht="13.5" thickBot="1">
      <c r="B8" s="12" t="s">
        <v>118</v>
      </c>
      <c r="C8" s="11">
        <f>C6/C5</f>
        <v>0.2</v>
      </c>
    </row>
    <row r="10" spans="2:31">
      <c r="B10" s="8" t="s">
        <v>18</v>
      </c>
      <c r="C10" s="1">
        <f>C5</f>
        <v>40</v>
      </c>
      <c r="V10" s="51" t="s">
        <v>212</v>
      </c>
      <c r="W10" s="51" t="s">
        <v>210</v>
      </c>
      <c r="X10" s="51" t="s">
        <v>213</v>
      </c>
      <c r="Y10" s="51" t="s">
        <v>211</v>
      </c>
      <c r="AA10" s="51" t="s">
        <v>224</v>
      </c>
      <c r="AB10" s="51" t="s">
        <v>225</v>
      </c>
    </row>
    <row r="11" spans="2:31" ht="15.75">
      <c r="B11" s="1" t="s">
        <v>60</v>
      </c>
      <c r="C11" s="7">
        <v>3</v>
      </c>
      <c r="U11" s="51" t="s">
        <v>206</v>
      </c>
      <c r="V11" s="54">
        <f>4*C5</f>
        <v>160</v>
      </c>
      <c r="W11" s="51">
        <f>$C$5</f>
        <v>40</v>
      </c>
      <c r="X11" s="51">
        <f>W11/SQRT(C20)</f>
        <v>23.094010767585033</v>
      </c>
      <c r="Y11" s="51">
        <f>TINV($C$4*2,$C$20-1)*X11</f>
        <v>67.434178433881996</v>
      </c>
      <c r="AA11" s="51">
        <f>V12+4*W12</f>
        <v>328</v>
      </c>
      <c r="AB11" s="51">
        <f>AA11/33</f>
        <v>9.9393939393939394</v>
      </c>
    </row>
    <row r="12" spans="2:31" ht="15.75">
      <c r="B12" s="1" t="s">
        <v>61</v>
      </c>
      <c r="C12" s="1">
        <f>C11*(C3+1)-2</f>
        <v>4</v>
      </c>
      <c r="U12" s="51" t="s">
        <v>207</v>
      </c>
      <c r="V12" s="54">
        <f>V11+C6</f>
        <v>168</v>
      </c>
      <c r="W12" s="51">
        <f>$C$5</f>
        <v>40</v>
      </c>
      <c r="X12" s="51">
        <f>W12/SQRT(D20)</f>
        <v>23.094010767585033</v>
      </c>
      <c r="Y12" s="51">
        <f>TINV($C$4*2,$D$20-1)*X12</f>
        <v>67.434178433881996</v>
      </c>
    </row>
    <row r="13" spans="2:31" ht="15.75">
      <c r="B13" s="1" t="s">
        <v>62</v>
      </c>
      <c r="C13" s="1">
        <f>TINV(C4,C12)</f>
        <v>2.7764451051977934</v>
      </c>
      <c r="Y13" s="51" t="b">
        <v>1</v>
      </c>
      <c r="AC13" s="51" t="b">
        <v>0</v>
      </c>
    </row>
    <row r="14" spans="2:31">
      <c r="B14" s="1" t="s">
        <v>4</v>
      </c>
      <c r="C14" s="1">
        <f>SQRT((C3*C11*C6^2)/((C3+1)*C10^2))</f>
        <v>0.2449489742783178</v>
      </c>
      <c r="U14" s="51" t="s">
        <v>205</v>
      </c>
      <c r="V14" s="51" t="s">
        <v>208</v>
      </c>
      <c r="W14" s="51" t="s">
        <v>209</v>
      </c>
      <c r="Y14" s="54" t="s">
        <v>220</v>
      </c>
      <c r="AC14" s="54" t="s">
        <v>222</v>
      </c>
    </row>
    <row r="15" spans="2:31">
      <c r="U15" s="51">
        <v>0</v>
      </c>
      <c r="V15" s="51">
        <f>_xlfn.NORM.DIST($U15,$V$11,$C$5,FALSE)</f>
        <v>3.3457556441221339E-6</v>
      </c>
      <c r="W15" s="51">
        <f>_xlfn.NORM.DIST($U15,$V$12,$C$5,FALSE)</f>
        <v>1.4735766939134965E-6</v>
      </c>
      <c r="Y15" s="51" t="s">
        <v>217</v>
      </c>
      <c r="Z15" s="51" t="s">
        <v>214</v>
      </c>
      <c r="AA15" s="51" t="s">
        <v>215</v>
      </c>
      <c r="AC15" s="51" t="s">
        <v>217</v>
      </c>
      <c r="AD15" s="51" t="s">
        <v>214</v>
      </c>
      <c r="AE15" s="51" t="s">
        <v>215</v>
      </c>
    </row>
    <row r="16" spans="2:31">
      <c r="U16" s="51">
        <f>U15+$AB$11</f>
        <v>9.9393939393939394</v>
      </c>
      <c r="V16" s="51">
        <f t="shared" ref="V16:V47" si="0">_xlfn.NORM.DIST($U16,$V$11,$C$5,FALSE)</f>
        <v>8.7649394011783917E-6</v>
      </c>
      <c r="W16" s="51">
        <f t="shared" ref="W16:W47" si="1">_xlfn.NORM.DIST($U16,$V$12,$C$5,FALSE)</f>
        <v>4.0570518897450162E-6</v>
      </c>
      <c r="Y16" s="51" t="s">
        <v>216</v>
      </c>
      <c r="Z16" s="51">
        <f>$V$11-$W$11</f>
        <v>120</v>
      </c>
      <c r="AA16" s="51">
        <v>0</v>
      </c>
      <c r="AC16" s="51" t="s">
        <v>216</v>
      </c>
      <c r="AD16" s="51">
        <f>$V$11-$Y$11</f>
        <v>92.565821566118004</v>
      </c>
      <c r="AE16" s="51">
        <v>0</v>
      </c>
    </row>
    <row r="17" spans="2:31">
      <c r="B17" s="1" t="s">
        <v>6</v>
      </c>
      <c r="C17" s="1">
        <f>NCt(C13,C12,C14)</f>
        <v>0.96127583880847123</v>
      </c>
      <c r="U17" s="51">
        <f t="shared" ref="U17:U47" si="2">U16+$AB$11</f>
        <v>19.878787878787879</v>
      </c>
      <c r="V17" s="51">
        <f t="shared" si="0"/>
        <v>2.1586797882267536E-5</v>
      </c>
      <c r="W17" s="51">
        <f t="shared" si="1"/>
        <v>1.0501056362603924E-5</v>
      </c>
      <c r="Y17" s="51" t="s">
        <v>218</v>
      </c>
      <c r="Z17" s="51">
        <f>Z16</f>
        <v>120</v>
      </c>
      <c r="AA17" s="51">
        <f>IF(Y13,MAX($V$15:$V$47),0)</f>
        <v>9.9706267351264838E-3</v>
      </c>
      <c r="AC17" s="51" t="s">
        <v>218</v>
      </c>
      <c r="AD17" s="51">
        <f>AD16</f>
        <v>92.565821566118004</v>
      </c>
      <c r="AE17" s="51">
        <f>IF(AC13,MAX($V$15:$V$47),0)</f>
        <v>0</v>
      </c>
    </row>
    <row r="18" spans="2:31">
      <c r="B18" s="1" t="s">
        <v>58</v>
      </c>
      <c r="C18" s="1">
        <f>1-C17</f>
        <v>3.8724161191528772E-2</v>
      </c>
      <c r="E18" s="5"/>
      <c r="U18" s="51">
        <f t="shared" si="2"/>
        <v>29.81818181818182</v>
      </c>
      <c r="V18" s="51">
        <f t="shared" si="0"/>
        <v>4.9981828671086098E-5</v>
      </c>
      <c r="W18" s="51">
        <f t="shared" si="1"/>
        <v>2.5552890002204227E-5</v>
      </c>
      <c r="Y18" s="51" t="s">
        <v>219</v>
      </c>
      <c r="Z18" s="51" t="s">
        <v>214</v>
      </c>
      <c r="AA18" s="51" t="s">
        <v>215</v>
      </c>
      <c r="AC18" s="51" t="s">
        <v>219</v>
      </c>
      <c r="AD18" s="51" t="s">
        <v>214</v>
      </c>
      <c r="AE18" s="51" t="s">
        <v>215</v>
      </c>
    </row>
    <row r="19" spans="2:31" ht="14.25">
      <c r="C19" s="16" t="s">
        <v>63</v>
      </c>
      <c r="D19" s="16" t="s">
        <v>64</v>
      </c>
      <c r="E19" s="16" t="s">
        <v>66</v>
      </c>
      <c r="U19" s="51">
        <f t="shared" si="2"/>
        <v>39.757575757575758</v>
      </c>
      <c r="V19" s="51">
        <f t="shared" si="0"/>
        <v>1.0879793853904708E-4</v>
      </c>
      <c r="W19" s="51">
        <f t="shared" si="1"/>
        <v>5.8456346720510549E-5</v>
      </c>
      <c r="Y19" s="51" t="s">
        <v>216</v>
      </c>
      <c r="Z19" s="51">
        <f>$V$11+$W$11</f>
        <v>200</v>
      </c>
      <c r="AA19" s="51">
        <v>0</v>
      </c>
      <c r="AC19" s="51" t="s">
        <v>216</v>
      </c>
      <c r="AD19" s="51">
        <f>$V$11+$Y$11</f>
        <v>227.43417843388198</v>
      </c>
      <c r="AE19" s="51">
        <v>0</v>
      </c>
    </row>
    <row r="20" spans="2:31">
      <c r="B20" s="1" t="s">
        <v>11</v>
      </c>
      <c r="C20" s="1">
        <f>CEILING(C11,1)</f>
        <v>3</v>
      </c>
      <c r="D20" s="1">
        <f>C20*C3</f>
        <v>3</v>
      </c>
      <c r="E20" s="1">
        <f>C20+D20</f>
        <v>6</v>
      </c>
      <c r="U20" s="51">
        <f t="shared" si="2"/>
        <v>49.696969696969695</v>
      </c>
      <c r="V20" s="51">
        <f t="shared" si="0"/>
        <v>2.2264543783540088E-4</v>
      </c>
      <c r="W20" s="51">
        <f t="shared" si="1"/>
        <v>1.2572102811928031E-4</v>
      </c>
      <c r="Y20" s="51" t="s">
        <v>218</v>
      </c>
      <c r="Z20" s="51">
        <f>Z19</f>
        <v>200</v>
      </c>
      <c r="AA20" s="51">
        <f>AA17</f>
        <v>9.9706267351264838E-3</v>
      </c>
      <c r="AC20" s="51" t="s">
        <v>218</v>
      </c>
      <c r="AD20" s="51">
        <f>AD19</f>
        <v>227.43417843388198</v>
      </c>
      <c r="AE20" s="51">
        <f>AE17</f>
        <v>0</v>
      </c>
    </row>
    <row r="21" spans="2:31">
      <c r="U21" s="51">
        <f t="shared" si="2"/>
        <v>59.636363636363633</v>
      </c>
      <c r="V21" s="51">
        <f t="shared" si="0"/>
        <v>4.2834287111349645E-4</v>
      </c>
      <c r="W21" s="51">
        <f t="shared" si="1"/>
        <v>2.5419604341562314E-4</v>
      </c>
    </row>
    <row r="22" spans="2:31">
      <c r="U22" s="51">
        <f t="shared" si="2"/>
        <v>69.575757575757578</v>
      </c>
      <c r="V22" s="51">
        <f t="shared" si="0"/>
        <v>7.7473628189698312E-4</v>
      </c>
      <c r="W22" s="51">
        <f t="shared" si="1"/>
        <v>4.8318590587977155E-4</v>
      </c>
      <c r="Y22" s="54" t="s">
        <v>221</v>
      </c>
      <c r="AC22" s="54" t="s">
        <v>223</v>
      </c>
    </row>
    <row r="23" spans="2:31">
      <c r="U23" s="51">
        <f t="shared" si="2"/>
        <v>79.515151515151516</v>
      </c>
      <c r="V23" s="51">
        <f t="shared" si="0"/>
        <v>1.3173490285471054E-3</v>
      </c>
      <c r="W23" s="51">
        <f t="shared" si="1"/>
        <v>8.6346420391826431E-4</v>
      </c>
      <c r="Y23" s="51" t="s">
        <v>217</v>
      </c>
      <c r="Z23" s="51" t="s">
        <v>214</v>
      </c>
      <c r="AA23" s="51" t="s">
        <v>215</v>
      </c>
      <c r="AC23" s="51" t="s">
        <v>217</v>
      </c>
      <c r="AD23" s="51" t="s">
        <v>214</v>
      </c>
      <c r="AE23" s="51" t="s">
        <v>215</v>
      </c>
    </row>
    <row r="24" spans="2:31">
      <c r="U24" s="51">
        <f t="shared" si="2"/>
        <v>89.454545454545453</v>
      </c>
      <c r="V24" s="51">
        <f t="shared" si="0"/>
        <v>2.1058742047565713E-3</v>
      </c>
      <c r="W24" s="51">
        <f t="shared" si="1"/>
        <v>1.4506379241390895E-3</v>
      </c>
      <c r="Y24" s="51" t="s">
        <v>216</v>
      </c>
      <c r="Z24" s="51">
        <f>$V$12-$W$12</f>
        <v>128</v>
      </c>
      <c r="AA24" s="51">
        <v>0</v>
      </c>
      <c r="AC24" s="51" t="s">
        <v>216</v>
      </c>
      <c r="AD24" s="51">
        <f>$V$12-$Y$12</f>
        <v>100.565821566118</v>
      </c>
      <c r="AE24" s="51">
        <v>0</v>
      </c>
    </row>
    <row r="25" spans="2:31" ht="20.25" customHeight="1">
      <c r="B25" s="44" t="s">
        <v>229</v>
      </c>
      <c r="C25" s="1">
        <f>16*C5^2/C6^2</f>
        <v>400</v>
      </c>
      <c r="D25" s="44" t="s">
        <v>230</v>
      </c>
      <c r="U25" s="51">
        <f t="shared" si="2"/>
        <v>99.393939393939391</v>
      </c>
      <c r="V25" s="51">
        <f t="shared" si="0"/>
        <v>3.164817002251043E-3</v>
      </c>
      <c r="W25" s="51">
        <f t="shared" si="1"/>
        <v>2.2911753328812823E-3</v>
      </c>
      <c r="Y25" s="51" t="s">
        <v>218</v>
      </c>
      <c r="Z25" s="51">
        <f>Z24</f>
        <v>128</v>
      </c>
      <c r="AA25" s="51">
        <f>IF(Y13,MAX($W$15:$W$47),0)</f>
        <v>9.9706267351264838E-3</v>
      </c>
      <c r="AC25" s="51" t="s">
        <v>218</v>
      </c>
      <c r="AD25" s="51">
        <f>AD24</f>
        <v>100.565821566118</v>
      </c>
      <c r="AE25" s="51">
        <f>IF(AC13,MAX($W$15:$W$47),0)</f>
        <v>0</v>
      </c>
    </row>
    <row r="26" spans="2:31">
      <c r="U26" s="51">
        <f t="shared" si="2"/>
        <v>109.33333333333333</v>
      </c>
      <c r="V26" s="51">
        <f t="shared" si="0"/>
        <v>4.4714604123635123E-3</v>
      </c>
      <c r="W26" s="51">
        <f t="shared" si="1"/>
        <v>3.4020620603069508E-3</v>
      </c>
      <c r="Y26" s="51" t="s">
        <v>219</v>
      </c>
      <c r="Z26" s="51" t="s">
        <v>214</v>
      </c>
      <c r="AA26" s="51" t="s">
        <v>215</v>
      </c>
      <c r="AC26" s="51" t="s">
        <v>219</v>
      </c>
      <c r="AD26" s="51" t="s">
        <v>214</v>
      </c>
      <c r="AE26" s="51" t="s">
        <v>215</v>
      </c>
    </row>
    <row r="27" spans="2:31">
      <c r="U27" s="51">
        <f t="shared" si="2"/>
        <v>119.27272727272727</v>
      </c>
      <c r="V27" s="51">
        <f t="shared" si="0"/>
        <v>5.9392934840752573E-3</v>
      </c>
      <c r="W27" s="51">
        <f t="shared" si="1"/>
        <v>4.749093798530557E-3</v>
      </c>
      <c r="Y27" s="51" t="s">
        <v>216</v>
      </c>
      <c r="Z27" s="51">
        <f>$V$12+$W$12</f>
        <v>208</v>
      </c>
      <c r="AA27" s="51">
        <v>0</v>
      </c>
      <c r="AC27" s="51" t="s">
        <v>216</v>
      </c>
      <c r="AD27" s="51">
        <f>$V$12+$Y$12</f>
        <v>235.43417843388198</v>
      </c>
      <c r="AE27" s="51">
        <v>0</v>
      </c>
    </row>
    <row r="28" spans="2:31">
      <c r="U28" s="51">
        <f t="shared" si="2"/>
        <v>129.21212121212122</v>
      </c>
      <c r="V28" s="51">
        <f t="shared" si="0"/>
        <v>7.4165988722577278E-3</v>
      </c>
      <c r="W28" s="51">
        <f t="shared" si="1"/>
        <v>6.2325227407400525E-3</v>
      </c>
      <c r="Y28" s="51" t="s">
        <v>218</v>
      </c>
      <c r="Z28" s="51">
        <f>Z27</f>
        <v>208</v>
      </c>
      <c r="AA28" s="51">
        <f>AA25</f>
        <v>9.9706267351264838E-3</v>
      </c>
      <c r="AC28" s="51" t="s">
        <v>218</v>
      </c>
      <c r="AD28" s="51">
        <f>AD27</f>
        <v>235.43417843388198</v>
      </c>
      <c r="AE28" s="51">
        <f>AE25</f>
        <v>0</v>
      </c>
    </row>
    <row r="29" spans="2:31">
      <c r="U29" s="51">
        <f t="shared" si="2"/>
        <v>139.15151515151516</v>
      </c>
      <c r="V29" s="51">
        <f t="shared" si="0"/>
        <v>8.7068167558675656E-3</v>
      </c>
      <c r="W29" s="51">
        <f t="shared" si="1"/>
        <v>7.6895620381677134E-3</v>
      </c>
      <c r="Y29" s="51" t="b">
        <v>1</v>
      </c>
    </row>
    <row r="30" spans="2:31">
      <c r="U30" s="51">
        <f t="shared" si="2"/>
        <v>149.09090909090909</v>
      </c>
      <c r="V30" s="51">
        <f t="shared" si="0"/>
        <v>9.6094521114314744E-3</v>
      </c>
      <c r="W30" s="51">
        <f t="shared" si="1"/>
        <v>8.9191598458717939E-3</v>
      </c>
      <c r="Y30" s="54" t="s">
        <v>226</v>
      </c>
    </row>
    <row r="31" spans="2:31">
      <c r="U31" s="51">
        <f t="shared" si="2"/>
        <v>159.03030303030303</v>
      </c>
      <c r="V31" s="51">
        <f t="shared" si="0"/>
        <v>9.9706267351264838E-3</v>
      </c>
      <c r="W31" s="51">
        <f t="shared" si="1"/>
        <v>9.7259245972099086E-3</v>
      </c>
      <c r="Y31" s="51" t="s">
        <v>217</v>
      </c>
      <c r="Z31" s="51" t="s">
        <v>214</v>
      </c>
      <c r="AA31" s="51" t="s">
        <v>215</v>
      </c>
    </row>
    <row r="32" spans="2:31">
      <c r="U32" s="51">
        <f t="shared" si="2"/>
        <v>168.96969696969697</v>
      </c>
      <c r="V32" s="51">
        <f t="shared" si="0"/>
        <v>9.7259245972099086E-3</v>
      </c>
      <c r="W32" s="51">
        <f t="shared" si="1"/>
        <v>9.9706267351264838E-3</v>
      </c>
      <c r="Y32" s="51" t="s">
        <v>216</v>
      </c>
      <c r="Z32" s="51">
        <f>$V$12-$C$6</f>
        <v>160</v>
      </c>
      <c r="AA32" s="51">
        <v>0</v>
      </c>
    </row>
    <row r="33" spans="2:27">
      <c r="U33" s="51">
        <f t="shared" si="2"/>
        <v>178.90909090909091</v>
      </c>
      <c r="V33" s="51">
        <f t="shared" si="0"/>
        <v>8.9191598458717939E-3</v>
      </c>
      <c r="W33" s="51">
        <f t="shared" si="1"/>
        <v>9.6094521114314744E-3</v>
      </c>
      <c r="Y33" s="51" t="s">
        <v>218</v>
      </c>
      <c r="Z33" s="51">
        <f>Z32</f>
        <v>160</v>
      </c>
      <c r="AA33" s="51">
        <f>IF($Y$29,MAX($V$15:$W$47),0)</f>
        <v>9.9706267351264838E-3</v>
      </c>
    </row>
    <row r="34" spans="2:27">
      <c r="U34" s="51">
        <f t="shared" si="2"/>
        <v>188.84848484848484</v>
      </c>
      <c r="V34" s="51">
        <f t="shared" si="0"/>
        <v>7.6895620381677134E-3</v>
      </c>
      <c r="W34" s="51">
        <f t="shared" si="1"/>
        <v>8.7068167558675656E-3</v>
      </c>
      <c r="Y34" s="51" t="s">
        <v>219</v>
      </c>
      <c r="Z34" s="51" t="s">
        <v>214</v>
      </c>
      <c r="AA34" s="51" t="s">
        <v>215</v>
      </c>
    </row>
    <row r="35" spans="2:27">
      <c r="U35" s="51">
        <f t="shared" si="2"/>
        <v>198.78787878787878</v>
      </c>
      <c r="V35" s="51">
        <f t="shared" si="0"/>
        <v>6.2325227407400525E-3</v>
      </c>
      <c r="W35" s="51">
        <f t="shared" si="1"/>
        <v>7.4165988722577278E-3</v>
      </c>
      <c r="Y35" s="51" t="s">
        <v>216</v>
      </c>
      <c r="Z35" s="51">
        <f>$V$12</f>
        <v>168</v>
      </c>
      <c r="AA35" s="51">
        <v>0</v>
      </c>
    </row>
    <row r="36" spans="2:27">
      <c r="D36" s="9" t="s">
        <v>81</v>
      </c>
      <c r="U36" s="51">
        <f t="shared" si="2"/>
        <v>208.72727272727272</v>
      </c>
      <c r="V36" s="51">
        <f t="shared" si="0"/>
        <v>4.7490937985305588E-3</v>
      </c>
      <c r="W36" s="51">
        <f t="shared" si="1"/>
        <v>5.939293484075259E-3</v>
      </c>
      <c r="Y36" s="51" t="s">
        <v>218</v>
      </c>
      <c r="Z36" s="51">
        <f>Z35</f>
        <v>168</v>
      </c>
      <c r="AA36" s="51">
        <f>AA33</f>
        <v>9.9706267351264838E-3</v>
      </c>
    </row>
    <row r="37" spans="2:27" ht="18">
      <c r="B37" s="28" t="s">
        <v>123</v>
      </c>
      <c r="U37" s="51">
        <f t="shared" si="2"/>
        <v>218.66666666666666</v>
      </c>
      <c r="V37" s="51">
        <f t="shared" si="0"/>
        <v>3.402062060306953E-3</v>
      </c>
      <c r="W37" s="51">
        <f t="shared" si="1"/>
        <v>4.4714604123635149E-3</v>
      </c>
    </row>
    <row r="38" spans="2:27">
      <c r="U38" s="51">
        <f t="shared" si="2"/>
        <v>228.60606060606059</v>
      </c>
      <c r="V38" s="51">
        <f t="shared" si="0"/>
        <v>2.2911753328812845E-3</v>
      </c>
      <c r="W38" s="51">
        <f t="shared" si="1"/>
        <v>3.164817002251043E-3</v>
      </c>
    </row>
    <row r="39" spans="2:27">
      <c r="U39" s="51">
        <f t="shared" si="2"/>
        <v>238.54545454545453</v>
      </c>
      <c r="V39" s="51">
        <f t="shared" si="0"/>
        <v>1.4506379241390902E-3</v>
      </c>
      <c r="W39" s="51">
        <f t="shared" si="1"/>
        <v>2.105874204756573E-3</v>
      </c>
    </row>
    <row r="40" spans="2:27">
      <c r="U40" s="51">
        <f t="shared" si="2"/>
        <v>248.48484848484847</v>
      </c>
      <c r="V40" s="51">
        <f t="shared" si="0"/>
        <v>8.6346420391826431E-4</v>
      </c>
      <c r="W40" s="51">
        <f t="shared" si="1"/>
        <v>1.3173490285471065E-3</v>
      </c>
    </row>
    <row r="41" spans="2:27">
      <c r="U41" s="51">
        <f t="shared" si="2"/>
        <v>258.42424242424244</v>
      </c>
      <c r="V41" s="51">
        <f t="shared" si="0"/>
        <v>4.8318590587977084E-4</v>
      </c>
      <c r="W41" s="51">
        <f t="shared" si="1"/>
        <v>7.7473628189698312E-4</v>
      </c>
    </row>
    <row r="42" spans="2:27">
      <c r="U42" s="51">
        <f t="shared" si="2"/>
        <v>268.36363636363637</v>
      </c>
      <c r="V42" s="51">
        <f t="shared" si="0"/>
        <v>2.5419604341562314E-4</v>
      </c>
      <c r="W42" s="51">
        <f t="shared" si="1"/>
        <v>4.2834287111349645E-4</v>
      </c>
    </row>
    <row r="43" spans="2:27">
      <c r="U43" s="51">
        <f t="shared" si="2"/>
        <v>278.30303030303031</v>
      </c>
      <c r="V43" s="51">
        <f t="shared" si="0"/>
        <v>1.2572102811928031E-4</v>
      </c>
      <c r="W43" s="51">
        <f t="shared" si="1"/>
        <v>2.2264543783540088E-4</v>
      </c>
    </row>
    <row r="44" spans="2:27">
      <c r="U44" s="51">
        <f t="shared" si="2"/>
        <v>288.24242424242425</v>
      </c>
      <c r="V44" s="51">
        <f t="shared" si="0"/>
        <v>5.8456346720510549E-5</v>
      </c>
      <c r="W44" s="51">
        <f t="shared" si="1"/>
        <v>1.0879793853904708E-4</v>
      </c>
    </row>
    <row r="45" spans="2:27">
      <c r="U45" s="51">
        <f t="shared" si="2"/>
        <v>298.18181818181819</v>
      </c>
      <c r="V45" s="51">
        <f t="shared" si="0"/>
        <v>2.5552890002204227E-5</v>
      </c>
      <c r="W45" s="51">
        <f t="shared" si="1"/>
        <v>4.9981828671086098E-5</v>
      </c>
    </row>
    <row r="46" spans="2:27">
      <c r="U46" s="51">
        <f t="shared" si="2"/>
        <v>308.12121212121212</v>
      </c>
      <c r="V46" s="51">
        <f t="shared" si="0"/>
        <v>1.0501056362603924E-5</v>
      </c>
      <c r="W46" s="51">
        <f t="shared" si="1"/>
        <v>2.1586797882267536E-5</v>
      </c>
    </row>
    <row r="47" spans="2:27">
      <c r="U47" s="51">
        <f t="shared" si="2"/>
        <v>318.06060606060606</v>
      </c>
      <c r="V47" s="51">
        <f t="shared" si="0"/>
        <v>4.0570518897450162E-6</v>
      </c>
      <c r="W47" s="51">
        <f t="shared" si="1"/>
        <v>8.7649394011783917E-6</v>
      </c>
    </row>
    <row r="48" spans="2:27">
      <c r="G48" s="6"/>
    </row>
    <row r="49" spans="7:7">
      <c r="G49" s="6"/>
    </row>
    <row r="50" spans="7:7">
      <c r="G50" s="6"/>
    </row>
    <row r="51" spans="7:7">
      <c r="G51" s="6"/>
    </row>
    <row r="66" spans="2:2">
      <c r="B66" s="9" t="s">
        <v>125</v>
      </c>
    </row>
  </sheetData>
  <phoneticPr fontId="4"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6" r:id="rId4" name="Button 2">
              <controlPr defaultSize="0" print="0" autoFill="0" autoPict="0" macro="[0]!SS_Probt">
                <anchor moveWithCells="1" sizeWithCells="1">
                  <from>
                    <xdr:col>1</xdr:col>
                    <xdr:colOff>104775</xdr:colOff>
                    <xdr:row>21</xdr:row>
                    <xdr:rowOff>76200</xdr:rowOff>
                  </from>
                  <to>
                    <xdr:col>2</xdr:col>
                    <xdr:colOff>523875</xdr:colOff>
                    <xdr:row>23</xdr:row>
                    <xdr:rowOff>28575</xdr:rowOff>
                  </to>
                </anchor>
              </controlPr>
            </control>
          </mc:Choice>
        </mc:AlternateContent>
        <mc:AlternateContent xmlns:mc="http://schemas.openxmlformats.org/markup-compatibility/2006">
          <mc:Choice Requires="x14">
            <control shapeId="11273" r:id="rId5" name="Button 9">
              <controlPr defaultSize="0" print="0" autoFill="0" autoPict="0" macro="[0]!SS_Boss">
                <anchor moveWithCells="1" sizeWithCells="1">
                  <from>
                    <xdr:col>2</xdr:col>
                    <xdr:colOff>600075</xdr:colOff>
                    <xdr:row>21</xdr:row>
                    <xdr:rowOff>76200</xdr:rowOff>
                  </from>
                  <to>
                    <xdr:col>4</xdr:col>
                    <xdr:colOff>219075</xdr:colOff>
                    <xdr:row>23</xdr:row>
                    <xdr:rowOff>28575</xdr:rowOff>
                  </to>
                </anchor>
              </controlPr>
            </control>
          </mc:Choice>
        </mc:AlternateContent>
        <mc:AlternateContent xmlns:mc="http://schemas.openxmlformats.org/markup-compatibility/2006">
          <mc:Choice Requires="x14">
            <control shapeId="11276" r:id="rId6" name="Check Box 12">
              <controlPr defaultSize="0" autoFill="0" autoLine="0" autoPict="0">
                <anchor moveWithCells="1">
                  <from>
                    <xdr:col>11</xdr:col>
                    <xdr:colOff>485775</xdr:colOff>
                    <xdr:row>7</xdr:row>
                    <xdr:rowOff>104775</xdr:rowOff>
                  </from>
                  <to>
                    <xdr:col>13</xdr:col>
                    <xdr:colOff>28575</xdr:colOff>
                    <xdr:row>8</xdr:row>
                    <xdr:rowOff>142875</xdr:rowOff>
                  </to>
                </anchor>
              </controlPr>
            </control>
          </mc:Choice>
        </mc:AlternateContent>
        <mc:AlternateContent xmlns:mc="http://schemas.openxmlformats.org/markup-compatibility/2006">
          <mc:Choice Requires="x14">
            <control shapeId="11277" r:id="rId7" name="Check Box 13">
              <controlPr defaultSize="0" autoFill="0" autoLine="0" autoPict="0">
                <anchor moveWithCells="1">
                  <from>
                    <xdr:col>11</xdr:col>
                    <xdr:colOff>485775</xdr:colOff>
                    <xdr:row>8</xdr:row>
                    <xdr:rowOff>142875</xdr:rowOff>
                  </from>
                  <to>
                    <xdr:col>13</xdr:col>
                    <xdr:colOff>28575</xdr:colOff>
                    <xdr:row>10</xdr:row>
                    <xdr:rowOff>9525</xdr:rowOff>
                  </to>
                </anchor>
              </controlPr>
            </control>
          </mc:Choice>
        </mc:AlternateContent>
        <mc:AlternateContent xmlns:mc="http://schemas.openxmlformats.org/markup-compatibility/2006">
          <mc:Choice Requires="x14">
            <control shapeId="11278" r:id="rId8" name="Check Box 14">
              <controlPr defaultSize="0" autoFill="0" autoLine="0" autoPict="0">
                <anchor moveWithCells="1">
                  <from>
                    <xdr:col>11</xdr:col>
                    <xdr:colOff>485775</xdr:colOff>
                    <xdr:row>10</xdr:row>
                    <xdr:rowOff>9525</xdr:rowOff>
                  </from>
                  <to>
                    <xdr:col>13</xdr:col>
                    <xdr:colOff>28575</xdr:colOff>
                    <xdr:row>11</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1:AE53"/>
  <sheetViews>
    <sheetView workbookViewId="0">
      <selection activeCell="C2" sqref="C2"/>
    </sheetView>
  </sheetViews>
  <sheetFormatPr defaultColWidth="9.140625" defaultRowHeight="12.75"/>
  <cols>
    <col min="1" max="1" width="5.140625" style="1" customWidth="1"/>
    <col min="2" max="2" width="21.42578125" style="1" customWidth="1"/>
    <col min="3" max="3" width="9.140625" style="1"/>
    <col min="4" max="4" width="9.28515625" style="1" customWidth="1"/>
    <col min="5" max="16384" width="9.140625" style="1"/>
  </cols>
  <sheetData>
    <row r="1" spans="2:31" ht="27" thickBot="1">
      <c r="B1" s="17" t="s">
        <v>69</v>
      </c>
      <c r="F1" s="9" t="s">
        <v>122</v>
      </c>
    </row>
    <row r="2" spans="2:31" ht="13.5" thickBot="1">
      <c r="B2" s="1" t="s">
        <v>1</v>
      </c>
      <c r="C2" s="2">
        <v>0.9</v>
      </c>
      <c r="D2" s="1" t="s">
        <v>21</v>
      </c>
    </row>
    <row r="3" spans="2:31" ht="13.5" thickBot="1">
      <c r="C3" s="10"/>
    </row>
    <row r="4" spans="2:31" ht="13.5" thickBot="1">
      <c r="B4" s="8" t="s">
        <v>59</v>
      </c>
      <c r="C4" s="2">
        <v>0.05</v>
      </c>
      <c r="D4" s="1" t="s">
        <v>20</v>
      </c>
    </row>
    <row r="5" spans="2:31" ht="16.5" thickBot="1">
      <c r="B5" s="8" t="s">
        <v>26</v>
      </c>
      <c r="C5" s="3">
        <v>20</v>
      </c>
      <c r="D5" s="1" t="s">
        <v>117</v>
      </c>
      <c r="U5" s="1" t="s">
        <v>56</v>
      </c>
    </row>
    <row r="6" spans="2:31" ht="16.5" thickBot="1">
      <c r="B6" s="1" t="s">
        <v>17</v>
      </c>
      <c r="C6" s="3">
        <v>10</v>
      </c>
      <c r="D6" s="1" t="s">
        <v>24</v>
      </c>
      <c r="U6" s="1">
        <v>1</v>
      </c>
    </row>
    <row r="7" spans="2:31" ht="13.5" thickBot="1">
      <c r="C7" s="4"/>
    </row>
    <row r="8" spans="2:31" ht="16.5" thickBot="1">
      <c r="B8" s="12" t="s">
        <v>119</v>
      </c>
      <c r="C8" s="11">
        <f>C6/C5</f>
        <v>0.5</v>
      </c>
    </row>
    <row r="10" spans="2:31" ht="16.5" thickBot="1">
      <c r="B10" s="8" t="s">
        <v>26</v>
      </c>
      <c r="C10" s="1">
        <f>C5</f>
        <v>20</v>
      </c>
      <c r="V10" s="44" t="s">
        <v>212</v>
      </c>
      <c r="W10" s="44" t="s">
        <v>210</v>
      </c>
      <c r="X10" s="44" t="s">
        <v>213</v>
      </c>
      <c r="Y10" s="44" t="s">
        <v>211</v>
      </c>
      <c r="AA10" s="44" t="s">
        <v>224</v>
      </c>
      <c r="AB10" s="44" t="s">
        <v>225</v>
      </c>
    </row>
    <row r="11" spans="2:31" ht="13.5" thickBot="1">
      <c r="B11" s="1" t="s">
        <v>0</v>
      </c>
      <c r="C11" s="7">
        <v>3</v>
      </c>
      <c r="U11" s="44" t="s">
        <v>206</v>
      </c>
      <c r="V11" s="30">
        <f>4*C5</f>
        <v>80</v>
      </c>
      <c r="W11" s="1">
        <f>$C$5</f>
        <v>20</v>
      </c>
      <c r="X11" s="1">
        <f>W11/SQRT(C20)</f>
        <v>11.547005383792516</v>
      </c>
      <c r="Y11" s="1">
        <f>TINV($C$4*2,$C$20-2)*X11</f>
        <v>72.904922731880887</v>
      </c>
      <c r="AA11" s="1">
        <f>V12+4*W12</f>
        <v>170</v>
      </c>
      <c r="AB11" s="1">
        <f>AA11/33</f>
        <v>5.1515151515151514</v>
      </c>
    </row>
    <row r="12" spans="2:31" ht="13.5" thickBot="1">
      <c r="B12" s="1" t="s">
        <v>2</v>
      </c>
      <c r="C12" s="1">
        <f>C11*(C3+1)-2</f>
        <v>1</v>
      </c>
      <c r="U12" s="44" t="s">
        <v>207</v>
      </c>
      <c r="V12" s="30">
        <f>V11+C6</f>
        <v>90</v>
      </c>
      <c r="W12" s="1">
        <f>$C$5</f>
        <v>20</v>
      </c>
      <c r="X12" s="1">
        <f>W12/SQRT(C20)</f>
        <v>11.547005383792516</v>
      </c>
      <c r="Y12" s="1">
        <f>TINV($C$4*2,$C$20-2)*X12</f>
        <v>72.904922731880887</v>
      </c>
    </row>
    <row r="13" spans="2:31">
      <c r="B13" s="1" t="s">
        <v>13</v>
      </c>
      <c r="C13" s="1">
        <f>TINV(C4,C12)</f>
        <v>12.706204736174707</v>
      </c>
      <c r="Y13" s="1" t="b">
        <v>1</v>
      </c>
      <c r="AC13" s="1" t="b">
        <v>0</v>
      </c>
    </row>
    <row r="14" spans="2:31">
      <c r="B14" s="1" t="s">
        <v>4</v>
      </c>
      <c r="C14" s="1">
        <f>SQRT((C11*C6^2)/(2*C10^2))</f>
        <v>0.61237243569579447</v>
      </c>
      <c r="U14" s="44" t="s">
        <v>205</v>
      </c>
      <c r="V14" s="44" t="s">
        <v>208</v>
      </c>
      <c r="W14" s="44" t="s">
        <v>209</v>
      </c>
      <c r="Y14" s="9" t="s">
        <v>220</v>
      </c>
      <c r="AC14" s="9" t="s">
        <v>222</v>
      </c>
    </row>
    <row r="15" spans="2:31">
      <c r="U15" s="1">
        <v>0</v>
      </c>
      <c r="V15" s="1">
        <f>_xlfn.NORM.DIST($U15,$V$11,$C$5,FALSE)</f>
        <v>6.6915112882442679E-6</v>
      </c>
      <c r="W15" s="1">
        <f>_xlfn.NORM.DIST($U15,$V$12,$C$5,FALSE)</f>
        <v>7.9918705534527388E-7</v>
      </c>
      <c r="Y15" s="44" t="s">
        <v>217</v>
      </c>
      <c r="Z15" s="44" t="s">
        <v>214</v>
      </c>
      <c r="AA15" s="44" t="s">
        <v>215</v>
      </c>
      <c r="AC15" s="44" t="s">
        <v>217</v>
      </c>
      <c r="AD15" s="44" t="s">
        <v>214</v>
      </c>
      <c r="AE15" s="44" t="s">
        <v>215</v>
      </c>
    </row>
    <row r="16" spans="2:31">
      <c r="U16" s="1">
        <f>U15+$AB$11</f>
        <v>5.1515151515151514</v>
      </c>
      <c r="V16" s="1">
        <f t="shared" ref="V16:V47" si="0">_xlfn.NORM.DIST($U16,$V$11,$C$5,FALSE)</f>
        <v>1.8137291925126829E-5</v>
      </c>
      <c r="W16" s="1">
        <f t="shared" ref="W16:W47" si="1">_xlfn.NORM.DIST($U16,$V$12,$C$5,FALSE)</f>
        <v>2.4639309576665516E-6</v>
      </c>
      <c r="Y16" s="44" t="s">
        <v>216</v>
      </c>
      <c r="Z16" s="1">
        <f>$V$11-$W$11</f>
        <v>60</v>
      </c>
      <c r="AA16" s="1">
        <v>0</v>
      </c>
      <c r="AC16" s="44" t="s">
        <v>216</v>
      </c>
      <c r="AD16" s="1">
        <f>$V$11-$Y$11</f>
        <v>7.0950772681191125</v>
      </c>
      <c r="AE16" s="1">
        <v>0</v>
      </c>
    </row>
    <row r="17" spans="2:31">
      <c r="B17" s="1" t="s">
        <v>6</v>
      </c>
      <c r="C17" s="1">
        <f>NCt(C13,C12,C14)</f>
        <v>0.95131381058289732</v>
      </c>
      <c r="U17" s="1">
        <f t="shared" ref="U17:U47" si="2">U16+$AB$11</f>
        <v>10.303030303030303</v>
      </c>
      <c r="V17" s="1">
        <f t="shared" si="0"/>
        <v>4.6005238481148204E-5</v>
      </c>
      <c r="W17" s="1">
        <f t="shared" si="1"/>
        <v>7.1087827569616206E-6</v>
      </c>
      <c r="Y17" s="44" t="s">
        <v>218</v>
      </c>
      <c r="Z17" s="1">
        <f>Z16</f>
        <v>60</v>
      </c>
      <c r="AA17" s="1">
        <f>IF(Y13,MAX($V$15:$V$47),0)</f>
        <v>1.980111566953164E-2</v>
      </c>
      <c r="AC17" s="44" t="s">
        <v>218</v>
      </c>
      <c r="AD17" s="1">
        <f>AD16</f>
        <v>7.0950772681191125</v>
      </c>
      <c r="AE17" s="1">
        <f>IF(AC13,MAX($V$15:$V$47),0)</f>
        <v>0</v>
      </c>
    </row>
    <row r="18" spans="2:31">
      <c r="B18" s="1" t="s">
        <v>58</v>
      </c>
      <c r="C18" s="1">
        <f>1-C17</f>
        <v>4.8686189417102677E-2</v>
      </c>
      <c r="E18" s="5"/>
      <c r="U18" s="1">
        <f t="shared" si="2"/>
        <v>15.454545454545453</v>
      </c>
      <c r="V18" s="1">
        <f t="shared" si="0"/>
        <v>1.0920153534047619E-4</v>
      </c>
      <c r="W18" s="1">
        <f t="shared" si="1"/>
        <v>1.9193252010472316E-5</v>
      </c>
      <c r="Y18" s="44" t="s">
        <v>219</v>
      </c>
      <c r="Z18" s="44" t="s">
        <v>214</v>
      </c>
      <c r="AA18" s="44" t="s">
        <v>215</v>
      </c>
      <c r="AC18" s="44" t="s">
        <v>219</v>
      </c>
      <c r="AD18" s="44" t="s">
        <v>214</v>
      </c>
      <c r="AE18" s="44" t="s">
        <v>215</v>
      </c>
    </row>
    <row r="19" spans="2:31">
      <c r="C19" s="9"/>
      <c r="D19" s="9"/>
      <c r="U19" s="1">
        <f t="shared" si="2"/>
        <v>20.606060606060606</v>
      </c>
      <c r="V19" s="1">
        <f t="shared" si="0"/>
        <v>2.4256984882431001E-4</v>
      </c>
      <c r="W19" s="1">
        <f t="shared" si="1"/>
        <v>4.8494055355597541E-5</v>
      </c>
      <c r="Y19" s="44" t="s">
        <v>216</v>
      </c>
      <c r="Z19" s="1">
        <f>$V$11+$W$11</f>
        <v>100</v>
      </c>
      <c r="AA19" s="1">
        <v>0</v>
      </c>
      <c r="AC19" s="44" t="s">
        <v>216</v>
      </c>
      <c r="AD19" s="1">
        <f>$V$11+$Y$11</f>
        <v>152.9049227318809</v>
      </c>
      <c r="AE19" s="1">
        <v>0</v>
      </c>
    </row>
    <row r="20" spans="2:31">
      <c r="B20" s="1" t="s">
        <v>11</v>
      </c>
      <c r="C20" s="1">
        <f>CEILING(C11,1)</f>
        <v>3</v>
      </c>
      <c r="D20" s="1" t="s">
        <v>25</v>
      </c>
      <c r="U20" s="1">
        <f t="shared" si="2"/>
        <v>25.757575757575758</v>
      </c>
      <c r="V20" s="1">
        <f t="shared" si="0"/>
        <v>5.0423327922236841E-4</v>
      </c>
      <c r="W20" s="1">
        <f t="shared" si="1"/>
        <v>1.146608236109952E-4</v>
      </c>
      <c r="Y20" s="44" t="s">
        <v>218</v>
      </c>
      <c r="Z20" s="1">
        <f>Z19</f>
        <v>100</v>
      </c>
      <c r="AA20" s="1">
        <f>AA17</f>
        <v>1.980111566953164E-2</v>
      </c>
      <c r="AC20" s="44" t="s">
        <v>218</v>
      </c>
      <c r="AD20" s="1">
        <f>AD19</f>
        <v>152.9049227318809</v>
      </c>
      <c r="AE20" s="1">
        <f>AE17</f>
        <v>0</v>
      </c>
    </row>
    <row r="21" spans="2:31">
      <c r="U21" s="1">
        <f t="shared" si="2"/>
        <v>30.90909090909091</v>
      </c>
      <c r="V21" s="1">
        <f t="shared" si="0"/>
        <v>9.8087306428737029E-4</v>
      </c>
      <c r="W21" s="1">
        <f t="shared" si="1"/>
        <v>2.5370453191218693E-4</v>
      </c>
    </row>
    <row r="22" spans="2:31">
      <c r="U22" s="1">
        <f t="shared" si="2"/>
        <v>36.060606060606062</v>
      </c>
      <c r="V22" s="1">
        <f t="shared" si="0"/>
        <v>1.7855858122449049E-3</v>
      </c>
      <c r="W22" s="1">
        <f t="shared" si="1"/>
        <v>5.2532492610751064E-4</v>
      </c>
      <c r="Y22" s="9" t="s">
        <v>221</v>
      </c>
      <c r="AC22" s="9" t="s">
        <v>223</v>
      </c>
    </row>
    <row r="23" spans="2:31">
      <c r="U23" s="1">
        <f t="shared" si="2"/>
        <v>41.212121212121211</v>
      </c>
      <c r="V23" s="1">
        <f t="shared" si="0"/>
        <v>3.0418322453447957E-3</v>
      </c>
      <c r="W23" s="1">
        <f t="shared" si="1"/>
        <v>1.0179217781743333E-3</v>
      </c>
      <c r="Y23" s="44" t="s">
        <v>217</v>
      </c>
      <c r="Z23" s="44" t="s">
        <v>214</v>
      </c>
      <c r="AA23" s="44" t="s">
        <v>215</v>
      </c>
      <c r="AC23" s="44" t="s">
        <v>217</v>
      </c>
      <c r="AD23" s="44" t="s">
        <v>214</v>
      </c>
      <c r="AE23" s="44" t="s">
        <v>215</v>
      </c>
    </row>
    <row r="24" spans="2:31">
      <c r="U24" s="1">
        <f t="shared" si="2"/>
        <v>46.36363636363636</v>
      </c>
      <c r="V24" s="1">
        <f t="shared" si="0"/>
        <v>4.8492704641696274E-3</v>
      </c>
      <c r="W24" s="1">
        <f t="shared" si="1"/>
        <v>1.8458118041464293E-3</v>
      </c>
      <c r="Y24" s="44" t="s">
        <v>216</v>
      </c>
      <c r="Z24" s="1">
        <f>$V$12-$W$12</f>
        <v>70</v>
      </c>
      <c r="AA24" s="1">
        <v>0</v>
      </c>
      <c r="AC24" s="44" t="s">
        <v>216</v>
      </c>
      <c r="AD24" s="1">
        <f>$V$12-$Y$12</f>
        <v>17.095077268119113</v>
      </c>
      <c r="AE24" s="1">
        <v>0</v>
      </c>
    </row>
    <row r="25" spans="2:31">
      <c r="U25" s="1">
        <f t="shared" si="2"/>
        <v>51.515151515151508</v>
      </c>
      <c r="V25" s="1">
        <f t="shared" si="0"/>
        <v>7.2344275216876253E-3</v>
      </c>
      <c r="W25" s="1">
        <f t="shared" si="1"/>
        <v>3.1321824144568463E-3</v>
      </c>
      <c r="Y25" s="44" t="s">
        <v>218</v>
      </c>
      <c r="Z25" s="1">
        <f>Z24</f>
        <v>70</v>
      </c>
      <c r="AA25" s="1">
        <f>IF(Y13,MAX($W$15:$W$47),0)</f>
        <v>1.980111566953164E-2</v>
      </c>
      <c r="AC25" s="44" t="s">
        <v>218</v>
      </c>
      <c r="AD25" s="1">
        <f>AD24</f>
        <v>17.095077268119113</v>
      </c>
      <c r="AE25" s="1">
        <f>IF(AC13,MAX($W$15:$W$47),0)</f>
        <v>0</v>
      </c>
    </row>
    <row r="26" spans="2:31">
      <c r="U26" s="1">
        <f t="shared" si="2"/>
        <v>56.666666666666657</v>
      </c>
      <c r="V26" s="1">
        <f t="shared" si="0"/>
        <v>1.0099934277702938E-2</v>
      </c>
      <c r="W26" s="1">
        <f t="shared" si="1"/>
        <v>4.97385693963743E-3</v>
      </c>
      <c r="Y26" s="44" t="s">
        <v>219</v>
      </c>
      <c r="Z26" s="44" t="s">
        <v>214</v>
      </c>
      <c r="AA26" s="44" t="s">
        <v>215</v>
      </c>
      <c r="AC26" s="44" t="s">
        <v>219</v>
      </c>
      <c r="AD26" s="44" t="s">
        <v>214</v>
      </c>
      <c r="AE26" s="44" t="s">
        <v>215</v>
      </c>
    </row>
    <row r="27" spans="2:31" ht="20.25" customHeight="1">
      <c r="U27" s="1">
        <f t="shared" si="2"/>
        <v>61.818181818181806</v>
      </c>
      <c r="V27" s="1">
        <f t="shared" si="0"/>
        <v>1.3195308262186492E-2</v>
      </c>
      <c r="W27" s="1">
        <f t="shared" si="1"/>
        <v>7.391390501822824E-3</v>
      </c>
      <c r="Y27" s="44" t="s">
        <v>216</v>
      </c>
      <c r="Z27" s="1">
        <f>$V$12+$W$12</f>
        <v>110</v>
      </c>
      <c r="AA27" s="1">
        <v>0</v>
      </c>
      <c r="AC27" s="44" t="s">
        <v>216</v>
      </c>
      <c r="AD27" s="1">
        <f>$V$12+$Y$12</f>
        <v>162.9049227318809</v>
      </c>
      <c r="AE27" s="1">
        <v>0</v>
      </c>
    </row>
    <row r="28" spans="2:31">
      <c r="U28" s="1">
        <f t="shared" si="2"/>
        <v>66.969696969696955</v>
      </c>
      <c r="V28" s="1">
        <f t="shared" si="0"/>
        <v>1.6132703352552596E-2</v>
      </c>
      <c r="W28" s="1">
        <f t="shared" si="1"/>
        <v>1.0278875841821104E-2</v>
      </c>
      <c r="Y28" s="44" t="s">
        <v>218</v>
      </c>
      <c r="Z28" s="1">
        <f>Z27</f>
        <v>110</v>
      </c>
      <c r="AA28" s="1">
        <f>AA25</f>
        <v>1.980111566953164E-2</v>
      </c>
      <c r="AC28" s="44" t="s">
        <v>218</v>
      </c>
      <c r="AD28" s="1">
        <f>AD27</f>
        <v>162.9049227318809</v>
      </c>
      <c r="AE28" s="1">
        <f>AE25</f>
        <v>0</v>
      </c>
    </row>
    <row r="29" spans="2:31">
      <c r="U29" s="1">
        <f t="shared" si="2"/>
        <v>72.12121212121211</v>
      </c>
      <c r="V29" s="1">
        <f t="shared" si="0"/>
        <v>1.8457860980984869E-2</v>
      </c>
      <c r="W29" s="1">
        <f t="shared" si="1"/>
        <v>1.3376783801223832E-2</v>
      </c>
      <c r="Y29" s="1" t="b">
        <v>1</v>
      </c>
    </row>
    <row r="30" spans="2:31">
      <c r="U30" s="1">
        <f t="shared" si="2"/>
        <v>77.272727272727266</v>
      </c>
      <c r="V30" s="1">
        <f t="shared" si="0"/>
        <v>1.9762514802646215E-2</v>
      </c>
      <c r="W30" s="1">
        <f t="shared" si="1"/>
        <v>1.62908749718845E-2</v>
      </c>
      <c r="Y30" s="9" t="s">
        <v>226</v>
      </c>
    </row>
    <row r="31" spans="2:31">
      <c r="U31" s="1">
        <f t="shared" si="2"/>
        <v>82.424242424242422</v>
      </c>
      <c r="V31" s="1">
        <f t="shared" si="0"/>
        <v>1.980111566953164E-2</v>
      </c>
      <c r="W31" s="1">
        <f t="shared" si="1"/>
        <v>1.8566230084060359E-2</v>
      </c>
      <c r="Y31" s="44" t="s">
        <v>217</v>
      </c>
      <c r="Z31" s="44" t="s">
        <v>214</v>
      </c>
      <c r="AA31" s="44" t="s">
        <v>215</v>
      </c>
    </row>
    <row r="32" spans="2:31">
      <c r="U32" s="1">
        <f t="shared" si="2"/>
        <v>87.575757575757578</v>
      </c>
      <c r="V32" s="1">
        <f t="shared" si="0"/>
        <v>1.8566230084060359E-2</v>
      </c>
      <c r="W32" s="1">
        <f t="shared" si="1"/>
        <v>1.980111566953164E-2</v>
      </c>
      <c r="Y32" s="44" t="s">
        <v>216</v>
      </c>
      <c r="Z32" s="1">
        <f>V11</f>
        <v>80</v>
      </c>
      <c r="AA32" s="1">
        <v>0</v>
      </c>
    </row>
    <row r="33" spans="2:27">
      <c r="U33" s="1">
        <f t="shared" si="2"/>
        <v>92.727272727272734</v>
      </c>
      <c r="V33" s="1">
        <f t="shared" si="0"/>
        <v>1.62908749718845E-2</v>
      </c>
      <c r="W33" s="1">
        <f t="shared" si="1"/>
        <v>1.9762514802646215E-2</v>
      </c>
      <c r="Y33" s="44" t="s">
        <v>218</v>
      </c>
      <c r="Z33" s="1">
        <f>Z32</f>
        <v>80</v>
      </c>
      <c r="AA33" s="1">
        <f>IF($Y$29,MAX($V$15:$W$47),0)</f>
        <v>1.980111566953164E-2</v>
      </c>
    </row>
    <row r="34" spans="2:27" ht="18">
      <c r="B34" s="28" t="s">
        <v>123</v>
      </c>
      <c r="D34" s="9" t="s">
        <v>81</v>
      </c>
      <c r="U34" s="1">
        <f t="shared" si="2"/>
        <v>97.87878787878789</v>
      </c>
      <c r="V34" s="1">
        <f t="shared" si="0"/>
        <v>1.3376783801223832E-2</v>
      </c>
      <c r="W34" s="1">
        <f t="shared" si="1"/>
        <v>1.8457860980984869E-2</v>
      </c>
      <c r="Y34" s="44" t="s">
        <v>219</v>
      </c>
      <c r="Z34" s="44" t="s">
        <v>214</v>
      </c>
      <c r="AA34" s="44" t="s">
        <v>215</v>
      </c>
    </row>
    <row r="35" spans="2:27">
      <c r="U35" s="1">
        <f t="shared" si="2"/>
        <v>103.03030303030305</v>
      </c>
      <c r="V35" s="1">
        <f t="shared" si="0"/>
        <v>1.0278875841821104E-2</v>
      </c>
      <c r="W35" s="1">
        <f t="shared" si="1"/>
        <v>1.6132703352552596E-2</v>
      </c>
      <c r="Y35" s="44" t="s">
        <v>216</v>
      </c>
      <c r="Z35" s="1">
        <f>V12</f>
        <v>90</v>
      </c>
      <c r="AA35" s="1">
        <v>0</v>
      </c>
    </row>
    <row r="36" spans="2:27">
      <c r="U36" s="1">
        <f t="shared" si="2"/>
        <v>108.1818181818182</v>
      </c>
      <c r="V36" s="1">
        <f t="shared" si="0"/>
        <v>7.3913905018228197E-3</v>
      </c>
      <c r="W36" s="1">
        <f t="shared" si="1"/>
        <v>1.3195308262186491E-2</v>
      </c>
      <c r="Y36" s="44" t="s">
        <v>218</v>
      </c>
      <c r="Z36" s="1">
        <f>Z35</f>
        <v>90</v>
      </c>
      <c r="AA36" s="1">
        <f>AA33</f>
        <v>1.980111566953164E-2</v>
      </c>
    </row>
    <row r="37" spans="2:27">
      <c r="U37" s="1">
        <f t="shared" si="2"/>
        <v>113.33333333333336</v>
      </c>
      <c r="V37" s="1">
        <f t="shared" si="0"/>
        <v>4.9738569396374247E-3</v>
      </c>
      <c r="W37" s="1">
        <f t="shared" si="1"/>
        <v>1.0099934277702931E-2</v>
      </c>
    </row>
    <row r="38" spans="2:27">
      <c r="U38" s="1">
        <f t="shared" si="2"/>
        <v>118.48484848484851</v>
      </c>
      <c r="V38" s="1">
        <f t="shared" si="0"/>
        <v>3.1321824144568407E-3</v>
      </c>
      <c r="W38" s="1">
        <f t="shared" si="1"/>
        <v>7.234427521687614E-3</v>
      </c>
    </row>
    <row r="39" spans="2:27">
      <c r="U39" s="1">
        <f t="shared" si="2"/>
        <v>123.63636363636367</v>
      </c>
      <c r="V39" s="1">
        <f t="shared" si="0"/>
        <v>1.8458118041464236E-3</v>
      </c>
      <c r="W39" s="1">
        <f t="shared" si="1"/>
        <v>4.8492704641696152E-3</v>
      </c>
    </row>
    <row r="40" spans="2:27">
      <c r="U40" s="1">
        <f t="shared" si="2"/>
        <v>128.78787878787881</v>
      </c>
      <c r="V40" s="1">
        <f t="shared" si="0"/>
        <v>1.0179217781743309E-3</v>
      </c>
      <c r="W40" s="1">
        <f t="shared" si="1"/>
        <v>3.04183224534479E-3</v>
      </c>
    </row>
    <row r="41" spans="2:27">
      <c r="U41" s="1">
        <f t="shared" si="2"/>
        <v>133.93939393939397</v>
      </c>
      <c r="V41" s="1">
        <f t="shared" si="0"/>
        <v>5.253249261075088E-4</v>
      </c>
      <c r="W41" s="1">
        <f t="shared" si="1"/>
        <v>1.7855858122448995E-3</v>
      </c>
    </row>
    <row r="42" spans="2:27">
      <c r="U42" s="1">
        <f t="shared" si="2"/>
        <v>139.09090909090912</v>
      </c>
      <c r="V42" s="1">
        <f t="shared" si="0"/>
        <v>2.5370453191218579E-4</v>
      </c>
      <c r="W42" s="1">
        <f t="shared" si="1"/>
        <v>9.8087306428736726E-4</v>
      </c>
    </row>
    <row r="43" spans="2:27">
      <c r="U43" s="1">
        <f t="shared" si="2"/>
        <v>144.24242424242428</v>
      </c>
      <c r="V43" s="1">
        <f t="shared" si="0"/>
        <v>1.1466082361099477E-4</v>
      </c>
      <c r="W43" s="1">
        <f t="shared" si="1"/>
        <v>5.0423327922236591E-4</v>
      </c>
    </row>
    <row r="44" spans="2:27">
      <c r="U44" s="1">
        <f t="shared" si="2"/>
        <v>149.39393939393943</v>
      </c>
      <c r="V44" s="1">
        <f t="shared" si="0"/>
        <v>4.8494055355597236E-5</v>
      </c>
      <c r="W44" s="1">
        <f t="shared" si="1"/>
        <v>2.4256984882430871E-4</v>
      </c>
    </row>
    <row r="45" spans="2:27">
      <c r="B45" s="9" t="s">
        <v>125</v>
      </c>
      <c r="U45" s="1">
        <f t="shared" si="2"/>
        <v>154.54545454545459</v>
      </c>
      <c r="V45" s="1">
        <f t="shared" si="0"/>
        <v>1.919325201047218E-5</v>
      </c>
      <c r="W45" s="1">
        <f t="shared" si="1"/>
        <v>1.092015353404756E-4</v>
      </c>
    </row>
    <row r="46" spans="2:27">
      <c r="B46" s="9" t="s">
        <v>124</v>
      </c>
      <c r="U46" s="1">
        <f t="shared" si="2"/>
        <v>159.69696969696975</v>
      </c>
      <c r="V46" s="1">
        <f t="shared" si="0"/>
        <v>7.1087827569615689E-6</v>
      </c>
      <c r="W46" s="1">
        <f t="shared" si="1"/>
        <v>4.600523848114792E-5</v>
      </c>
    </row>
    <row r="47" spans="2:27">
      <c r="U47" s="1">
        <f t="shared" si="2"/>
        <v>164.8484848484849</v>
      </c>
      <c r="V47" s="1">
        <f t="shared" si="0"/>
        <v>2.4639309576665207E-6</v>
      </c>
      <c r="W47" s="1">
        <f t="shared" si="1"/>
        <v>1.8137291925126636E-5</v>
      </c>
    </row>
    <row r="52" spans="7:7">
      <c r="G52" s="6"/>
    </row>
    <row r="53" spans="7:7">
      <c r="G53"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SS_Probt">
                <anchor moveWithCells="1" sizeWithCells="1">
                  <from>
                    <xdr:col>1</xdr:col>
                    <xdr:colOff>104775</xdr:colOff>
                    <xdr:row>21</xdr:row>
                    <xdr:rowOff>76200</xdr:rowOff>
                  </from>
                  <to>
                    <xdr:col>2</xdr:col>
                    <xdr:colOff>523875</xdr:colOff>
                    <xdr:row>23</xdr:row>
                    <xdr:rowOff>28575</xdr:rowOff>
                  </to>
                </anchor>
              </controlPr>
            </control>
          </mc:Choice>
        </mc:AlternateContent>
        <mc:AlternateContent xmlns:mc="http://schemas.openxmlformats.org/markup-compatibility/2006">
          <mc:Choice Requires="x14">
            <control shapeId="12300" r:id="rId4" name="Button 12">
              <controlPr defaultSize="0" print="0" autoFill="0" autoPict="0" macro="[0]!SS_Boss">
                <anchor moveWithCells="1" sizeWithCells="1">
                  <from>
                    <xdr:col>2</xdr:col>
                    <xdr:colOff>600075</xdr:colOff>
                    <xdr:row>21</xdr:row>
                    <xdr:rowOff>76200</xdr:rowOff>
                  </from>
                  <to>
                    <xdr:col>4</xdr:col>
                    <xdr:colOff>219075</xdr:colOff>
                    <xdr:row>23</xdr:row>
                    <xdr:rowOff>28575</xdr:rowOff>
                  </to>
                </anchor>
              </controlPr>
            </control>
          </mc:Choice>
        </mc:AlternateContent>
        <mc:AlternateContent xmlns:mc="http://schemas.openxmlformats.org/markup-compatibility/2006">
          <mc:Choice Requires="x14">
            <control shapeId="12304" r:id="rId5" name="Check Box 16">
              <controlPr defaultSize="0" autoFill="0" autoLine="0" autoPict="0">
                <anchor moveWithCells="1">
                  <from>
                    <xdr:col>10</xdr:col>
                    <xdr:colOff>561975</xdr:colOff>
                    <xdr:row>7</xdr:row>
                    <xdr:rowOff>28575</xdr:rowOff>
                  </from>
                  <to>
                    <xdr:col>12</xdr:col>
                    <xdr:colOff>76200</xdr:colOff>
                    <xdr:row>8</xdr:row>
                    <xdr:rowOff>38100</xdr:rowOff>
                  </to>
                </anchor>
              </controlPr>
            </control>
          </mc:Choice>
        </mc:AlternateContent>
        <mc:AlternateContent xmlns:mc="http://schemas.openxmlformats.org/markup-compatibility/2006">
          <mc:Choice Requires="x14">
            <control shapeId="12305" r:id="rId6" name="Check Box 17">
              <controlPr defaultSize="0" autoFill="0" autoLine="0" autoPict="0">
                <anchor moveWithCells="1">
                  <from>
                    <xdr:col>10</xdr:col>
                    <xdr:colOff>561975</xdr:colOff>
                    <xdr:row>8</xdr:row>
                    <xdr:rowOff>38100</xdr:rowOff>
                  </from>
                  <to>
                    <xdr:col>12</xdr:col>
                    <xdr:colOff>76200</xdr:colOff>
                    <xdr:row>9</xdr:row>
                    <xdr:rowOff>104775</xdr:rowOff>
                  </to>
                </anchor>
              </controlPr>
            </control>
          </mc:Choice>
        </mc:AlternateContent>
        <mc:AlternateContent xmlns:mc="http://schemas.openxmlformats.org/markup-compatibility/2006">
          <mc:Choice Requires="x14">
            <control shapeId="12306" r:id="rId7" name="Check Box 18">
              <controlPr defaultSize="0" autoFill="0" autoLine="0" autoPict="0">
                <anchor moveWithCells="1">
                  <from>
                    <xdr:col>10</xdr:col>
                    <xdr:colOff>561975</xdr:colOff>
                    <xdr:row>9</xdr:row>
                    <xdr:rowOff>104775</xdr:rowOff>
                  </from>
                  <to>
                    <xdr:col>12</xdr:col>
                    <xdr:colOff>76200</xdr:colOff>
                    <xdr:row>10</xdr:row>
                    <xdr:rowOff>114300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1:AE64"/>
  <sheetViews>
    <sheetView workbookViewId="0">
      <selection activeCell="C2" sqref="C2"/>
    </sheetView>
  </sheetViews>
  <sheetFormatPr defaultColWidth="9.140625" defaultRowHeight="12.75"/>
  <cols>
    <col min="1" max="1" width="5.140625" style="1" customWidth="1"/>
    <col min="2" max="2" width="21.42578125" style="1" customWidth="1"/>
    <col min="3" max="3" width="12.42578125" style="1" bestFit="1" customWidth="1"/>
    <col min="4" max="16384" width="9.140625" style="1"/>
  </cols>
  <sheetData>
    <row r="1" spans="2:31" ht="27" thickBot="1">
      <c r="B1" s="17" t="s">
        <v>70</v>
      </c>
      <c r="E1" s="9" t="s">
        <v>122</v>
      </c>
    </row>
    <row r="2" spans="2:31" ht="13.5" thickBot="1">
      <c r="B2" s="1" t="s">
        <v>1</v>
      </c>
      <c r="C2" s="2">
        <v>0.9</v>
      </c>
      <c r="D2" s="1" t="s">
        <v>21</v>
      </c>
    </row>
    <row r="3" spans="2:31" ht="16.5" thickBot="1">
      <c r="B3" s="1" t="s">
        <v>22</v>
      </c>
      <c r="C3" s="3">
        <v>1</v>
      </c>
      <c r="D3" s="1" t="s">
        <v>23</v>
      </c>
    </row>
    <row r="4" spans="2:31" ht="13.5" thickBot="1">
      <c r="B4" s="8" t="s">
        <v>59</v>
      </c>
      <c r="C4" s="13">
        <v>2.5000000000000001E-2</v>
      </c>
      <c r="D4" s="1" t="s">
        <v>65</v>
      </c>
    </row>
    <row r="5" spans="2:31" ht="13.5" thickBot="1">
      <c r="B5" s="8" t="s">
        <v>18</v>
      </c>
      <c r="C5" s="3">
        <v>50</v>
      </c>
      <c r="D5" s="1" t="s">
        <v>19</v>
      </c>
      <c r="U5" s="1" t="s">
        <v>56</v>
      </c>
    </row>
    <row r="6" spans="2:31" ht="16.5" thickBot="1">
      <c r="B6" s="1" t="s">
        <v>17</v>
      </c>
      <c r="C6" s="3">
        <v>10</v>
      </c>
      <c r="D6" s="1" t="s">
        <v>28</v>
      </c>
      <c r="U6" s="1">
        <v>2</v>
      </c>
    </row>
    <row r="7" spans="2:31" ht="16.5" thickBot="1">
      <c r="B7" s="12" t="s">
        <v>5</v>
      </c>
      <c r="C7" s="3">
        <v>0</v>
      </c>
      <c r="D7" s="1" t="s">
        <v>57</v>
      </c>
      <c r="AC7" s="48" t="s">
        <v>231</v>
      </c>
    </row>
    <row r="8" spans="2:31" ht="13.5" thickBot="1">
      <c r="B8" s="12" t="s">
        <v>118</v>
      </c>
      <c r="C8" s="11">
        <f>C6/C5</f>
        <v>0.2</v>
      </c>
    </row>
    <row r="10" spans="2:31" ht="13.5" thickBot="1">
      <c r="B10" s="8" t="s">
        <v>18</v>
      </c>
      <c r="C10" s="1">
        <f>C5</f>
        <v>50</v>
      </c>
      <c r="V10" s="44" t="s">
        <v>212</v>
      </c>
      <c r="W10" s="44" t="s">
        <v>210</v>
      </c>
      <c r="X10" s="44" t="s">
        <v>213</v>
      </c>
      <c r="Y10" s="44" t="s">
        <v>211</v>
      </c>
      <c r="AA10" s="44" t="s">
        <v>224</v>
      </c>
      <c r="AB10" s="44" t="s">
        <v>225</v>
      </c>
    </row>
    <row r="11" spans="2:31" ht="13.5" thickBot="1">
      <c r="B11" s="1" t="s">
        <v>16</v>
      </c>
      <c r="C11" s="7">
        <v>3</v>
      </c>
      <c r="U11" s="44" t="s">
        <v>206</v>
      </c>
      <c r="V11" s="30">
        <f>4*C5</f>
        <v>200</v>
      </c>
      <c r="W11" s="1">
        <f>$C$5</f>
        <v>50</v>
      </c>
      <c r="X11" s="1">
        <f>W11/SQRT(C20)</f>
        <v>28.867513459481291</v>
      </c>
      <c r="Y11" s="1">
        <f>TINV($C$4*2,$C$20-2)*X11</f>
        <v>366.79653624044829</v>
      </c>
      <c r="AA11" s="1">
        <f>V12+4*W12</f>
        <v>400</v>
      </c>
      <c r="AB11" s="1">
        <f>AA11/33</f>
        <v>12.121212121212121</v>
      </c>
    </row>
    <row r="12" spans="2:31" ht="13.5" thickBot="1">
      <c r="B12" s="1" t="s">
        <v>15</v>
      </c>
      <c r="C12" s="1">
        <f>C11*(C3+1)-2</f>
        <v>4</v>
      </c>
      <c r="U12" s="44" t="s">
        <v>207</v>
      </c>
      <c r="V12" s="30">
        <f>V11+C7</f>
        <v>200</v>
      </c>
      <c r="W12" s="1">
        <f>$C$5</f>
        <v>50</v>
      </c>
      <c r="X12" s="1">
        <f>W12/SQRT(C20)</f>
        <v>28.867513459481291</v>
      </c>
      <c r="Y12" s="1">
        <f>TINV($C$4*2,$C$20-2)*X12</f>
        <v>366.79653624044829</v>
      </c>
    </row>
    <row r="13" spans="2:31">
      <c r="B13" s="1" t="s">
        <v>27</v>
      </c>
      <c r="C13" s="1">
        <f>TINV(C4*2,C12)</f>
        <v>2.7764451051977934</v>
      </c>
      <c r="Y13" s="1" t="b">
        <v>1</v>
      </c>
      <c r="AC13" s="1" t="b">
        <v>0</v>
      </c>
    </row>
    <row r="14" spans="2:31">
      <c r="B14" s="1" t="s">
        <v>3</v>
      </c>
      <c r="C14" s="1">
        <f>(C7-C6)*SQRT(C3*C11)/SQRT((C3+1)*C10^2)</f>
        <v>-0.24494897427831777</v>
      </c>
      <c r="U14" s="44" t="s">
        <v>205</v>
      </c>
      <c r="V14" s="44" t="s">
        <v>208</v>
      </c>
      <c r="W14" s="44" t="s">
        <v>209</v>
      </c>
      <c r="Y14" s="9" t="s">
        <v>220</v>
      </c>
      <c r="AC14" s="9" t="s">
        <v>222</v>
      </c>
    </row>
    <row r="15" spans="2:31">
      <c r="B15" s="1" t="s">
        <v>4</v>
      </c>
      <c r="C15" s="1">
        <f>(C7+C6)*SQRT(C3*C11)/SQRT((C3+1)*C10^2)</f>
        <v>0.24494897427831777</v>
      </c>
      <c r="U15" s="1">
        <v>0</v>
      </c>
      <c r="V15" s="1">
        <f>_xlfn.NORM.DIST($U15,$V$11,$C$5,FALSE)</f>
        <v>2.6766045152977074E-6</v>
      </c>
      <c r="W15" s="1">
        <f>_xlfn.NORM.DIST($U15,$V$12,$C$5,FALSE)</f>
        <v>2.6766045152977074E-6</v>
      </c>
      <c r="Y15" s="44" t="s">
        <v>217</v>
      </c>
      <c r="Z15" s="44" t="s">
        <v>214</v>
      </c>
      <c r="AA15" s="44" t="s">
        <v>215</v>
      </c>
      <c r="AC15" s="44" t="s">
        <v>217</v>
      </c>
      <c r="AD15" s="44" t="s">
        <v>214</v>
      </c>
      <c r="AE15" s="44" t="s">
        <v>215</v>
      </c>
    </row>
    <row r="16" spans="2:31">
      <c r="B16" s="1" t="s">
        <v>7</v>
      </c>
      <c r="C16" s="1">
        <f>NCt(-C13,C12,C14)</f>
        <v>3.8724161191528772E-2</v>
      </c>
      <c r="U16" s="1">
        <f>U15+$AB$11</f>
        <v>12.121212121212121</v>
      </c>
      <c r="V16" s="1">
        <f t="shared" ref="V16:V47" si="0">_xlfn.NORM.DIST($U16,$V$11,$C$5,FALSE)</f>
        <v>6.8541974591718509E-6</v>
      </c>
      <c r="W16" s="1">
        <f t="shared" ref="W16:W47" si="1">_xlfn.NORM.DIST($U16,$V$12,$C$5,FALSE)</f>
        <v>6.8541974591718509E-6</v>
      </c>
      <c r="Y16" s="44" t="s">
        <v>216</v>
      </c>
      <c r="Z16" s="1">
        <f>$V$11-$W$11</f>
        <v>150</v>
      </c>
      <c r="AA16" s="1">
        <v>0</v>
      </c>
      <c r="AC16" s="44" t="s">
        <v>216</v>
      </c>
      <c r="AD16" s="1">
        <f>$V$11-$Y$11</f>
        <v>-166.79653624044829</v>
      </c>
      <c r="AE16" s="1">
        <v>0</v>
      </c>
    </row>
    <row r="17" spans="2:31">
      <c r="B17" s="1" t="s">
        <v>6</v>
      </c>
      <c r="C17" s="1">
        <f>NCt(C13,C12,C15)</f>
        <v>0.96127583880847123</v>
      </c>
      <c r="U17" s="1">
        <f t="shared" ref="U17:U47" si="2">U16+$AB$11</f>
        <v>24.242424242424242</v>
      </c>
      <c r="V17" s="1">
        <f t="shared" si="0"/>
        <v>1.6550295093638804E-5</v>
      </c>
      <c r="W17" s="1">
        <f t="shared" si="1"/>
        <v>1.6550295093638804E-5</v>
      </c>
      <c r="Y17" s="44" t="s">
        <v>218</v>
      </c>
      <c r="Z17" s="1">
        <f>Z16</f>
        <v>150</v>
      </c>
      <c r="AA17" s="1">
        <f>IF(Y13,MAX($V$15:$V$47),0)</f>
        <v>7.9204462678126551E-3</v>
      </c>
      <c r="AC17" s="44" t="s">
        <v>218</v>
      </c>
      <c r="AD17" s="1">
        <f>AD16</f>
        <v>-166.79653624044829</v>
      </c>
      <c r="AE17" s="1">
        <f>IF(AC13,MAX($V$15:$V$47),0)</f>
        <v>0</v>
      </c>
    </row>
    <row r="18" spans="2:31">
      <c r="B18" s="1" t="s">
        <v>58</v>
      </c>
      <c r="C18" s="1">
        <f>C16-C17</f>
        <v>-0.92255167761694246</v>
      </c>
      <c r="E18" s="5"/>
      <c r="U18" s="1">
        <f t="shared" si="2"/>
        <v>36.36363636363636</v>
      </c>
      <c r="V18" s="1">
        <f t="shared" si="0"/>
        <v>3.7681796203076303E-5</v>
      </c>
      <c r="W18" s="1">
        <f t="shared" si="1"/>
        <v>3.7681796203076303E-5</v>
      </c>
      <c r="Y18" s="44" t="s">
        <v>219</v>
      </c>
      <c r="Z18" s="44" t="s">
        <v>214</v>
      </c>
      <c r="AA18" s="44" t="s">
        <v>215</v>
      </c>
      <c r="AC18" s="44" t="s">
        <v>219</v>
      </c>
      <c r="AD18" s="44" t="s">
        <v>214</v>
      </c>
      <c r="AE18" s="44" t="s">
        <v>215</v>
      </c>
    </row>
    <row r="19" spans="2:31" ht="14.25">
      <c r="C19" s="16" t="s">
        <v>63</v>
      </c>
      <c r="D19" s="16" t="s">
        <v>64</v>
      </c>
      <c r="E19" s="16" t="s">
        <v>66</v>
      </c>
      <c r="U19" s="1">
        <f t="shared" si="2"/>
        <v>48.484848484848484</v>
      </c>
      <c r="V19" s="1">
        <f t="shared" si="0"/>
        <v>8.0897327717729644E-5</v>
      </c>
      <c r="W19" s="1">
        <f t="shared" si="1"/>
        <v>8.0897327717729644E-5</v>
      </c>
      <c r="Y19" s="44" t="s">
        <v>216</v>
      </c>
      <c r="Z19" s="1">
        <f>$V$11+$W$11</f>
        <v>250</v>
      </c>
      <c r="AA19" s="1">
        <v>0</v>
      </c>
      <c r="AC19" s="44" t="s">
        <v>216</v>
      </c>
      <c r="AD19" s="1">
        <f>$V$11+$Y$11</f>
        <v>566.79653624044829</v>
      </c>
      <c r="AE19" s="1">
        <v>0</v>
      </c>
    </row>
    <row r="20" spans="2:31">
      <c r="B20" s="1" t="s">
        <v>11</v>
      </c>
      <c r="C20" s="1">
        <f>CEILING(C11,1)</f>
        <v>3</v>
      </c>
      <c r="D20" s="1">
        <f>C20*C3</f>
        <v>3</v>
      </c>
      <c r="E20" s="1">
        <f>C20+D20</f>
        <v>6</v>
      </c>
      <c r="U20" s="1">
        <f t="shared" si="2"/>
        <v>60.606060606060609</v>
      </c>
      <c r="V20" s="1">
        <f t="shared" si="0"/>
        <v>1.6376213053574513E-4</v>
      </c>
      <c r="W20" s="1">
        <f t="shared" si="1"/>
        <v>1.6376213053574513E-4</v>
      </c>
      <c r="Y20" s="44" t="s">
        <v>218</v>
      </c>
      <c r="Z20" s="1">
        <f>Z19</f>
        <v>250</v>
      </c>
      <c r="AA20" s="1">
        <f>AA17</f>
        <v>7.9204462678126551E-3</v>
      </c>
      <c r="AC20" s="44" t="s">
        <v>218</v>
      </c>
      <c r="AD20" s="1">
        <f>AD19</f>
        <v>566.79653624044829</v>
      </c>
      <c r="AE20" s="1">
        <f>AE17</f>
        <v>0</v>
      </c>
    </row>
    <row r="21" spans="2:31">
      <c r="U21" s="1">
        <f t="shared" si="2"/>
        <v>72.727272727272734</v>
      </c>
      <c r="V21" s="1">
        <f t="shared" si="0"/>
        <v>3.1258598953711218E-4</v>
      </c>
      <c r="W21" s="1">
        <f t="shared" si="1"/>
        <v>3.1258598953711218E-4</v>
      </c>
    </row>
    <row r="22" spans="2:31">
      <c r="U22" s="1">
        <f t="shared" si="2"/>
        <v>84.848484848484858</v>
      </c>
      <c r="V22" s="1">
        <f t="shared" si="0"/>
        <v>5.6260328274556932E-4</v>
      </c>
      <c r="W22" s="1">
        <f t="shared" si="1"/>
        <v>5.6260328274556932E-4</v>
      </c>
      <c r="Y22" s="9" t="s">
        <v>221</v>
      </c>
      <c r="AC22" s="9" t="s">
        <v>223</v>
      </c>
    </row>
    <row r="23" spans="2:31">
      <c r="U23" s="1">
        <f t="shared" si="2"/>
        <v>96.969696969696983</v>
      </c>
      <c r="V23" s="1">
        <f t="shared" si="0"/>
        <v>9.5479852613707073E-4</v>
      </c>
      <c r="W23" s="1">
        <f t="shared" si="1"/>
        <v>9.5479852613707073E-4</v>
      </c>
      <c r="Y23" s="44" t="s">
        <v>217</v>
      </c>
      <c r="Z23" s="44" t="s">
        <v>214</v>
      </c>
      <c r="AA23" s="44" t="s">
        <v>215</v>
      </c>
      <c r="AC23" s="44" t="s">
        <v>217</v>
      </c>
      <c r="AD23" s="44" t="s">
        <v>214</v>
      </c>
      <c r="AE23" s="44" t="s">
        <v>215</v>
      </c>
    </row>
    <row r="24" spans="2:31">
      <c r="U24" s="1">
        <f t="shared" si="2"/>
        <v>109.09090909090911</v>
      </c>
      <c r="V24" s="1">
        <f t="shared" si="0"/>
        <v>1.5279105957013359E-3</v>
      </c>
      <c r="W24" s="1">
        <f t="shared" si="1"/>
        <v>1.5279105957013359E-3</v>
      </c>
      <c r="Y24" s="44" t="s">
        <v>216</v>
      </c>
      <c r="Z24" s="1">
        <f>$V$12-$W$12</f>
        <v>150</v>
      </c>
      <c r="AA24" s="1">
        <v>0</v>
      </c>
      <c r="AC24" s="44" t="s">
        <v>216</v>
      </c>
      <c r="AD24" s="1">
        <f>$V$12-$Y$12</f>
        <v>-166.79653624044829</v>
      </c>
      <c r="AE24" s="1">
        <v>0</v>
      </c>
    </row>
    <row r="25" spans="2:31">
      <c r="U25" s="1">
        <f t="shared" si="2"/>
        <v>121.21212121212123</v>
      </c>
      <c r="V25" s="1">
        <f t="shared" si="0"/>
        <v>2.3054774036885169E-3</v>
      </c>
      <c r="W25" s="1">
        <f t="shared" si="1"/>
        <v>2.3054774036885169E-3</v>
      </c>
      <c r="Y25" s="44" t="s">
        <v>218</v>
      </c>
      <c r="Z25" s="1">
        <f>Z24</f>
        <v>150</v>
      </c>
      <c r="AA25" s="1">
        <f>IF(Y13,MAX($W$15:$W$47),0)</f>
        <v>7.9204462678126551E-3</v>
      </c>
      <c r="AC25" s="44" t="s">
        <v>218</v>
      </c>
      <c r="AD25" s="1">
        <f>AD24</f>
        <v>-166.79653624044829</v>
      </c>
      <c r="AE25" s="1">
        <f>IF(AC13,MAX($W$15:$W$47),0)</f>
        <v>0</v>
      </c>
    </row>
    <row r="26" spans="2:31">
      <c r="U26" s="1">
        <f t="shared" si="2"/>
        <v>133.33333333333334</v>
      </c>
      <c r="V26" s="1">
        <f t="shared" si="0"/>
        <v>3.2802014935198738E-3</v>
      </c>
      <c r="W26" s="1">
        <f t="shared" si="1"/>
        <v>3.2802014935198738E-3</v>
      </c>
      <c r="Y26" s="44" t="s">
        <v>219</v>
      </c>
      <c r="Z26" s="44" t="s">
        <v>214</v>
      </c>
      <c r="AA26" s="44" t="s">
        <v>215</v>
      </c>
      <c r="AC26" s="44" t="s">
        <v>219</v>
      </c>
      <c r="AD26" s="44" t="s">
        <v>214</v>
      </c>
      <c r="AE26" s="44" t="s">
        <v>215</v>
      </c>
    </row>
    <row r="27" spans="2:31" ht="20.25" customHeight="1">
      <c r="U27" s="1">
        <f t="shared" si="2"/>
        <v>145.45454545454547</v>
      </c>
      <c r="V27" s="1">
        <f t="shared" si="0"/>
        <v>4.4006507073998157E-3</v>
      </c>
      <c r="W27" s="1">
        <f t="shared" si="1"/>
        <v>4.4006507073998157E-3</v>
      </c>
      <c r="Y27" s="44" t="s">
        <v>216</v>
      </c>
      <c r="Z27" s="1">
        <f>$V$12+$W$12</f>
        <v>250</v>
      </c>
      <c r="AA27" s="1">
        <v>0</v>
      </c>
      <c r="AC27" s="44" t="s">
        <v>216</v>
      </c>
      <c r="AD27" s="1">
        <f>$V$12+$Y$12</f>
        <v>566.79653624044829</v>
      </c>
      <c r="AE27" s="1">
        <v>0</v>
      </c>
    </row>
    <row r="28" spans="2:31" ht="20.25" customHeight="1">
      <c r="U28" s="1">
        <f t="shared" si="2"/>
        <v>157.57575757575759</v>
      </c>
      <c r="V28" s="1">
        <f t="shared" si="0"/>
        <v>5.5668561622342575E-3</v>
      </c>
      <c r="W28" s="1">
        <f t="shared" si="1"/>
        <v>5.5668561622342575E-3</v>
      </c>
      <c r="Y28" s="44" t="s">
        <v>218</v>
      </c>
      <c r="Z28" s="1">
        <f>Z27</f>
        <v>250</v>
      </c>
      <c r="AA28" s="1">
        <f>AA25</f>
        <v>7.9204462678126551E-3</v>
      </c>
      <c r="AC28" s="44" t="s">
        <v>218</v>
      </c>
      <c r="AD28" s="1">
        <f>AD27</f>
        <v>566.79653624044829</v>
      </c>
      <c r="AE28" s="1">
        <f>AE25</f>
        <v>0</v>
      </c>
    </row>
    <row r="29" spans="2:31" ht="20.25" customHeight="1">
      <c r="U29" s="1">
        <f t="shared" si="2"/>
        <v>169.69696969696972</v>
      </c>
      <c r="V29" s="1">
        <f t="shared" si="0"/>
        <v>6.6401795995001695E-3</v>
      </c>
      <c r="W29" s="1">
        <f t="shared" si="1"/>
        <v>6.6401795995001695E-3</v>
      </c>
      <c r="Y29" s="1" t="b">
        <v>1</v>
      </c>
    </row>
    <row r="30" spans="2:31" ht="20.25" customHeight="1">
      <c r="U30" s="1">
        <f t="shared" si="2"/>
        <v>181.81818181818184</v>
      </c>
      <c r="V30" s="1">
        <f t="shared" si="0"/>
        <v>7.4683794750795788E-3</v>
      </c>
      <c r="W30" s="1">
        <f t="shared" si="1"/>
        <v>7.4683794750795788E-3</v>
      </c>
      <c r="Y30" s="9" t="s">
        <v>226</v>
      </c>
      <c r="AC30" s="47"/>
    </row>
    <row r="31" spans="2:31" ht="20.25" customHeight="1">
      <c r="U31" s="1">
        <f t="shared" si="2"/>
        <v>193.93939393939397</v>
      </c>
      <c r="V31" s="1">
        <f t="shared" si="0"/>
        <v>7.9204462678126551E-3</v>
      </c>
      <c r="W31" s="1">
        <f t="shared" si="1"/>
        <v>7.9204462678126551E-3</v>
      </c>
      <c r="Y31" s="44" t="s">
        <v>217</v>
      </c>
      <c r="Z31" s="44" t="s">
        <v>214</v>
      </c>
      <c r="AA31" s="44" t="s">
        <v>215</v>
      </c>
      <c r="AC31" s="44"/>
      <c r="AD31" s="44"/>
      <c r="AE31" s="44"/>
    </row>
    <row r="32" spans="2:31" ht="20.25" customHeight="1">
      <c r="U32" s="1">
        <f t="shared" si="2"/>
        <v>206.06060606060609</v>
      </c>
      <c r="V32" s="1">
        <f t="shared" si="0"/>
        <v>7.9204462678126551E-3</v>
      </c>
      <c r="W32" s="1">
        <f t="shared" si="1"/>
        <v>7.9204462678126551E-3</v>
      </c>
      <c r="Y32" s="44" t="s">
        <v>216</v>
      </c>
      <c r="Z32" s="1">
        <f>AVERAGE($V$11,$V$12)-($C$6/2)</f>
        <v>195</v>
      </c>
      <c r="AA32" s="1">
        <v>0</v>
      </c>
      <c r="AC32" s="44"/>
    </row>
    <row r="33" spans="2:31" ht="20.25" customHeight="1">
      <c r="U33" s="1">
        <f t="shared" si="2"/>
        <v>218.18181818181822</v>
      </c>
      <c r="V33" s="1">
        <f t="shared" si="0"/>
        <v>7.4683794750795745E-3</v>
      </c>
      <c r="W33" s="1">
        <f t="shared" si="1"/>
        <v>7.4683794750795745E-3</v>
      </c>
      <c r="Y33" s="44" t="s">
        <v>218</v>
      </c>
      <c r="Z33" s="1">
        <f>Z32</f>
        <v>195</v>
      </c>
      <c r="AA33" s="1">
        <f>IF($Y$29,MAX($V$15:$W$47),0)</f>
        <v>7.9204462678126551E-3</v>
      </c>
      <c r="AC33" s="44"/>
    </row>
    <row r="34" spans="2:31" ht="20.25" customHeight="1">
      <c r="U34" s="1">
        <f t="shared" si="2"/>
        <v>230.30303030303034</v>
      </c>
      <c r="V34" s="1">
        <f t="shared" si="0"/>
        <v>6.6401795995001634E-3</v>
      </c>
      <c r="W34" s="1">
        <f t="shared" si="1"/>
        <v>6.6401795995001634E-3</v>
      </c>
      <c r="Y34" s="44" t="s">
        <v>219</v>
      </c>
      <c r="Z34" s="44" t="s">
        <v>214</v>
      </c>
      <c r="AA34" s="44" t="s">
        <v>215</v>
      </c>
      <c r="AC34" s="44"/>
      <c r="AD34" s="44"/>
      <c r="AE34" s="44"/>
    </row>
    <row r="35" spans="2:31" ht="20.25" customHeight="1">
      <c r="U35" s="1">
        <f t="shared" si="2"/>
        <v>242.42424242424246</v>
      </c>
      <c r="V35" s="1">
        <f t="shared" si="0"/>
        <v>5.5668561622342523E-3</v>
      </c>
      <c r="W35" s="1">
        <f t="shared" si="1"/>
        <v>5.5668561622342523E-3</v>
      </c>
      <c r="Y35" s="44" t="s">
        <v>216</v>
      </c>
      <c r="Z35" s="1">
        <f>AVERAGE($V$11,$V$12)+($C$6/2)</f>
        <v>205</v>
      </c>
      <c r="AA35" s="1">
        <v>0</v>
      </c>
      <c r="AC35" s="44"/>
    </row>
    <row r="36" spans="2:31" ht="20.25" customHeight="1">
      <c r="U36" s="1">
        <f t="shared" si="2"/>
        <v>254.54545454545459</v>
      </c>
      <c r="V36" s="1">
        <f t="shared" si="0"/>
        <v>4.4006507073998096E-3</v>
      </c>
      <c r="W36" s="1">
        <f t="shared" si="1"/>
        <v>4.4006507073998096E-3</v>
      </c>
      <c r="Y36" s="44" t="s">
        <v>218</v>
      </c>
      <c r="Z36" s="1">
        <f>Z35</f>
        <v>205</v>
      </c>
      <c r="AA36" s="1">
        <f>AA33</f>
        <v>7.9204462678126551E-3</v>
      </c>
      <c r="AC36" s="44"/>
    </row>
    <row r="37" spans="2:31" ht="20.25" customHeight="1">
      <c r="U37" s="1">
        <f t="shared" si="2"/>
        <v>266.66666666666669</v>
      </c>
      <c r="V37" s="1">
        <f t="shared" si="0"/>
        <v>3.2802014935198712E-3</v>
      </c>
      <c r="W37" s="1">
        <f t="shared" si="1"/>
        <v>3.2802014935198712E-3</v>
      </c>
    </row>
    <row r="38" spans="2:31">
      <c r="U38" s="1">
        <f t="shared" si="2"/>
        <v>278.78787878787881</v>
      </c>
      <c r="V38" s="1">
        <f t="shared" si="0"/>
        <v>2.3054774036885138E-3</v>
      </c>
      <c r="W38" s="1">
        <f t="shared" si="1"/>
        <v>2.3054774036885138E-3</v>
      </c>
    </row>
    <row r="39" spans="2:31">
      <c r="U39" s="1">
        <f t="shared" si="2"/>
        <v>290.90909090909093</v>
      </c>
      <c r="V39" s="1">
        <f t="shared" si="0"/>
        <v>1.527910595701333E-3</v>
      </c>
      <c r="W39" s="1">
        <f t="shared" si="1"/>
        <v>1.527910595701333E-3</v>
      </c>
    </row>
    <row r="40" spans="2:31">
      <c r="U40" s="1">
        <f t="shared" si="2"/>
        <v>303.03030303030306</v>
      </c>
      <c r="V40" s="1">
        <f t="shared" si="0"/>
        <v>9.5479852613706987E-4</v>
      </c>
      <c r="W40" s="1">
        <f t="shared" si="1"/>
        <v>9.5479852613706987E-4</v>
      </c>
    </row>
    <row r="41" spans="2:31">
      <c r="U41" s="1">
        <f t="shared" si="2"/>
        <v>315.15151515151518</v>
      </c>
      <c r="V41" s="1">
        <f t="shared" si="0"/>
        <v>5.6260328274556834E-4</v>
      </c>
      <c r="W41" s="1">
        <f t="shared" si="1"/>
        <v>5.6260328274556834E-4</v>
      </c>
    </row>
    <row r="42" spans="2:31">
      <c r="U42" s="1">
        <f t="shared" si="2"/>
        <v>327.27272727272731</v>
      </c>
      <c r="V42" s="1">
        <f t="shared" si="0"/>
        <v>3.1258598953711153E-4</v>
      </c>
      <c r="W42" s="1">
        <f t="shared" si="1"/>
        <v>3.1258598953711153E-4</v>
      </c>
    </row>
    <row r="43" spans="2:31" ht="18">
      <c r="B43" s="28" t="s">
        <v>123</v>
      </c>
      <c r="U43" s="1">
        <f t="shared" si="2"/>
        <v>339.39393939393943</v>
      </c>
      <c r="V43" s="1">
        <f t="shared" si="0"/>
        <v>1.637621305357447E-4</v>
      </c>
      <c r="W43" s="1">
        <f t="shared" si="1"/>
        <v>1.637621305357447E-4</v>
      </c>
    </row>
    <row r="44" spans="2:31">
      <c r="U44" s="1">
        <f t="shared" si="2"/>
        <v>351.51515151515156</v>
      </c>
      <c r="V44" s="1">
        <f t="shared" si="0"/>
        <v>8.0897327717729345E-5</v>
      </c>
      <c r="W44" s="1">
        <f t="shared" si="1"/>
        <v>8.0897327717729345E-5</v>
      </c>
    </row>
    <row r="45" spans="2:31">
      <c r="U45" s="1">
        <f t="shared" si="2"/>
        <v>363.63636363636368</v>
      </c>
      <c r="V45" s="1">
        <f t="shared" si="0"/>
        <v>3.768179620307614E-5</v>
      </c>
      <c r="W45" s="1">
        <f t="shared" si="1"/>
        <v>3.768179620307614E-5</v>
      </c>
    </row>
    <row r="46" spans="2:31">
      <c r="U46" s="1">
        <f t="shared" si="2"/>
        <v>375.75757575757581</v>
      </c>
      <c r="V46" s="1">
        <f t="shared" si="0"/>
        <v>1.6550295093638746E-5</v>
      </c>
      <c r="W46" s="1">
        <f t="shared" si="1"/>
        <v>1.6550295093638746E-5</v>
      </c>
    </row>
    <row r="47" spans="2:31">
      <c r="U47" s="1">
        <f t="shared" si="2"/>
        <v>387.87878787878793</v>
      </c>
      <c r="V47" s="1">
        <f t="shared" si="0"/>
        <v>6.8541974591718144E-6</v>
      </c>
      <c r="W47" s="1">
        <f t="shared" si="1"/>
        <v>6.8541974591718144E-6</v>
      </c>
    </row>
    <row r="60" spans="2:7">
      <c r="G60" s="6"/>
    </row>
    <row r="61" spans="2:7">
      <c r="G61" s="6"/>
    </row>
    <row r="62" spans="2:7">
      <c r="G62" s="6"/>
    </row>
    <row r="63" spans="2:7">
      <c r="G63" s="6"/>
    </row>
    <row r="64" spans="2:7">
      <c r="B64" s="9" t="s">
        <v>125</v>
      </c>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Fill="0" autoPict="0" macro="[0]!SS_Probt">
                <anchor moveWithCells="1" sizeWithCells="1">
                  <from>
                    <xdr:col>1</xdr:col>
                    <xdr:colOff>104775</xdr:colOff>
                    <xdr:row>21</xdr:row>
                    <xdr:rowOff>76200</xdr:rowOff>
                  </from>
                  <to>
                    <xdr:col>2</xdr:col>
                    <xdr:colOff>533400</xdr:colOff>
                    <xdr:row>23</xdr:row>
                    <xdr:rowOff>28575</xdr:rowOff>
                  </to>
                </anchor>
              </controlPr>
            </control>
          </mc:Choice>
        </mc:AlternateContent>
        <mc:AlternateContent xmlns:mc="http://schemas.openxmlformats.org/markup-compatibility/2006">
          <mc:Choice Requires="x14">
            <control shapeId="15370" r:id="rId4" name="Button 10">
              <controlPr defaultSize="0" print="0" autoFill="0" autoPict="0" macro="[0]!SS_Boss">
                <anchor moveWithCells="1" sizeWithCells="1">
                  <from>
                    <xdr:col>2</xdr:col>
                    <xdr:colOff>609600</xdr:colOff>
                    <xdr:row>21</xdr:row>
                    <xdr:rowOff>76200</xdr:rowOff>
                  </from>
                  <to>
                    <xdr:col>4</xdr:col>
                    <xdr:colOff>0</xdr:colOff>
                    <xdr:row>23</xdr:row>
                    <xdr:rowOff>28575</xdr:rowOff>
                  </to>
                </anchor>
              </controlPr>
            </control>
          </mc:Choice>
        </mc:AlternateContent>
        <mc:AlternateContent xmlns:mc="http://schemas.openxmlformats.org/markup-compatibility/2006">
          <mc:Choice Requires="x14">
            <control shapeId="15376" r:id="rId5" name="Check Box 16">
              <controlPr defaultSize="0" autoFill="0" autoLine="0" autoPict="0">
                <anchor moveWithCells="1">
                  <from>
                    <xdr:col>11</xdr:col>
                    <xdr:colOff>333375</xdr:colOff>
                    <xdr:row>8</xdr:row>
                    <xdr:rowOff>114300</xdr:rowOff>
                  </from>
                  <to>
                    <xdr:col>12</xdr:col>
                    <xdr:colOff>485775</xdr:colOff>
                    <xdr:row>9</xdr:row>
                    <xdr:rowOff>180975</xdr:rowOff>
                  </to>
                </anchor>
              </controlPr>
            </control>
          </mc:Choice>
        </mc:AlternateContent>
        <mc:AlternateContent xmlns:mc="http://schemas.openxmlformats.org/markup-compatibility/2006">
          <mc:Choice Requires="x14">
            <control shapeId="15377" r:id="rId6" name="Check Box 17">
              <controlPr defaultSize="0" autoFill="0" autoLine="0" autoPict="0">
                <anchor moveWithCells="1">
                  <from>
                    <xdr:col>11</xdr:col>
                    <xdr:colOff>333375</xdr:colOff>
                    <xdr:row>9</xdr:row>
                    <xdr:rowOff>180975</xdr:rowOff>
                  </from>
                  <to>
                    <xdr:col>12</xdr:col>
                    <xdr:colOff>485775</xdr:colOff>
                    <xdr:row>11</xdr:row>
                    <xdr:rowOff>28575</xdr:rowOff>
                  </to>
                </anchor>
              </controlPr>
            </control>
          </mc:Choice>
        </mc:AlternateContent>
        <mc:AlternateContent xmlns:mc="http://schemas.openxmlformats.org/markup-compatibility/2006">
          <mc:Choice Requires="x14">
            <control shapeId="15378" r:id="rId7" name="Check Box 18">
              <controlPr defaultSize="0" autoFill="0" autoLine="0" autoPict="0">
                <anchor moveWithCells="1">
                  <from>
                    <xdr:col>11</xdr:col>
                    <xdr:colOff>333375</xdr:colOff>
                    <xdr:row>11</xdr:row>
                    <xdr:rowOff>28575</xdr:rowOff>
                  </from>
                  <to>
                    <xdr:col>12</xdr:col>
                    <xdr:colOff>485775</xdr:colOff>
                    <xdr:row>12</xdr:row>
                    <xdr:rowOff>66675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B1:AE67"/>
  <sheetViews>
    <sheetView workbookViewId="0">
      <selection activeCell="C2" sqref="C2"/>
    </sheetView>
  </sheetViews>
  <sheetFormatPr defaultColWidth="9.140625" defaultRowHeight="12.75"/>
  <cols>
    <col min="1" max="1" width="5.140625" style="1" customWidth="1"/>
    <col min="2" max="2" width="21.42578125" style="1" customWidth="1"/>
    <col min="3" max="3" width="12.42578125" style="1" bestFit="1" customWidth="1"/>
    <col min="4" max="16384" width="9.140625" style="1"/>
  </cols>
  <sheetData>
    <row r="1" spans="2:31" ht="27" thickBot="1">
      <c r="B1" s="17" t="s">
        <v>71</v>
      </c>
      <c r="F1" s="9" t="s">
        <v>122</v>
      </c>
    </row>
    <row r="2" spans="2:31" ht="13.5" thickBot="1">
      <c r="B2" s="1" t="s">
        <v>1</v>
      </c>
      <c r="C2" s="2">
        <v>0.9</v>
      </c>
      <c r="D2" s="1" t="s">
        <v>21</v>
      </c>
    </row>
    <row r="3" spans="2:31" ht="13.5" thickBot="1">
      <c r="C3" s="10"/>
    </row>
    <row r="4" spans="2:31" ht="13.5" thickBot="1">
      <c r="B4" s="8" t="s">
        <v>59</v>
      </c>
      <c r="C4" s="13">
        <v>2.5000000000000001E-2</v>
      </c>
      <c r="D4" s="1" t="s">
        <v>65</v>
      </c>
    </row>
    <row r="5" spans="2:31" ht="16.5" thickBot="1">
      <c r="B5" s="8" t="s">
        <v>26</v>
      </c>
      <c r="C5" s="3">
        <v>20</v>
      </c>
      <c r="D5" s="1" t="s">
        <v>30</v>
      </c>
      <c r="U5" s="1" t="s">
        <v>56</v>
      </c>
    </row>
    <row r="6" spans="2:31" ht="16.5" thickBot="1">
      <c r="B6" s="1" t="s">
        <v>17</v>
      </c>
      <c r="C6" s="3">
        <v>10</v>
      </c>
      <c r="D6" s="1" t="s">
        <v>28</v>
      </c>
      <c r="U6" s="1">
        <v>1</v>
      </c>
    </row>
    <row r="7" spans="2:31" ht="16.5" thickBot="1">
      <c r="B7" s="12" t="s">
        <v>5</v>
      </c>
      <c r="C7" s="3">
        <v>2</v>
      </c>
      <c r="D7" s="1" t="s">
        <v>57</v>
      </c>
      <c r="I7" s="9" t="str">
        <f>IF(C7&gt;=C6,"WARNING: Expected mean difference higher than maximum allowable difference.","")</f>
        <v/>
      </c>
    </row>
    <row r="8" spans="2:31" ht="16.5" thickBot="1">
      <c r="B8" s="12" t="s">
        <v>119</v>
      </c>
      <c r="C8" s="11">
        <f>C6/C10</f>
        <v>0.5</v>
      </c>
    </row>
    <row r="10" spans="2:31" ht="16.5" thickBot="1">
      <c r="B10" s="8" t="s">
        <v>26</v>
      </c>
      <c r="C10" s="1">
        <f>C5</f>
        <v>20</v>
      </c>
      <c r="V10" s="44" t="s">
        <v>212</v>
      </c>
      <c r="W10" s="44" t="s">
        <v>210</v>
      </c>
      <c r="X10" s="44" t="s">
        <v>213</v>
      </c>
      <c r="Y10" s="44" t="s">
        <v>211</v>
      </c>
      <c r="AA10" s="44" t="s">
        <v>224</v>
      </c>
      <c r="AB10" s="44" t="s">
        <v>225</v>
      </c>
    </row>
    <row r="11" spans="2:31" ht="13.5" thickBot="1">
      <c r="B11" s="1" t="s">
        <v>0</v>
      </c>
      <c r="C11" s="7">
        <v>3</v>
      </c>
      <c r="U11" s="44" t="s">
        <v>206</v>
      </c>
      <c r="V11" s="30">
        <f>4*C5</f>
        <v>80</v>
      </c>
      <c r="W11" s="1">
        <f>$C$5</f>
        <v>20</v>
      </c>
      <c r="X11" s="1">
        <f>W11/SQRT(C20)</f>
        <v>11.547005383792516</v>
      </c>
      <c r="Y11" s="1">
        <f>TINV($C$4*2,$C$20-2)*X11</f>
        <v>146.7186144961793</v>
      </c>
      <c r="AA11" s="1">
        <f>V12+4*W12</f>
        <v>162</v>
      </c>
      <c r="AB11" s="1">
        <f>AA11/33</f>
        <v>4.9090909090909092</v>
      </c>
    </row>
    <row r="12" spans="2:31" ht="13.5" thickBot="1">
      <c r="B12" s="1" t="s">
        <v>2</v>
      </c>
      <c r="C12" s="1">
        <f>C11-2</f>
        <v>1</v>
      </c>
      <c r="U12" s="44" t="s">
        <v>207</v>
      </c>
      <c r="V12" s="30">
        <f>V11+C7</f>
        <v>82</v>
      </c>
      <c r="W12" s="1">
        <f>$C$5</f>
        <v>20</v>
      </c>
      <c r="X12" s="1">
        <f>W12/SQRT(C20)</f>
        <v>11.547005383792516</v>
      </c>
      <c r="Y12" s="1">
        <f>TINV($C$4*2,$C$20-2)*X12</f>
        <v>146.7186144961793</v>
      </c>
    </row>
    <row r="13" spans="2:31">
      <c r="B13" s="1" t="s">
        <v>8</v>
      </c>
      <c r="C13" s="1">
        <f>TINV(C4*2,C12)</f>
        <v>12.706204736174707</v>
      </c>
      <c r="Y13" s="1" t="b">
        <v>1</v>
      </c>
      <c r="AC13" s="1" t="b">
        <v>0</v>
      </c>
    </row>
    <row r="14" spans="2:31">
      <c r="B14" s="1" t="s">
        <v>3</v>
      </c>
      <c r="C14" s="1">
        <f>(C7-C6)*SQRT(C11)/SQRT(2*C10^2)</f>
        <v>-0.4898979485566356</v>
      </c>
      <c r="U14" s="44" t="s">
        <v>205</v>
      </c>
      <c r="V14" s="44" t="s">
        <v>208</v>
      </c>
      <c r="W14" s="44" t="s">
        <v>209</v>
      </c>
      <c r="Y14" s="9" t="s">
        <v>220</v>
      </c>
      <c r="AC14" s="9" t="s">
        <v>222</v>
      </c>
    </row>
    <row r="15" spans="2:31">
      <c r="B15" s="1" t="s">
        <v>4</v>
      </c>
      <c r="C15" s="1">
        <f>(C7+C6)*SQRT(C11)/SQRT(2*C10^2)</f>
        <v>0.73484692283495345</v>
      </c>
      <c r="U15" s="1">
        <v>0</v>
      </c>
      <c r="V15" s="1">
        <f>_xlfn.NORM.DIST($U15,$V$11,$C$5,FALSE)</f>
        <v>6.6915112882442679E-6</v>
      </c>
      <c r="W15" s="1">
        <f>_xlfn.NORM.DIST($U15,$V$12,$C$5,FALSE)</f>
        <v>4.4630828588566459E-6</v>
      </c>
      <c r="Y15" s="44" t="s">
        <v>217</v>
      </c>
      <c r="Z15" s="44" t="s">
        <v>214</v>
      </c>
      <c r="AA15" s="44" t="s">
        <v>215</v>
      </c>
      <c r="AC15" s="44" t="s">
        <v>217</v>
      </c>
      <c r="AD15" s="44" t="s">
        <v>214</v>
      </c>
      <c r="AE15" s="44" t="s">
        <v>215</v>
      </c>
    </row>
    <row r="16" spans="2:31">
      <c r="B16" s="1" t="s">
        <v>7</v>
      </c>
      <c r="C16" s="1">
        <f>NCt(-C13,C12,C14)</f>
        <v>4.3258955807578325E-2</v>
      </c>
      <c r="U16" s="1">
        <f>U15+$AB$11</f>
        <v>4.9090909090909092</v>
      </c>
      <c r="V16" s="1">
        <f t="shared" ref="V16:V47" si="0">_xlfn.NORM.DIST($U16,$V$11,$C$5,FALSE)</f>
        <v>1.7331644042574684E-5</v>
      </c>
      <c r="W16" s="1">
        <f t="shared" ref="W16:W47" si="1">_xlfn.NORM.DIST($U16,$V$12,$C$5,FALSE)</f>
        <v>1.1847056269290205E-5</v>
      </c>
      <c r="Y16" s="44" t="s">
        <v>216</v>
      </c>
      <c r="Z16" s="1">
        <f>$V$11-$W$11</f>
        <v>60</v>
      </c>
      <c r="AA16" s="1">
        <v>0</v>
      </c>
      <c r="AC16" s="44" t="s">
        <v>216</v>
      </c>
      <c r="AD16" s="1">
        <f>$V$11-$Y$11</f>
        <v>-66.718614496179299</v>
      </c>
      <c r="AE16" s="1">
        <v>0</v>
      </c>
    </row>
    <row r="17" spans="2:31">
      <c r="B17" s="1" t="s">
        <v>6</v>
      </c>
      <c r="C17" s="1">
        <f>NCt(C13,C12,C15)</f>
        <v>0.9455797911116457</v>
      </c>
      <c r="U17" s="1">
        <f t="shared" ref="U17:U47" si="2">U16+$AB$11</f>
        <v>9.8181818181818183</v>
      </c>
      <c r="V17" s="1">
        <f t="shared" si="0"/>
        <v>4.226588447591253E-5</v>
      </c>
      <c r="W17" s="1">
        <f t="shared" si="1"/>
        <v>2.9608786430913624E-5</v>
      </c>
      <c r="Y17" s="44" t="s">
        <v>218</v>
      </c>
      <c r="Z17" s="1">
        <f>Z16</f>
        <v>60</v>
      </c>
      <c r="AA17" s="1">
        <f>IF(Y13,MAX($V$15:$V$47),0)</f>
        <v>1.9894431016018829E-2</v>
      </c>
      <c r="AC17" s="44" t="s">
        <v>218</v>
      </c>
      <c r="AD17" s="1">
        <f>AD16</f>
        <v>-66.718614496179299</v>
      </c>
      <c r="AE17" s="1">
        <f>IF(AC13,MAX($V$15:$V$47),0)</f>
        <v>0</v>
      </c>
    </row>
    <row r="18" spans="2:31">
      <c r="B18" s="1" t="s">
        <v>58</v>
      </c>
      <c r="C18" s="1">
        <f>C16-C17</f>
        <v>-0.90232083530406737</v>
      </c>
      <c r="E18" s="5"/>
      <c r="U18" s="1">
        <f t="shared" si="2"/>
        <v>14.727272727272727</v>
      </c>
      <c r="V18" s="1">
        <f t="shared" si="0"/>
        <v>9.7045369327588643E-5</v>
      </c>
      <c r="W18" s="1">
        <f t="shared" si="1"/>
        <v>6.9673145586173971E-5</v>
      </c>
      <c r="Y18" s="44" t="s">
        <v>219</v>
      </c>
      <c r="Z18" s="44" t="s">
        <v>214</v>
      </c>
      <c r="AA18" s="44" t="s">
        <v>215</v>
      </c>
      <c r="AC18" s="44" t="s">
        <v>219</v>
      </c>
      <c r="AD18" s="44" t="s">
        <v>214</v>
      </c>
      <c r="AE18" s="44" t="s">
        <v>215</v>
      </c>
    </row>
    <row r="19" spans="2:31">
      <c r="C19" s="9"/>
      <c r="D19" s="9"/>
      <c r="U19" s="1">
        <f t="shared" si="2"/>
        <v>19.636363636363637</v>
      </c>
      <c r="V19" s="1">
        <f t="shared" si="0"/>
        <v>2.0979461060970466E-4</v>
      </c>
      <c r="W19" s="1">
        <f t="shared" si="1"/>
        <v>1.5436359491898969E-4</v>
      </c>
      <c r="Y19" s="44" t="s">
        <v>216</v>
      </c>
      <c r="Z19" s="1">
        <f>$V$11+$W$11</f>
        <v>100</v>
      </c>
      <c r="AA19" s="1">
        <v>0</v>
      </c>
      <c r="AC19" s="44" t="s">
        <v>216</v>
      </c>
      <c r="AD19" s="1">
        <f>$V$11+$Y$11</f>
        <v>226.7186144961793</v>
      </c>
      <c r="AE19" s="1">
        <v>0</v>
      </c>
    </row>
    <row r="20" spans="2:31">
      <c r="B20" s="1" t="s">
        <v>11</v>
      </c>
      <c r="C20" s="1">
        <f>CEILING(C11,1)</f>
        <v>3</v>
      </c>
      <c r="U20" s="1">
        <f t="shared" si="2"/>
        <v>24.545454545454547</v>
      </c>
      <c r="V20" s="1">
        <f t="shared" si="0"/>
        <v>4.2702027167173346E-4</v>
      </c>
      <c r="W20" s="1">
        <f t="shared" si="1"/>
        <v>3.2200232289244282E-4</v>
      </c>
      <c r="Y20" s="44" t="s">
        <v>218</v>
      </c>
      <c r="Z20" s="1">
        <f>Z19</f>
        <v>100</v>
      </c>
      <c r="AA20" s="1">
        <f>AA17</f>
        <v>1.9894431016018829E-2</v>
      </c>
      <c r="AC20" s="44" t="s">
        <v>218</v>
      </c>
      <c r="AD20" s="1">
        <f>AD19</f>
        <v>226.7186144961793</v>
      </c>
      <c r="AE20" s="1">
        <f>AE17</f>
        <v>0</v>
      </c>
    </row>
    <row r="21" spans="2:31">
      <c r="U21" s="1">
        <f t="shared" si="2"/>
        <v>29.454545454545457</v>
      </c>
      <c r="V21" s="1">
        <f t="shared" si="0"/>
        <v>8.1834665642959705E-4</v>
      </c>
      <c r="W21" s="1">
        <f t="shared" si="1"/>
        <v>6.3242318049964768E-4</v>
      </c>
    </row>
    <row r="22" spans="2:31">
      <c r="U22" s="1">
        <f t="shared" si="2"/>
        <v>34.363636363636367</v>
      </c>
      <c r="V22" s="1">
        <f t="shared" si="0"/>
        <v>1.4765929376495469E-3</v>
      </c>
      <c r="W22" s="1">
        <f t="shared" si="1"/>
        <v>1.1694757209192461E-3</v>
      </c>
      <c r="Y22" s="9" t="s">
        <v>221</v>
      </c>
      <c r="AC22" s="9" t="s">
        <v>223</v>
      </c>
    </row>
    <row r="23" spans="2:31">
      <c r="U23" s="1">
        <f t="shared" si="2"/>
        <v>39.272727272727273</v>
      </c>
      <c r="V23" s="1">
        <f t="shared" si="0"/>
        <v>2.5085277881360035E-3</v>
      </c>
      <c r="W23" s="1">
        <f t="shared" si="1"/>
        <v>2.0361477785416481E-3</v>
      </c>
      <c r="Y23" s="44" t="s">
        <v>217</v>
      </c>
      <c r="Z23" s="44" t="s">
        <v>214</v>
      </c>
      <c r="AA23" s="44" t="s">
        <v>215</v>
      </c>
      <c r="AC23" s="44" t="s">
        <v>217</v>
      </c>
      <c r="AD23" s="44" t="s">
        <v>214</v>
      </c>
      <c r="AE23" s="44" t="s">
        <v>215</v>
      </c>
    </row>
    <row r="24" spans="2:31">
      <c r="U24" s="1">
        <f t="shared" si="2"/>
        <v>44.18181818181818</v>
      </c>
      <c r="V24" s="1">
        <f t="shared" si="0"/>
        <v>4.0124690951094319E-3</v>
      </c>
      <c r="W24" s="1">
        <f t="shared" si="1"/>
        <v>3.3378132506082709E-3</v>
      </c>
      <c r="Y24" s="44" t="s">
        <v>216</v>
      </c>
      <c r="Z24" s="1">
        <f>$V$12-$W$12</f>
        <v>62</v>
      </c>
      <c r="AA24" s="1">
        <v>0</v>
      </c>
      <c r="AC24" s="44" t="s">
        <v>216</v>
      </c>
      <c r="AD24" s="1">
        <f>$V$12-$Y$12</f>
        <v>-64.718614496179299</v>
      </c>
      <c r="AE24" s="1">
        <v>0</v>
      </c>
    </row>
    <row r="25" spans="2:31">
      <c r="U25" s="1">
        <f t="shared" si="2"/>
        <v>49.090909090909086</v>
      </c>
      <c r="V25" s="1">
        <f t="shared" si="0"/>
        <v>6.0428127835749435E-3</v>
      </c>
      <c r="W25" s="1">
        <f t="shared" si="1"/>
        <v>5.1516865249837916E-3</v>
      </c>
      <c r="Y25" s="44" t="s">
        <v>218</v>
      </c>
      <c r="Z25" s="1">
        <f>Z24</f>
        <v>62</v>
      </c>
      <c r="AA25" s="1">
        <f>IF(Y13,MAX($W$15:$W$47),0)</f>
        <v>1.9894431016018833E-2</v>
      </c>
      <c r="AC25" s="44" t="s">
        <v>218</v>
      </c>
      <c r="AD25" s="1">
        <f>AD24</f>
        <v>-64.718614496179299</v>
      </c>
      <c r="AE25" s="1">
        <f>IF(AC13,MAX($W$15:$W$47),0)</f>
        <v>0</v>
      </c>
    </row>
    <row r="26" spans="2:31">
      <c r="U26" s="1">
        <f t="shared" si="2"/>
        <v>53.999999999999993</v>
      </c>
      <c r="V26" s="1">
        <f t="shared" si="0"/>
        <v>8.5684296023903657E-3</v>
      </c>
      <c r="W26" s="1">
        <f t="shared" si="1"/>
        <v>7.4863732817872387E-3</v>
      </c>
      <c r="Y26" s="44" t="s">
        <v>219</v>
      </c>
      <c r="Z26" s="44" t="s">
        <v>214</v>
      </c>
      <c r="AA26" s="44" t="s">
        <v>215</v>
      </c>
      <c r="AC26" s="44" t="s">
        <v>219</v>
      </c>
      <c r="AD26" s="44" t="s">
        <v>214</v>
      </c>
      <c r="AE26" s="44" t="s">
        <v>215</v>
      </c>
    </row>
    <row r="27" spans="2:31">
      <c r="U27" s="1">
        <f t="shared" si="2"/>
        <v>58.909090909090899</v>
      </c>
      <c r="V27" s="1">
        <f t="shared" si="0"/>
        <v>1.1439261324980412E-2</v>
      </c>
      <c r="W27" s="1">
        <f t="shared" si="1"/>
        <v>1.0243023799262131E-2</v>
      </c>
      <c r="Y27" s="44" t="s">
        <v>216</v>
      </c>
      <c r="Z27" s="1">
        <f>$V$12+$W$12</f>
        <v>102</v>
      </c>
      <c r="AA27" s="1">
        <v>0</v>
      </c>
      <c r="AC27" s="44" t="s">
        <v>216</v>
      </c>
      <c r="AD27" s="1">
        <f>$V$12+$Y$12</f>
        <v>228.7186144961793</v>
      </c>
      <c r="AE27" s="1">
        <v>0</v>
      </c>
    </row>
    <row r="28" spans="2:31">
      <c r="U28" s="1">
        <f t="shared" si="2"/>
        <v>63.818181818181806</v>
      </c>
      <c r="V28" s="1">
        <f t="shared" si="0"/>
        <v>1.4379023204720835E-2</v>
      </c>
      <c r="W28" s="1">
        <f t="shared" si="1"/>
        <v>1.3195308262186492E-2</v>
      </c>
      <c r="Y28" s="44" t="s">
        <v>218</v>
      </c>
      <c r="Z28" s="1">
        <f>Z27</f>
        <v>102</v>
      </c>
      <c r="AA28" s="1">
        <f>AA25</f>
        <v>1.9894431016018833E-2</v>
      </c>
      <c r="AC28" s="44" t="s">
        <v>218</v>
      </c>
      <c r="AD28" s="1">
        <f>AD27</f>
        <v>228.7186144961793</v>
      </c>
      <c r="AE28" s="1">
        <f>AE25</f>
        <v>0</v>
      </c>
    </row>
    <row r="29" spans="2:31">
      <c r="U29" s="1">
        <f t="shared" si="2"/>
        <v>68.72727272727272</v>
      </c>
      <c r="V29" s="1">
        <f t="shared" si="0"/>
        <v>1.7017487588748541E-2</v>
      </c>
      <c r="W29" s="1">
        <f t="shared" si="1"/>
        <v>1.6004626883487746E-2</v>
      </c>
      <c r="Y29" s="1" t="b">
        <v>1</v>
      </c>
    </row>
    <row r="30" spans="2:31">
      <c r="U30" s="1">
        <f t="shared" si="2"/>
        <v>73.636363636363626</v>
      </c>
      <c r="V30" s="1">
        <f t="shared" si="0"/>
        <v>1.8962524515457917E-2</v>
      </c>
      <c r="W30" s="1">
        <f t="shared" si="1"/>
        <v>1.8277055140371003E-2</v>
      </c>
      <c r="Y30" s="9" t="s">
        <v>226</v>
      </c>
    </row>
    <row r="31" spans="2:31">
      <c r="U31" s="1">
        <f t="shared" si="2"/>
        <v>78.545454545454533</v>
      </c>
      <c r="V31" s="1">
        <f t="shared" si="0"/>
        <v>1.9894431016018829E-2</v>
      </c>
      <c r="W31" s="1">
        <f t="shared" si="1"/>
        <v>1.9651764227432034E-2</v>
      </c>
      <c r="Y31" s="44" t="s">
        <v>217</v>
      </c>
      <c r="Z31" s="44" t="s">
        <v>214</v>
      </c>
      <c r="AA31" s="44" t="s">
        <v>215</v>
      </c>
    </row>
    <row r="32" spans="2:31">
      <c r="U32" s="1">
        <f t="shared" si="2"/>
        <v>83.454545454545439</v>
      </c>
      <c r="V32" s="1">
        <f t="shared" si="0"/>
        <v>1.9651764227432034E-2</v>
      </c>
      <c r="W32" s="1">
        <f t="shared" si="1"/>
        <v>1.9894431016018833E-2</v>
      </c>
      <c r="Y32" s="44" t="s">
        <v>216</v>
      </c>
      <c r="Z32" s="1">
        <f>AVERAGE($V$11,$V$12)-($C$6/2)</f>
        <v>76</v>
      </c>
      <c r="AA32" s="1">
        <v>0</v>
      </c>
    </row>
    <row r="33" spans="2:27">
      <c r="U33" s="1">
        <f t="shared" si="2"/>
        <v>88.363636363636346</v>
      </c>
      <c r="V33" s="1">
        <f t="shared" si="0"/>
        <v>1.8277055140371014E-2</v>
      </c>
      <c r="W33" s="1">
        <f t="shared" si="1"/>
        <v>1.8962524515457924E-2</v>
      </c>
      <c r="Y33" s="44" t="s">
        <v>218</v>
      </c>
      <c r="Z33" s="1">
        <f>Z32</f>
        <v>76</v>
      </c>
      <c r="AA33" s="1">
        <f>IF($Y$29,MAX($V$15:$W$47),0)</f>
        <v>1.9894431016018833E-2</v>
      </c>
    </row>
    <row r="34" spans="2:27">
      <c r="U34" s="1">
        <f t="shared" si="2"/>
        <v>93.272727272727252</v>
      </c>
      <c r="V34" s="1">
        <f t="shared" si="0"/>
        <v>1.6004626883487763E-2</v>
      </c>
      <c r="W34" s="1">
        <f t="shared" si="1"/>
        <v>1.7017487588748555E-2</v>
      </c>
      <c r="Y34" s="44" t="s">
        <v>219</v>
      </c>
      <c r="Z34" s="44" t="s">
        <v>214</v>
      </c>
      <c r="AA34" s="44" t="s">
        <v>215</v>
      </c>
    </row>
    <row r="35" spans="2:27">
      <c r="U35" s="1">
        <f t="shared" si="2"/>
        <v>98.181818181818159</v>
      </c>
      <c r="V35" s="1">
        <f t="shared" si="0"/>
        <v>1.3195308262186515E-2</v>
      </c>
      <c r="W35" s="1">
        <f t="shared" si="1"/>
        <v>1.4379023204720856E-2</v>
      </c>
      <c r="Y35" s="44" t="s">
        <v>216</v>
      </c>
      <c r="Z35" s="1">
        <f>AVERAGE($V$11,$V$12)+($C$6/2)</f>
        <v>86</v>
      </c>
      <c r="AA35" s="1">
        <v>0</v>
      </c>
    </row>
    <row r="36" spans="2:27">
      <c r="U36" s="1">
        <f t="shared" si="2"/>
        <v>103.09090909090907</v>
      </c>
      <c r="V36" s="1">
        <f t="shared" si="0"/>
        <v>1.024302379926215E-2</v>
      </c>
      <c r="W36" s="1">
        <f t="shared" si="1"/>
        <v>1.1439261324980434E-2</v>
      </c>
      <c r="Y36" s="44" t="s">
        <v>218</v>
      </c>
      <c r="Z36" s="1">
        <f>Z35</f>
        <v>86</v>
      </c>
      <c r="AA36" s="1">
        <f>AA33</f>
        <v>1.9894431016018833E-2</v>
      </c>
    </row>
    <row r="37" spans="2:27">
      <c r="U37" s="1">
        <f t="shared" si="2"/>
        <v>107.99999999999997</v>
      </c>
      <c r="V37" s="1">
        <f t="shared" si="0"/>
        <v>7.4863732817872586E-3</v>
      </c>
      <c r="W37" s="1">
        <f t="shared" si="1"/>
        <v>8.5684296023903848E-3</v>
      </c>
    </row>
    <row r="38" spans="2:27">
      <c r="U38" s="1">
        <f t="shared" si="2"/>
        <v>112.90909090909088</v>
      </c>
      <c r="V38" s="1">
        <f t="shared" si="0"/>
        <v>5.1516865249838055E-3</v>
      </c>
      <c r="W38" s="1">
        <f t="shared" si="1"/>
        <v>6.0428127835749608E-3</v>
      </c>
    </row>
    <row r="39" spans="2:27">
      <c r="U39" s="1">
        <f t="shared" si="2"/>
        <v>117.81818181818178</v>
      </c>
      <c r="V39" s="1">
        <f t="shared" si="0"/>
        <v>3.3378132506082818E-3</v>
      </c>
      <c r="W39" s="1">
        <f t="shared" si="1"/>
        <v>4.0124690951094449E-3</v>
      </c>
    </row>
    <row r="40" spans="2:27">
      <c r="U40" s="1">
        <f t="shared" si="2"/>
        <v>122.72727272727269</v>
      </c>
      <c r="V40" s="1">
        <f t="shared" si="0"/>
        <v>2.0361477785416551E-3</v>
      </c>
      <c r="W40" s="1">
        <f t="shared" si="1"/>
        <v>2.5085277881360122E-3</v>
      </c>
    </row>
    <row r="41" spans="2:27" ht="20.25" customHeight="1">
      <c r="U41" s="1">
        <f t="shared" si="2"/>
        <v>127.6363636363636</v>
      </c>
      <c r="V41" s="1">
        <f t="shared" si="0"/>
        <v>1.1694757209192513E-3</v>
      </c>
      <c r="W41" s="1">
        <f t="shared" si="1"/>
        <v>1.4765929376495534E-3</v>
      </c>
    </row>
    <row r="42" spans="2:27">
      <c r="U42" s="1">
        <f t="shared" si="2"/>
        <v>132.5454545454545</v>
      </c>
      <c r="V42" s="1">
        <f t="shared" si="0"/>
        <v>6.3242318049965148E-4</v>
      </c>
      <c r="W42" s="1">
        <f t="shared" si="1"/>
        <v>8.1834665642960172E-4</v>
      </c>
    </row>
    <row r="43" spans="2:27">
      <c r="U43" s="1">
        <f t="shared" si="2"/>
        <v>137.45454545454541</v>
      </c>
      <c r="V43" s="1">
        <f t="shared" si="0"/>
        <v>3.2200232289244482E-4</v>
      </c>
      <c r="W43" s="1">
        <f t="shared" si="1"/>
        <v>4.2702027167173552E-4</v>
      </c>
    </row>
    <row r="44" spans="2:27">
      <c r="U44" s="1">
        <f t="shared" si="2"/>
        <v>142.36363636363632</v>
      </c>
      <c r="V44" s="1">
        <f t="shared" si="0"/>
        <v>1.5436359491899078E-4</v>
      </c>
      <c r="W44" s="1">
        <f t="shared" si="1"/>
        <v>2.0979461060970596E-4</v>
      </c>
    </row>
    <row r="45" spans="2:27">
      <c r="U45" s="1">
        <f t="shared" si="2"/>
        <v>147.27272727272722</v>
      </c>
      <c r="V45" s="1">
        <f t="shared" si="0"/>
        <v>6.9673145586174635E-5</v>
      </c>
      <c r="W45" s="1">
        <f t="shared" si="1"/>
        <v>9.7045369327589687E-5</v>
      </c>
    </row>
    <row r="46" spans="2:27" ht="18">
      <c r="B46" s="28" t="s">
        <v>123</v>
      </c>
      <c r="U46" s="1">
        <f t="shared" si="2"/>
        <v>152.18181818181813</v>
      </c>
      <c r="V46" s="1">
        <f t="shared" si="0"/>
        <v>2.9608786430913916E-5</v>
      </c>
      <c r="W46" s="1">
        <f t="shared" si="1"/>
        <v>4.2265884475912909E-5</v>
      </c>
    </row>
    <row r="47" spans="2:27">
      <c r="U47" s="1">
        <f t="shared" si="2"/>
        <v>157.09090909090904</v>
      </c>
      <c r="V47" s="1">
        <f t="shared" si="0"/>
        <v>1.1847056269290331E-5</v>
      </c>
      <c r="W47" s="1">
        <f t="shared" si="1"/>
        <v>1.733164404257488E-5</v>
      </c>
    </row>
    <row r="62" spans="2:7">
      <c r="B62" s="9" t="s">
        <v>125</v>
      </c>
    </row>
    <row r="64" spans="2:7">
      <c r="G64" s="6"/>
    </row>
    <row r="65" spans="7:7">
      <c r="G65" s="6"/>
    </row>
    <row r="66" spans="7:7">
      <c r="G66" s="6"/>
    </row>
    <row r="67" spans="7:7">
      <c r="G67"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Fill="0" autoPict="0" macro="[0]!SS_Probt">
                <anchor moveWithCells="1" sizeWithCells="1">
                  <from>
                    <xdr:col>1</xdr:col>
                    <xdr:colOff>104775</xdr:colOff>
                    <xdr:row>21</xdr:row>
                    <xdr:rowOff>76200</xdr:rowOff>
                  </from>
                  <to>
                    <xdr:col>2</xdr:col>
                    <xdr:colOff>533400</xdr:colOff>
                    <xdr:row>23</xdr:row>
                    <xdr:rowOff>28575</xdr:rowOff>
                  </to>
                </anchor>
              </controlPr>
            </control>
          </mc:Choice>
        </mc:AlternateContent>
        <mc:AlternateContent xmlns:mc="http://schemas.openxmlformats.org/markup-compatibility/2006">
          <mc:Choice Requires="x14">
            <control shapeId="16389" r:id="rId4" name="Button 5">
              <controlPr defaultSize="0" print="0" autoFill="0" autoPict="0" macro="[0]!SS_Boss">
                <anchor moveWithCells="1" sizeWithCells="1">
                  <from>
                    <xdr:col>2</xdr:col>
                    <xdr:colOff>609600</xdr:colOff>
                    <xdr:row>21</xdr:row>
                    <xdr:rowOff>76200</xdr:rowOff>
                  </from>
                  <to>
                    <xdr:col>4</xdr:col>
                    <xdr:colOff>0</xdr:colOff>
                    <xdr:row>23</xdr:row>
                    <xdr:rowOff>28575</xdr:rowOff>
                  </to>
                </anchor>
              </controlPr>
            </control>
          </mc:Choice>
        </mc:AlternateContent>
        <mc:AlternateContent xmlns:mc="http://schemas.openxmlformats.org/markup-compatibility/2006">
          <mc:Choice Requires="x14">
            <control shapeId="16393" r:id="rId5" name="Check Box 9">
              <controlPr defaultSize="0" autoFill="0" autoLine="0" autoPict="0">
                <anchor moveWithCells="1">
                  <from>
                    <xdr:col>10</xdr:col>
                    <xdr:colOff>371475</xdr:colOff>
                    <xdr:row>7</xdr:row>
                    <xdr:rowOff>219075</xdr:rowOff>
                  </from>
                  <to>
                    <xdr:col>11</xdr:col>
                    <xdr:colOff>523875</xdr:colOff>
                    <xdr:row>9</xdr:row>
                    <xdr:rowOff>38100</xdr:rowOff>
                  </to>
                </anchor>
              </controlPr>
            </control>
          </mc:Choice>
        </mc:AlternateContent>
        <mc:AlternateContent xmlns:mc="http://schemas.openxmlformats.org/markup-compatibility/2006">
          <mc:Choice Requires="x14">
            <control shapeId="16394" r:id="rId6" name="Check Box 10">
              <controlPr defaultSize="0" autoFill="0" autoLine="0" autoPict="0">
                <anchor moveWithCells="1">
                  <from>
                    <xdr:col>10</xdr:col>
                    <xdr:colOff>371475</xdr:colOff>
                    <xdr:row>9</xdr:row>
                    <xdr:rowOff>38100</xdr:rowOff>
                  </from>
                  <to>
                    <xdr:col>11</xdr:col>
                    <xdr:colOff>523875</xdr:colOff>
                    <xdr:row>10</xdr:row>
                    <xdr:rowOff>66675</xdr:rowOff>
                  </to>
                </anchor>
              </controlPr>
            </control>
          </mc:Choice>
        </mc:AlternateContent>
        <mc:AlternateContent xmlns:mc="http://schemas.openxmlformats.org/markup-compatibility/2006">
          <mc:Choice Requires="x14">
            <control shapeId="16395" r:id="rId7" name="Check Box 11">
              <controlPr defaultSize="0" autoFill="0" autoLine="0" autoPict="0">
                <anchor moveWithCells="1">
                  <from>
                    <xdr:col>10</xdr:col>
                    <xdr:colOff>371475</xdr:colOff>
                    <xdr:row>10</xdr:row>
                    <xdr:rowOff>66675</xdr:rowOff>
                  </from>
                  <to>
                    <xdr:col>11</xdr:col>
                    <xdr:colOff>523875</xdr:colOff>
                    <xdr:row>11</xdr:row>
                    <xdr:rowOff>104775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B1:AE64"/>
  <sheetViews>
    <sheetView workbookViewId="0">
      <selection activeCell="C2" sqref="C2"/>
    </sheetView>
  </sheetViews>
  <sheetFormatPr defaultColWidth="9.140625" defaultRowHeight="12.75"/>
  <cols>
    <col min="1" max="1" width="5.140625" style="1" customWidth="1"/>
    <col min="2" max="2" width="21.42578125" style="1" customWidth="1"/>
    <col min="3" max="16384" width="9.140625" style="1"/>
  </cols>
  <sheetData>
    <row r="1" spans="2:31" ht="27" thickBot="1">
      <c r="B1" s="17" t="s">
        <v>72</v>
      </c>
      <c r="F1" s="9" t="s">
        <v>122</v>
      </c>
    </row>
    <row r="2" spans="2:31" ht="13.5" thickBot="1">
      <c r="B2" s="1" t="s">
        <v>1</v>
      </c>
      <c r="C2" s="2">
        <v>0.9</v>
      </c>
      <c r="D2" s="1" t="s">
        <v>21</v>
      </c>
      <c r="N2" s="44"/>
    </row>
    <row r="3" spans="2:31" ht="16.5" thickBot="1">
      <c r="B3" s="1" t="s">
        <v>22</v>
      </c>
      <c r="C3" s="3">
        <v>1</v>
      </c>
      <c r="D3" s="1" t="s">
        <v>23</v>
      </c>
    </row>
    <row r="4" spans="2:31" ht="13.5" thickBot="1">
      <c r="B4" s="8" t="s">
        <v>59</v>
      </c>
      <c r="C4" s="13">
        <v>2.5000000000000001E-2</v>
      </c>
      <c r="D4" s="1" t="s">
        <v>20</v>
      </c>
    </row>
    <row r="5" spans="2:31" ht="13.5" thickBot="1">
      <c r="B5" s="8" t="s">
        <v>18</v>
      </c>
      <c r="C5" s="3">
        <v>40</v>
      </c>
      <c r="D5" s="1" t="s">
        <v>19</v>
      </c>
      <c r="U5" s="1" t="s">
        <v>56</v>
      </c>
    </row>
    <row r="6" spans="2:31" ht="16.5" thickBot="1">
      <c r="B6" s="1" t="s">
        <v>17</v>
      </c>
      <c r="C6" s="3">
        <v>10</v>
      </c>
      <c r="D6" s="1" t="s">
        <v>29</v>
      </c>
      <c r="U6" s="1">
        <v>2</v>
      </c>
    </row>
    <row r="7" spans="2:31" ht="16.5" thickBot="1">
      <c r="B7" s="12" t="s">
        <v>5</v>
      </c>
      <c r="C7" s="3">
        <v>-2</v>
      </c>
      <c r="D7" s="44" t="s">
        <v>232</v>
      </c>
      <c r="K7" s="9" t="str">
        <f>IF(C7&gt;=C6,"WARNING: Expected mean difference higher than maximum allowable difference.","")</f>
        <v/>
      </c>
    </row>
    <row r="8" spans="2:31" ht="13.5" thickBot="1">
      <c r="B8" s="12" t="s">
        <v>118</v>
      </c>
      <c r="C8" s="11">
        <f>C6/C5</f>
        <v>0.25</v>
      </c>
    </row>
    <row r="10" spans="2:31" ht="13.5" thickBot="1">
      <c r="B10" s="8" t="s">
        <v>18</v>
      </c>
      <c r="C10" s="1">
        <f>C5</f>
        <v>40</v>
      </c>
      <c r="V10" s="44" t="s">
        <v>212</v>
      </c>
      <c r="W10" s="44" t="s">
        <v>210</v>
      </c>
      <c r="X10" s="44" t="s">
        <v>213</v>
      </c>
      <c r="Y10" s="44" t="s">
        <v>211</v>
      </c>
      <c r="AA10" s="44" t="s">
        <v>224</v>
      </c>
      <c r="AB10" s="44" t="s">
        <v>225</v>
      </c>
    </row>
    <row r="11" spans="2:31" ht="13.5" thickBot="1">
      <c r="B11" s="1" t="s">
        <v>16</v>
      </c>
      <c r="C11" s="7">
        <v>3</v>
      </c>
      <c r="U11" s="44" t="s">
        <v>206</v>
      </c>
      <c r="V11" s="30">
        <f>4*C5</f>
        <v>160</v>
      </c>
      <c r="W11" s="1">
        <f>$C$5</f>
        <v>40</v>
      </c>
      <c r="X11" s="1">
        <f>W11/SQRT(C20)</f>
        <v>23.094010767585033</v>
      </c>
      <c r="Y11" s="1">
        <f>TINV($C$4*2,$C$20-2)*X11</f>
        <v>293.4372289923586</v>
      </c>
      <c r="AA11" s="1">
        <f>V12+4*W12</f>
        <v>318</v>
      </c>
      <c r="AB11" s="1">
        <f>AA11/33</f>
        <v>9.6363636363636367</v>
      </c>
    </row>
    <row r="12" spans="2:31" ht="13.5" thickBot="1">
      <c r="B12" s="1" t="s">
        <v>15</v>
      </c>
      <c r="C12" s="1">
        <f>C11*(C3+1)-2</f>
        <v>4</v>
      </c>
      <c r="U12" s="44" t="s">
        <v>207</v>
      </c>
      <c r="V12" s="30">
        <f>V11+C7</f>
        <v>158</v>
      </c>
      <c r="W12" s="1">
        <f>$C$5</f>
        <v>40</v>
      </c>
      <c r="X12" s="1">
        <f>W12/SQRT(C20)</f>
        <v>23.094010767585033</v>
      </c>
      <c r="Y12" s="1">
        <f>TINV($C$4*2,$C$20-2)*X12</f>
        <v>293.4372289923586</v>
      </c>
    </row>
    <row r="13" spans="2:31">
      <c r="B13" s="1" t="s">
        <v>27</v>
      </c>
      <c r="C13" s="1">
        <f>TINV(C4*2,C12)</f>
        <v>2.7764451051977934</v>
      </c>
      <c r="Y13" s="1" t="b">
        <v>1</v>
      </c>
      <c r="AC13" s="1" t="b">
        <v>0</v>
      </c>
    </row>
    <row r="14" spans="2:31">
      <c r="B14" s="1" t="s">
        <v>4</v>
      </c>
      <c r="C14" s="1">
        <f>ABS((C7-C6)*SQRT(C3*C11)/SQRT((C3+1)*C10^2))</f>
        <v>0.36742346141747673</v>
      </c>
      <c r="U14" s="44" t="s">
        <v>205</v>
      </c>
      <c r="V14" s="44" t="s">
        <v>208</v>
      </c>
      <c r="W14" s="44" t="s">
        <v>209</v>
      </c>
      <c r="Y14" s="9" t="s">
        <v>220</v>
      </c>
      <c r="AC14" s="9" t="s">
        <v>222</v>
      </c>
    </row>
    <row r="15" spans="2:31">
      <c r="U15" s="1">
        <v>0</v>
      </c>
      <c r="V15" s="1">
        <f>_xlfn.NORM.DIST($U15,$V$11,$C$5,FALSE)</f>
        <v>3.3457556441221339E-6</v>
      </c>
      <c r="W15" s="1">
        <f>_xlfn.NORM.DIST($U15,$V$12,$C$5,FALSE)</f>
        <v>4.0814102191560501E-6</v>
      </c>
      <c r="Y15" s="44" t="s">
        <v>217</v>
      </c>
      <c r="Z15" s="44" t="s">
        <v>214</v>
      </c>
      <c r="AA15" s="44" t="s">
        <v>215</v>
      </c>
      <c r="AC15" s="44" t="s">
        <v>217</v>
      </c>
      <c r="AD15" s="44" t="s">
        <v>214</v>
      </c>
      <c r="AE15" s="44" t="s">
        <v>215</v>
      </c>
    </row>
    <row r="16" spans="2:31">
      <c r="U16" s="1">
        <f>U15+$AB$11</f>
        <v>9.6363636363636367</v>
      </c>
      <c r="V16" s="1">
        <f t="shared" ref="V16:V47" si="0">_xlfn.NORM.DIST($U16,$V$11,$C$5,FALSE)</f>
        <v>8.5190969142286929E-6</v>
      </c>
      <c r="W16" s="1">
        <f t="shared" ref="W16:W47" si="1">_xlfn.NORM.DIST($U16,$V$12,$C$5,FALSE)</f>
        <v>1.0267821561026E-5</v>
      </c>
      <c r="Y16" s="44" t="s">
        <v>216</v>
      </c>
      <c r="Z16" s="1">
        <f>$V$11-$W$11</f>
        <v>120</v>
      </c>
      <c r="AA16" s="1">
        <v>0</v>
      </c>
      <c r="AC16" s="44" t="s">
        <v>216</v>
      </c>
      <c r="AD16" s="1">
        <f>$V$11-$Y$11</f>
        <v>-133.4372289923586</v>
      </c>
      <c r="AE16" s="1">
        <v>0</v>
      </c>
    </row>
    <row r="17" spans="2:31">
      <c r="B17" s="1" t="s">
        <v>6</v>
      </c>
      <c r="C17" s="1">
        <f>NCt(C13,C12,C14)</f>
        <v>0.95246089151523661</v>
      </c>
      <c r="U17" s="1">
        <f t="shared" ref="U17:U47" si="2">U16+$AB$11</f>
        <v>19.272727272727273</v>
      </c>
      <c r="V17" s="1">
        <f t="shared" si="0"/>
        <v>2.0468577754506402E-5</v>
      </c>
      <c r="W17" s="1">
        <f t="shared" si="1"/>
        <v>2.4374804800377278E-5</v>
      </c>
      <c r="Y17" s="44" t="s">
        <v>218</v>
      </c>
      <c r="Z17" s="1">
        <f>Z16</f>
        <v>120</v>
      </c>
      <c r="AA17" s="1">
        <f>IF(Y13,MAX($V$15:$V$47),0)</f>
        <v>9.928222971854481E-3</v>
      </c>
      <c r="AC17" s="44" t="s">
        <v>218</v>
      </c>
      <c r="AD17" s="1">
        <f>AD16</f>
        <v>-133.4372289923586</v>
      </c>
      <c r="AE17" s="1">
        <f>IF(AC13,MAX($V$15:$V$47),0)</f>
        <v>0</v>
      </c>
    </row>
    <row r="18" spans="2:31">
      <c r="B18" s="1" t="s">
        <v>58</v>
      </c>
      <c r="C18" s="1">
        <f>1-C17</f>
        <v>4.7539108484763393E-2</v>
      </c>
      <c r="E18" s="5"/>
      <c r="U18" s="1">
        <f t="shared" si="2"/>
        <v>28.90909090909091</v>
      </c>
      <c r="V18" s="1">
        <f t="shared" si="0"/>
        <v>4.6406257320390733E-5</v>
      </c>
      <c r="W18" s="1">
        <f t="shared" si="1"/>
        <v>5.4600767670238093E-5</v>
      </c>
      <c r="Y18" s="44" t="s">
        <v>219</v>
      </c>
      <c r="Z18" s="44" t="s">
        <v>214</v>
      </c>
      <c r="AA18" s="44" t="s">
        <v>215</v>
      </c>
      <c r="AC18" s="44" t="s">
        <v>219</v>
      </c>
      <c r="AD18" s="44" t="s">
        <v>214</v>
      </c>
      <c r="AE18" s="44" t="s">
        <v>215</v>
      </c>
    </row>
    <row r="19" spans="2:31" ht="14.25">
      <c r="C19" s="16" t="s">
        <v>63</v>
      </c>
      <c r="D19" s="16" t="s">
        <v>64</v>
      </c>
      <c r="E19" s="16" t="s">
        <v>66</v>
      </c>
      <c r="U19" s="1">
        <f t="shared" si="2"/>
        <v>38.545454545454547</v>
      </c>
      <c r="V19" s="1">
        <f t="shared" si="0"/>
        <v>9.9279638982201362E-5</v>
      </c>
      <c r="W19" s="1">
        <f t="shared" si="1"/>
        <v>1.1541204057253558E-4</v>
      </c>
      <c r="Y19" s="44" t="s">
        <v>216</v>
      </c>
      <c r="Z19" s="1">
        <f>$V$11+$W$11</f>
        <v>200</v>
      </c>
      <c r="AA19" s="1">
        <v>0</v>
      </c>
      <c r="AC19" s="44" t="s">
        <v>216</v>
      </c>
      <c r="AD19" s="1">
        <f>$V$11+$Y$11</f>
        <v>453.4372289923586</v>
      </c>
      <c r="AE19" s="1">
        <v>0</v>
      </c>
    </row>
    <row r="20" spans="2:31">
      <c r="B20" s="1" t="s">
        <v>11</v>
      </c>
      <c r="C20" s="1">
        <f>CEILING(C11,1)</f>
        <v>3</v>
      </c>
      <c r="D20" s="1">
        <f>C20*C3</f>
        <v>3</v>
      </c>
      <c r="E20" s="1">
        <f>C20+D20</f>
        <v>6</v>
      </c>
      <c r="U20" s="1">
        <f t="shared" si="2"/>
        <v>48.181818181818187</v>
      </c>
      <c r="V20" s="1">
        <f t="shared" si="0"/>
        <v>2.0041886726227857E-4</v>
      </c>
      <c r="W20" s="1">
        <f t="shared" si="1"/>
        <v>2.3019625784842797E-4</v>
      </c>
      <c r="Y20" s="44" t="s">
        <v>218</v>
      </c>
      <c r="Z20" s="1">
        <f>Z19</f>
        <v>200</v>
      </c>
      <c r="AA20" s="1">
        <f>AA17</f>
        <v>9.928222971854481E-3</v>
      </c>
      <c r="AC20" s="44" t="s">
        <v>218</v>
      </c>
      <c r="AD20" s="1">
        <f>AD19</f>
        <v>453.4372289923586</v>
      </c>
      <c r="AE20" s="1">
        <f>AE17</f>
        <v>0</v>
      </c>
    </row>
    <row r="21" spans="2:31">
      <c r="U21" s="1">
        <f t="shared" si="2"/>
        <v>57.818181818181827</v>
      </c>
      <c r="V21" s="1">
        <f t="shared" si="0"/>
        <v>3.8177878002529109E-4</v>
      </c>
      <c r="W21" s="1">
        <f t="shared" si="1"/>
        <v>4.3325159224338075E-4</v>
      </c>
    </row>
    <row r="22" spans="2:31">
      <c r="U22" s="1">
        <f t="shared" si="2"/>
        <v>67.454545454545467</v>
      </c>
      <c r="V22" s="1">
        <f t="shared" si="0"/>
        <v>6.8624585935270525E-4</v>
      </c>
      <c r="W22" s="1">
        <f t="shared" si="1"/>
        <v>7.6944369311148593E-4</v>
      </c>
      <c r="Y22" s="9" t="s">
        <v>221</v>
      </c>
      <c r="AC22" s="9" t="s">
        <v>223</v>
      </c>
    </row>
    <row r="23" spans="2:31">
      <c r="U23" s="1">
        <f t="shared" si="2"/>
        <v>77.090909090909108</v>
      </c>
      <c r="V23" s="1">
        <f t="shared" si="0"/>
        <v>1.1639717952255752E-3</v>
      </c>
      <c r="W23" s="1">
        <f t="shared" si="1"/>
        <v>1.2894612322899819E-3</v>
      </c>
      <c r="Y23" s="44" t="s">
        <v>217</v>
      </c>
      <c r="Z23" s="44" t="s">
        <v>214</v>
      </c>
      <c r="AA23" s="44" t="s">
        <v>215</v>
      </c>
      <c r="AC23" s="44" t="s">
        <v>217</v>
      </c>
      <c r="AD23" s="44" t="s">
        <v>214</v>
      </c>
      <c r="AE23" s="44" t="s">
        <v>215</v>
      </c>
    </row>
    <row r="24" spans="2:31">
      <c r="U24" s="1">
        <f t="shared" si="2"/>
        <v>86.727272727272748</v>
      </c>
      <c r="V24" s="1">
        <f t="shared" si="0"/>
        <v>1.8629446220754387E-3</v>
      </c>
      <c r="W24" s="1">
        <f t="shared" si="1"/>
        <v>2.0390811202563343E-3</v>
      </c>
      <c r="Y24" s="44" t="s">
        <v>216</v>
      </c>
      <c r="Z24" s="1">
        <f>$V$12-$W$12</f>
        <v>118</v>
      </c>
      <c r="AA24" s="1">
        <v>0</v>
      </c>
      <c r="AC24" s="44" t="s">
        <v>216</v>
      </c>
      <c r="AD24" s="1">
        <f>$V$12-$Y$12</f>
        <v>-135.4372289923586</v>
      </c>
      <c r="AE24" s="1">
        <v>0</v>
      </c>
    </row>
    <row r="25" spans="2:31">
      <c r="U25" s="1">
        <f t="shared" si="2"/>
        <v>96.363636363636388</v>
      </c>
      <c r="V25" s="1">
        <f t="shared" si="0"/>
        <v>2.8135342236326626E-3</v>
      </c>
      <c r="W25" s="1">
        <f t="shared" si="1"/>
        <v>3.0426744393168446E-3</v>
      </c>
      <c r="Y25" s="44" t="s">
        <v>218</v>
      </c>
      <c r="Z25" s="1">
        <f>Z24</f>
        <v>118</v>
      </c>
      <c r="AA25" s="1">
        <f>IF(Y13,MAX($W$15:$W$47),0)</f>
        <v>9.928222971854481E-3</v>
      </c>
      <c r="AC25" s="44" t="s">
        <v>218</v>
      </c>
      <c r="AD25" s="1">
        <f>AD24</f>
        <v>-135.4372289923586</v>
      </c>
      <c r="AE25" s="1">
        <f>IF(AC13,MAX($W$15:$W$47),0)</f>
        <v>0</v>
      </c>
    </row>
    <row r="26" spans="2:31">
      <c r="U26" s="1">
        <f t="shared" si="2"/>
        <v>106.00000000000003</v>
      </c>
      <c r="V26" s="1">
        <f t="shared" si="0"/>
        <v>4.0095831835479942E-3</v>
      </c>
      <c r="W26" s="1">
        <f t="shared" si="1"/>
        <v>4.2842148011951872E-3</v>
      </c>
      <c r="Y26" s="44" t="s">
        <v>219</v>
      </c>
      <c r="Z26" s="44" t="s">
        <v>214</v>
      </c>
      <c r="AA26" s="44" t="s">
        <v>215</v>
      </c>
      <c r="AC26" s="44" t="s">
        <v>219</v>
      </c>
      <c r="AD26" s="44" t="s">
        <v>214</v>
      </c>
      <c r="AE26" s="44" t="s">
        <v>215</v>
      </c>
    </row>
    <row r="27" spans="2:31">
      <c r="U27" s="1">
        <f t="shared" si="2"/>
        <v>115.63636363636367</v>
      </c>
      <c r="V27" s="1">
        <f t="shared" si="0"/>
        <v>5.3918899813496695E-3</v>
      </c>
      <c r="W27" s="1">
        <f t="shared" si="1"/>
        <v>5.6922210507011541E-3</v>
      </c>
      <c r="Y27" s="44" t="s">
        <v>216</v>
      </c>
      <c r="Z27" s="1">
        <f>$V$12+$W$12</f>
        <v>198</v>
      </c>
      <c r="AA27" s="1">
        <v>0</v>
      </c>
      <c r="AC27" s="44" t="s">
        <v>216</v>
      </c>
      <c r="AD27" s="1">
        <f>$V$12+$Y$12</f>
        <v>451.4372289923586</v>
      </c>
      <c r="AE27" s="1">
        <v>0</v>
      </c>
    </row>
    <row r="28" spans="2:31">
      <c r="U28" s="1">
        <f t="shared" si="2"/>
        <v>125.27272727272731</v>
      </c>
      <c r="V28" s="1">
        <f t="shared" si="0"/>
        <v>6.8419135888044902E-3</v>
      </c>
      <c r="W28" s="1">
        <f t="shared" si="1"/>
        <v>7.1365291724601312E-3</v>
      </c>
      <c r="Y28" s="44" t="s">
        <v>218</v>
      </c>
      <c r="Z28" s="1">
        <f>Z27</f>
        <v>198</v>
      </c>
      <c r="AA28" s="1">
        <f>AA25</f>
        <v>9.928222971854481E-3</v>
      </c>
      <c r="AC28" s="44" t="s">
        <v>218</v>
      </c>
      <c r="AD28" s="1">
        <f>AD27</f>
        <v>451.4372289923586</v>
      </c>
      <c r="AE28" s="1">
        <f>AE25</f>
        <v>0</v>
      </c>
    </row>
    <row r="29" spans="2:31">
      <c r="U29" s="1">
        <f t="shared" si="2"/>
        <v>134.90909090909093</v>
      </c>
      <c r="V29" s="1">
        <f t="shared" si="0"/>
        <v>8.1923578849734564E-3</v>
      </c>
      <c r="W29" s="1">
        <f t="shared" si="1"/>
        <v>8.442811682249288E-3</v>
      </c>
      <c r="Y29" s="1" t="b">
        <v>1</v>
      </c>
    </row>
    <row r="30" spans="2:31">
      <c r="U30" s="1">
        <f t="shared" si="2"/>
        <v>144.54545454545456</v>
      </c>
      <c r="V30" s="1">
        <f t="shared" si="0"/>
        <v>9.2562487307598553E-3</v>
      </c>
      <c r="W30" s="1">
        <f t="shared" si="1"/>
        <v>9.4250123504863344E-3</v>
      </c>
      <c r="Y30" s="9" t="s">
        <v>226</v>
      </c>
    </row>
    <row r="31" spans="2:31">
      <c r="U31" s="1">
        <f t="shared" si="2"/>
        <v>154.18181818181819</v>
      </c>
      <c r="V31" s="1">
        <f t="shared" si="0"/>
        <v>9.8686076960690251E-3</v>
      </c>
      <c r="W31" s="1">
        <f t="shared" si="1"/>
        <v>9.928222971854481E-3</v>
      </c>
      <c r="Y31" s="44" t="s">
        <v>217</v>
      </c>
      <c r="Z31" s="44" t="s">
        <v>214</v>
      </c>
      <c r="AA31" s="44" t="s">
        <v>215</v>
      </c>
    </row>
    <row r="32" spans="2:31">
      <c r="U32" s="1">
        <f t="shared" si="2"/>
        <v>163.81818181818181</v>
      </c>
      <c r="V32" s="1">
        <f t="shared" si="0"/>
        <v>9.928222971854481E-3</v>
      </c>
      <c r="W32" s="1">
        <f t="shared" si="1"/>
        <v>9.8686076960690251E-3</v>
      </c>
      <c r="Y32" s="44" t="s">
        <v>216</v>
      </c>
      <c r="Z32" s="1">
        <f>$V$12-$C$6</f>
        <v>148</v>
      </c>
      <c r="AA32" s="1">
        <v>0</v>
      </c>
    </row>
    <row r="33" spans="2:27">
      <c r="U33" s="1">
        <f t="shared" si="2"/>
        <v>173.45454545454544</v>
      </c>
      <c r="V33" s="1">
        <f t="shared" si="0"/>
        <v>9.4250123504863344E-3</v>
      </c>
      <c r="W33" s="1">
        <f t="shared" si="1"/>
        <v>9.2562487307598553E-3</v>
      </c>
      <c r="Y33" s="44" t="s">
        <v>218</v>
      </c>
      <c r="Z33" s="1">
        <f>Z32</f>
        <v>148</v>
      </c>
      <c r="AA33" s="1">
        <f>IF($Y$29,MAX($V$15:$W$47),0)</f>
        <v>9.928222971854481E-3</v>
      </c>
    </row>
    <row r="34" spans="2:27">
      <c r="U34" s="1">
        <f t="shared" si="2"/>
        <v>183.09090909090907</v>
      </c>
      <c r="V34" s="1">
        <f t="shared" si="0"/>
        <v>8.442811682249288E-3</v>
      </c>
      <c r="W34" s="1">
        <f t="shared" si="1"/>
        <v>8.1923578849734564E-3</v>
      </c>
      <c r="Y34" s="44" t="s">
        <v>219</v>
      </c>
      <c r="Z34" s="44" t="s">
        <v>214</v>
      </c>
      <c r="AA34" s="44" t="s">
        <v>215</v>
      </c>
    </row>
    <row r="35" spans="2:27">
      <c r="U35" s="1">
        <f t="shared" si="2"/>
        <v>192.72727272727269</v>
      </c>
      <c r="V35" s="1">
        <f t="shared" si="0"/>
        <v>7.1365291724601312E-3</v>
      </c>
      <c r="W35" s="1">
        <f t="shared" si="1"/>
        <v>6.8419135888044902E-3</v>
      </c>
      <c r="Y35" s="44" t="s">
        <v>216</v>
      </c>
      <c r="Z35" s="1">
        <f>$V$12+$C$6</f>
        <v>168</v>
      </c>
      <c r="AA35" s="1">
        <v>0</v>
      </c>
    </row>
    <row r="36" spans="2:27" ht="20.25" customHeight="1">
      <c r="U36" s="1">
        <f t="shared" si="2"/>
        <v>202.36363636363632</v>
      </c>
      <c r="V36" s="1">
        <f t="shared" si="0"/>
        <v>5.692221050701155E-3</v>
      </c>
      <c r="W36" s="1">
        <f t="shared" si="1"/>
        <v>5.3918899813496703E-3</v>
      </c>
      <c r="Y36" s="44" t="s">
        <v>218</v>
      </c>
      <c r="Z36" s="1">
        <f>Z35</f>
        <v>168</v>
      </c>
      <c r="AA36" s="1">
        <f>AA33</f>
        <v>9.928222971854481E-3</v>
      </c>
    </row>
    <row r="37" spans="2:27">
      <c r="U37" s="1">
        <f t="shared" si="2"/>
        <v>211.99999999999994</v>
      </c>
      <c r="V37" s="1">
        <f t="shared" si="0"/>
        <v>4.2842148011951924E-3</v>
      </c>
      <c r="W37" s="1">
        <f t="shared" si="1"/>
        <v>4.0095831835479986E-3</v>
      </c>
    </row>
    <row r="38" spans="2:27">
      <c r="U38" s="1">
        <f t="shared" si="2"/>
        <v>221.63636363636357</v>
      </c>
      <c r="V38" s="1">
        <f t="shared" si="0"/>
        <v>3.0426744393168489E-3</v>
      </c>
      <c r="W38" s="1">
        <f t="shared" si="1"/>
        <v>2.8135342236326679E-3</v>
      </c>
    </row>
    <row r="39" spans="2:27">
      <c r="U39" s="1">
        <f t="shared" si="2"/>
        <v>231.2727272727272</v>
      </c>
      <c r="V39" s="1">
        <f t="shared" si="0"/>
        <v>2.0390811202563391E-3</v>
      </c>
      <c r="W39" s="1">
        <f t="shared" si="1"/>
        <v>1.8629446220754442E-3</v>
      </c>
    </row>
    <row r="40" spans="2:27">
      <c r="U40" s="1">
        <f t="shared" si="2"/>
        <v>240.90909090909082</v>
      </c>
      <c r="V40" s="1">
        <f t="shared" si="0"/>
        <v>1.2894612322899865E-3</v>
      </c>
      <c r="W40" s="1">
        <f t="shared" si="1"/>
        <v>1.16397179522558E-3</v>
      </c>
    </row>
    <row r="41" spans="2:27" ht="18">
      <c r="B41" s="28" t="s">
        <v>123</v>
      </c>
      <c r="U41" s="1">
        <f t="shared" si="2"/>
        <v>250.54545454545445</v>
      </c>
      <c r="V41" s="1">
        <f t="shared" si="0"/>
        <v>7.6944369311148962E-4</v>
      </c>
      <c r="W41" s="1">
        <f t="shared" si="1"/>
        <v>6.8624585935270883E-4</v>
      </c>
    </row>
    <row r="42" spans="2:27">
      <c r="U42" s="1">
        <f t="shared" si="2"/>
        <v>260.18181818181807</v>
      </c>
      <c r="V42" s="1">
        <f t="shared" si="0"/>
        <v>4.3325159224338357E-4</v>
      </c>
      <c r="W42" s="1">
        <f t="shared" si="1"/>
        <v>3.8177878002529332E-4</v>
      </c>
    </row>
    <row r="43" spans="2:27">
      <c r="U43" s="1">
        <f t="shared" si="2"/>
        <v>269.8181818181817</v>
      </c>
      <c r="V43" s="1">
        <f t="shared" si="0"/>
        <v>2.3019625784842962E-4</v>
      </c>
      <c r="W43" s="1">
        <f t="shared" si="1"/>
        <v>2.0041886726228031E-4</v>
      </c>
    </row>
    <row r="44" spans="2:27">
      <c r="U44" s="1">
        <f t="shared" si="2"/>
        <v>279.45454545454533</v>
      </c>
      <c r="V44" s="1">
        <f t="shared" si="0"/>
        <v>1.154120405725367E-4</v>
      </c>
      <c r="W44" s="1">
        <f t="shared" si="1"/>
        <v>9.9279638982202243E-5</v>
      </c>
    </row>
    <row r="45" spans="2:27">
      <c r="U45" s="1">
        <f t="shared" si="2"/>
        <v>289.09090909090895</v>
      </c>
      <c r="V45" s="1">
        <f t="shared" si="0"/>
        <v>5.4600767670238723E-5</v>
      </c>
      <c r="W45" s="1">
        <f t="shared" si="1"/>
        <v>4.6406257320391309E-5</v>
      </c>
    </row>
    <row r="46" spans="2:27">
      <c r="U46" s="1">
        <f t="shared" si="2"/>
        <v>298.72727272727258</v>
      </c>
      <c r="V46" s="1">
        <f t="shared" si="0"/>
        <v>2.437480480037758E-5</v>
      </c>
      <c r="W46" s="1">
        <f t="shared" si="1"/>
        <v>2.0468577754506673E-5</v>
      </c>
    </row>
    <row r="47" spans="2:27">
      <c r="U47" s="1">
        <f t="shared" si="2"/>
        <v>308.3636363636362</v>
      </c>
      <c r="V47" s="1">
        <f t="shared" si="0"/>
        <v>1.0267821561026163E-5</v>
      </c>
      <c r="W47" s="1">
        <f t="shared" si="1"/>
        <v>8.5190969142288216E-6</v>
      </c>
    </row>
    <row r="59" spans="2:7">
      <c r="G59" s="6"/>
    </row>
    <row r="60" spans="2:7">
      <c r="G60" s="6"/>
    </row>
    <row r="61" spans="2:7">
      <c r="G61" s="6"/>
    </row>
    <row r="62" spans="2:7">
      <c r="G62" s="6"/>
    </row>
    <row r="64" spans="2:7">
      <c r="B64" s="9" t="s">
        <v>125</v>
      </c>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SS_Probt">
                <anchor moveWithCells="1" sizeWithCells="1">
                  <from>
                    <xdr:col>1</xdr:col>
                    <xdr:colOff>104775</xdr:colOff>
                    <xdr:row>21</xdr:row>
                    <xdr:rowOff>76200</xdr:rowOff>
                  </from>
                  <to>
                    <xdr:col>2</xdr:col>
                    <xdr:colOff>523875</xdr:colOff>
                    <xdr:row>23</xdr:row>
                    <xdr:rowOff>28575</xdr:rowOff>
                  </to>
                </anchor>
              </controlPr>
            </control>
          </mc:Choice>
        </mc:AlternateContent>
        <mc:AlternateContent xmlns:mc="http://schemas.openxmlformats.org/markup-compatibility/2006">
          <mc:Choice Requires="x14">
            <control shapeId="17419" r:id="rId4" name="Button 11">
              <controlPr defaultSize="0" print="0" autoFill="0" autoPict="0" macro="[0]!SS_Boss">
                <anchor moveWithCells="1" sizeWithCells="1">
                  <from>
                    <xdr:col>2</xdr:col>
                    <xdr:colOff>600075</xdr:colOff>
                    <xdr:row>21</xdr:row>
                    <xdr:rowOff>76200</xdr:rowOff>
                  </from>
                  <to>
                    <xdr:col>4</xdr:col>
                    <xdr:colOff>219075</xdr:colOff>
                    <xdr:row>23</xdr:row>
                    <xdr:rowOff>28575</xdr:rowOff>
                  </to>
                </anchor>
              </controlPr>
            </control>
          </mc:Choice>
        </mc:AlternateContent>
        <mc:AlternateContent xmlns:mc="http://schemas.openxmlformats.org/markup-compatibility/2006">
          <mc:Choice Requires="x14">
            <control shapeId="17421" r:id="rId5" name="Check Box 13">
              <controlPr defaultSize="0" autoFill="0" autoLine="0" autoPict="0">
                <anchor moveWithCells="1">
                  <from>
                    <xdr:col>11</xdr:col>
                    <xdr:colOff>600075</xdr:colOff>
                    <xdr:row>7</xdr:row>
                    <xdr:rowOff>180975</xdr:rowOff>
                  </from>
                  <to>
                    <xdr:col>13</xdr:col>
                    <xdr:colOff>142875</xdr:colOff>
                    <xdr:row>9</xdr:row>
                    <xdr:rowOff>38100</xdr:rowOff>
                  </to>
                </anchor>
              </controlPr>
            </control>
          </mc:Choice>
        </mc:AlternateContent>
        <mc:AlternateContent xmlns:mc="http://schemas.openxmlformats.org/markup-compatibility/2006">
          <mc:Choice Requires="x14">
            <control shapeId="17422" r:id="rId6" name="Check Box 14">
              <controlPr defaultSize="0" autoFill="0" autoLine="0" autoPict="0">
                <anchor moveWithCells="1">
                  <from>
                    <xdr:col>11</xdr:col>
                    <xdr:colOff>600075</xdr:colOff>
                    <xdr:row>9</xdr:row>
                    <xdr:rowOff>38100</xdr:rowOff>
                  </from>
                  <to>
                    <xdr:col>13</xdr:col>
                    <xdr:colOff>142875</xdr:colOff>
                    <xdr:row>10</xdr:row>
                    <xdr:rowOff>104775</xdr:rowOff>
                  </to>
                </anchor>
              </controlPr>
            </control>
          </mc:Choice>
        </mc:AlternateContent>
        <mc:AlternateContent xmlns:mc="http://schemas.openxmlformats.org/markup-compatibility/2006">
          <mc:Choice Requires="x14">
            <control shapeId="17423" r:id="rId7" name="Check Box 15">
              <controlPr defaultSize="0" autoFill="0" autoLine="0" autoPict="0">
                <anchor moveWithCells="1">
                  <from>
                    <xdr:col>11</xdr:col>
                    <xdr:colOff>600075</xdr:colOff>
                    <xdr:row>10</xdr:row>
                    <xdr:rowOff>104775</xdr:rowOff>
                  </from>
                  <to>
                    <xdr:col>13</xdr:col>
                    <xdr:colOff>142875</xdr:colOff>
                    <xdr:row>11</xdr:row>
                    <xdr:rowOff>142875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B1:AE63"/>
  <sheetViews>
    <sheetView workbookViewId="0">
      <selection activeCell="C2" sqref="C2"/>
    </sheetView>
  </sheetViews>
  <sheetFormatPr defaultColWidth="9.140625" defaultRowHeight="12.75"/>
  <cols>
    <col min="1" max="1" width="5.140625" style="1" customWidth="1"/>
    <col min="2" max="2" width="21.42578125" style="1" customWidth="1"/>
    <col min="3" max="16384" width="9.140625" style="1"/>
  </cols>
  <sheetData>
    <row r="1" spans="2:31" ht="27" thickBot="1">
      <c r="B1" s="17" t="s">
        <v>73</v>
      </c>
      <c r="G1" s="9" t="s">
        <v>122</v>
      </c>
    </row>
    <row r="2" spans="2:31" ht="13.5" thickBot="1">
      <c r="B2" s="1" t="s">
        <v>1</v>
      </c>
      <c r="C2" s="2">
        <v>0.9</v>
      </c>
      <c r="D2" s="1" t="s">
        <v>21</v>
      </c>
    </row>
    <row r="3" spans="2:31" ht="13.5" thickBot="1">
      <c r="C3" s="10"/>
    </row>
    <row r="4" spans="2:31" ht="13.5" thickBot="1">
      <c r="B4" s="8" t="s">
        <v>59</v>
      </c>
      <c r="C4" s="13">
        <v>2.5000000000000001E-2</v>
      </c>
      <c r="D4" s="1" t="s">
        <v>20</v>
      </c>
    </row>
    <row r="5" spans="2:31" ht="16.5" thickBot="1">
      <c r="B5" s="8" t="s">
        <v>26</v>
      </c>
      <c r="C5" s="3">
        <v>20</v>
      </c>
      <c r="D5" s="1" t="s">
        <v>30</v>
      </c>
      <c r="U5" s="1" t="s">
        <v>56</v>
      </c>
    </row>
    <row r="6" spans="2:31" ht="16.5" thickBot="1">
      <c r="B6" s="1" t="s">
        <v>17</v>
      </c>
      <c r="C6" s="3">
        <v>10</v>
      </c>
      <c r="D6" s="1" t="s">
        <v>29</v>
      </c>
      <c r="U6" s="1">
        <v>2</v>
      </c>
    </row>
    <row r="7" spans="2:31" ht="16.5" thickBot="1">
      <c r="B7" s="12" t="s">
        <v>5</v>
      </c>
      <c r="C7" s="3">
        <v>-2</v>
      </c>
      <c r="D7" s="44" t="s">
        <v>232</v>
      </c>
      <c r="K7" s="9" t="str">
        <f>IF(C7&gt;=C6,"WARNING: Expected mean difference higher than maximum allowable difference.","")</f>
        <v/>
      </c>
    </row>
    <row r="8" spans="2:31" ht="16.5" thickBot="1">
      <c r="B8" s="12" t="s">
        <v>119</v>
      </c>
      <c r="C8" s="11">
        <f>C6/C5</f>
        <v>0.5</v>
      </c>
    </row>
    <row r="10" spans="2:31" ht="16.5" thickBot="1">
      <c r="B10" s="8" t="s">
        <v>26</v>
      </c>
      <c r="C10" s="1">
        <f>C5</f>
        <v>20</v>
      </c>
      <c r="V10" s="44" t="s">
        <v>212</v>
      </c>
      <c r="W10" s="44" t="s">
        <v>210</v>
      </c>
      <c r="X10" s="44" t="s">
        <v>213</v>
      </c>
      <c r="Y10" s="44" t="s">
        <v>211</v>
      </c>
      <c r="AA10" s="44" t="s">
        <v>224</v>
      </c>
      <c r="AB10" s="44" t="s">
        <v>225</v>
      </c>
    </row>
    <row r="11" spans="2:31" ht="13.5" thickBot="1">
      <c r="B11" s="1" t="s">
        <v>16</v>
      </c>
      <c r="C11" s="7">
        <v>3</v>
      </c>
      <c r="U11" s="44" t="s">
        <v>206</v>
      </c>
      <c r="V11" s="30">
        <f>4*C5</f>
        <v>80</v>
      </c>
      <c r="W11" s="1">
        <f>$C$5</f>
        <v>20</v>
      </c>
      <c r="X11" s="1">
        <f>W11/SQRT(C20)</f>
        <v>11.547005383792516</v>
      </c>
      <c r="Y11" s="1">
        <f>TINV($C$4*2,$C$20-2)*X11</f>
        <v>146.7186144961793</v>
      </c>
      <c r="AA11" s="1">
        <f>V12+4*W12</f>
        <v>158</v>
      </c>
      <c r="AB11" s="1">
        <f>AA11/33</f>
        <v>4.7878787878787881</v>
      </c>
    </row>
    <row r="12" spans="2:31" ht="13.5" thickBot="1">
      <c r="B12" s="1" t="s">
        <v>15</v>
      </c>
      <c r="C12" s="1">
        <f>C11*(C3+1)-2</f>
        <v>1</v>
      </c>
      <c r="U12" s="44" t="s">
        <v>207</v>
      </c>
      <c r="V12" s="30">
        <f>V11+C7</f>
        <v>78</v>
      </c>
      <c r="W12" s="1">
        <f>$C$5</f>
        <v>20</v>
      </c>
      <c r="X12" s="1">
        <f>W12/SQRT(C20)</f>
        <v>11.547005383792516</v>
      </c>
      <c r="Y12" s="1">
        <f>TINV($C$4*2,$C$20-2)*X12</f>
        <v>146.7186144961793</v>
      </c>
    </row>
    <row r="13" spans="2:31">
      <c r="B13" s="1" t="s">
        <v>27</v>
      </c>
      <c r="C13" s="1">
        <f>TINV(C4*2,C12)</f>
        <v>12.706204736174707</v>
      </c>
      <c r="Y13" s="1" t="b">
        <v>1</v>
      </c>
      <c r="AC13" s="1" t="b">
        <v>0</v>
      </c>
    </row>
    <row r="14" spans="2:31">
      <c r="B14" s="1" t="s">
        <v>4</v>
      </c>
      <c r="C14" s="1">
        <f>ABS((C7-C6)*SQRT(C11)/SQRT(2*C10^2))</f>
        <v>0.73484692283495345</v>
      </c>
      <c r="U14" s="44" t="s">
        <v>205</v>
      </c>
      <c r="V14" s="44" t="s">
        <v>208</v>
      </c>
      <c r="W14" s="44" t="s">
        <v>209</v>
      </c>
      <c r="Y14" s="9" t="s">
        <v>220</v>
      </c>
      <c r="AC14" s="9" t="s">
        <v>222</v>
      </c>
    </row>
    <row r="15" spans="2:31">
      <c r="U15" s="1">
        <v>0</v>
      </c>
      <c r="V15" s="1">
        <f>_xlfn.NORM.DIST($U15,$V$11,$C$5,FALSE)</f>
        <v>6.6915112882442679E-6</v>
      </c>
      <c r="W15" s="1">
        <f>_xlfn.NORM.DIST($U15,$V$12,$C$5,FALSE)</f>
        <v>9.9327735696386359E-6</v>
      </c>
      <c r="Y15" s="44" t="s">
        <v>217</v>
      </c>
      <c r="Z15" s="44" t="s">
        <v>214</v>
      </c>
      <c r="AA15" s="44" t="s">
        <v>215</v>
      </c>
      <c r="AC15" s="44" t="s">
        <v>217</v>
      </c>
      <c r="AD15" s="44" t="s">
        <v>214</v>
      </c>
      <c r="AE15" s="44" t="s">
        <v>215</v>
      </c>
    </row>
    <row r="16" spans="2:31">
      <c r="U16" s="1">
        <f>U15+$AB$11</f>
        <v>4.7878787878787881</v>
      </c>
      <c r="V16" s="1">
        <f t="shared" ref="V16:V47" si="0">_xlfn.NORM.DIST($U16,$V$11,$C$5,FALSE)</f>
        <v>1.6941407610670937E-5</v>
      </c>
      <c r="W16" s="1">
        <f t="shared" ref="W16:W47" si="1">_xlfn.NORM.DIST($U16,$V$12,$C$5,FALSE)</f>
        <v>2.4552689145403102E-5</v>
      </c>
      <c r="Y16" s="44" t="s">
        <v>216</v>
      </c>
      <c r="Z16" s="1">
        <f>$V$11-$W$11</f>
        <v>60</v>
      </c>
      <c r="AA16" s="1">
        <v>0</v>
      </c>
      <c r="AC16" s="44" t="s">
        <v>216</v>
      </c>
      <c r="AD16" s="1">
        <f>$V$11-$Y$11</f>
        <v>-66.718614496179299</v>
      </c>
      <c r="AE16" s="1">
        <v>0</v>
      </c>
    </row>
    <row r="17" spans="2:31">
      <c r="B17" s="1" t="s">
        <v>6</v>
      </c>
      <c r="C17" s="1">
        <f>NCt(C13,C12,C14)</f>
        <v>0.9455797911116457</v>
      </c>
      <c r="U17" s="1">
        <f t="shared" ref="U17:U47" si="2">U16+$AB$11</f>
        <v>9.5757575757575761</v>
      </c>
      <c r="V17" s="1">
        <f t="shared" si="0"/>
        <v>4.0502850320500758E-5</v>
      </c>
      <c r="W17" s="1">
        <f t="shared" si="1"/>
        <v>5.7311056432337753E-5</v>
      </c>
      <c r="Y17" s="44" t="s">
        <v>218</v>
      </c>
      <c r="Z17" s="1">
        <f>Z16</f>
        <v>60</v>
      </c>
      <c r="AA17" s="1">
        <f>IF(Y13,MAX($V$15:$V$47),0)</f>
        <v>1.9898724584214315E-2</v>
      </c>
      <c r="AC17" s="44" t="s">
        <v>218</v>
      </c>
      <c r="AD17" s="1">
        <f>AD16</f>
        <v>-66.718614496179299</v>
      </c>
      <c r="AE17" s="1">
        <f>IF(AC13,MAX($V$15:$V$47),0)</f>
        <v>0</v>
      </c>
    </row>
    <row r="18" spans="2:31">
      <c r="B18" s="1" t="s">
        <v>58</v>
      </c>
      <c r="C18" s="1">
        <f>1-C17</f>
        <v>5.4420208888354304E-2</v>
      </c>
      <c r="E18" s="5"/>
      <c r="U18" s="1">
        <f t="shared" si="2"/>
        <v>14.363636363636363</v>
      </c>
      <c r="V18" s="1">
        <f t="shared" si="0"/>
        <v>9.1439217502151682E-5</v>
      </c>
      <c r="W18" s="1">
        <f t="shared" si="1"/>
        <v>1.2632478890519657E-4</v>
      </c>
      <c r="Y18" s="44" t="s">
        <v>219</v>
      </c>
      <c r="Z18" s="44" t="s">
        <v>214</v>
      </c>
      <c r="AA18" s="44" t="s">
        <v>215</v>
      </c>
      <c r="AC18" s="44" t="s">
        <v>219</v>
      </c>
      <c r="AD18" s="44" t="s">
        <v>214</v>
      </c>
      <c r="AE18" s="44" t="s">
        <v>215</v>
      </c>
    </row>
    <row r="19" spans="2:31">
      <c r="C19" s="9"/>
      <c r="D19" s="9"/>
      <c r="U19" s="1">
        <f t="shared" si="2"/>
        <v>19.151515151515152</v>
      </c>
      <c r="V19" s="1">
        <f t="shared" si="0"/>
        <v>1.9493518442765021E-4</v>
      </c>
      <c r="W19" s="1">
        <f t="shared" si="1"/>
        <v>2.6293570641790979E-4</v>
      </c>
      <c r="Y19" s="44" t="s">
        <v>216</v>
      </c>
      <c r="Z19" s="1">
        <f>$V$11+$W$11</f>
        <v>100</v>
      </c>
      <c r="AA19" s="1">
        <v>0</v>
      </c>
      <c r="AC19" s="44" t="s">
        <v>216</v>
      </c>
      <c r="AD19" s="1">
        <f>$V$11+$Y$11</f>
        <v>226.7186144961793</v>
      </c>
      <c r="AE19" s="1">
        <v>0</v>
      </c>
    </row>
    <row r="20" spans="2:31">
      <c r="B20" s="1" t="s">
        <v>11</v>
      </c>
      <c r="C20" s="1">
        <f>CEILING(C11,1)</f>
        <v>3</v>
      </c>
      <c r="U20" s="1">
        <f t="shared" si="2"/>
        <v>23.939393939393941</v>
      </c>
      <c r="V20" s="1">
        <f t="shared" si="0"/>
        <v>3.92426913151595E-4</v>
      </c>
      <c r="W20" s="1">
        <f t="shared" si="1"/>
        <v>5.1679865073369193E-4</v>
      </c>
      <c r="Y20" s="44" t="s">
        <v>218</v>
      </c>
      <c r="Z20" s="1">
        <f>Z19</f>
        <v>100</v>
      </c>
      <c r="AA20" s="1">
        <f>AA17</f>
        <v>1.9898724584214315E-2</v>
      </c>
      <c r="AC20" s="44" t="s">
        <v>218</v>
      </c>
      <c r="AD20" s="1">
        <f>AD19</f>
        <v>226.7186144961793</v>
      </c>
      <c r="AE20" s="1">
        <f>AE17</f>
        <v>0</v>
      </c>
    </row>
    <row r="21" spans="2:31">
      <c r="U21" s="1">
        <f t="shared" si="2"/>
        <v>28.72727272727273</v>
      </c>
      <c r="V21" s="1">
        <f t="shared" si="0"/>
        <v>7.4599884259869123E-4</v>
      </c>
      <c r="W21" s="1">
        <f t="shared" si="1"/>
        <v>9.5918856772456726E-4</v>
      </c>
    </row>
    <row r="22" spans="2:31">
      <c r="U22" s="1">
        <f t="shared" si="2"/>
        <v>33.515151515151516</v>
      </c>
      <c r="V22" s="1">
        <f t="shared" si="0"/>
        <v>1.3391472742514188E-3</v>
      </c>
      <c r="W22" s="1">
        <f t="shared" si="1"/>
        <v>1.6811150463606661E-3</v>
      </c>
      <c r="Y22" s="9" t="s">
        <v>221</v>
      </c>
      <c r="AC22" s="9" t="s">
        <v>223</v>
      </c>
    </row>
    <row r="23" spans="2:31">
      <c r="U23" s="1">
        <f t="shared" si="2"/>
        <v>38.303030303030305</v>
      </c>
      <c r="V23" s="1">
        <f t="shared" si="0"/>
        <v>2.2700182471111548E-3</v>
      </c>
      <c r="W23" s="1">
        <f t="shared" si="1"/>
        <v>2.7822855168983234E-3</v>
      </c>
      <c r="Y23" s="44" t="s">
        <v>217</v>
      </c>
      <c r="Z23" s="44" t="s">
        <v>214</v>
      </c>
      <c r="AA23" s="44" t="s">
        <v>215</v>
      </c>
      <c r="AC23" s="44" t="s">
        <v>217</v>
      </c>
      <c r="AD23" s="44" t="s">
        <v>214</v>
      </c>
      <c r="AE23" s="44" t="s">
        <v>215</v>
      </c>
    </row>
    <row r="24" spans="2:31">
      <c r="U24" s="1">
        <f t="shared" si="2"/>
        <v>43.090909090909093</v>
      </c>
      <c r="V24" s="1">
        <f t="shared" si="0"/>
        <v>3.6336339386543325E-3</v>
      </c>
      <c r="W24" s="1">
        <f t="shared" si="1"/>
        <v>4.3482727057223506E-3</v>
      </c>
      <c r="Y24" s="44" t="s">
        <v>216</v>
      </c>
      <c r="Z24" s="1">
        <f>$V$12-$W$12</f>
        <v>58</v>
      </c>
      <c r="AA24" s="1">
        <v>0</v>
      </c>
      <c r="AC24" s="44" t="s">
        <v>216</v>
      </c>
      <c r="AD24" s="1">
        <f>$V$12-$Y$12</f>
        <v>-68.718614496179299</v>
      </c>
      <c r="AE24" s="1">
        <v>0</v>
      </c>
    </row>
    <row r="25" spans="2:31">
      <c r="U25" s="1">
        <f t="shared" si="2"/>
        <v>47.878787878787882</v>
      </c>
      <c r="V25" s="1">
        <f t="shared" si="0"/>
        <v>5.4924209732535069E-3</v>
      </c>
      <c r="W25" s="1">
        <f t="shared" si="1"/>
        <v>6.4171570829679144E-3</v>
      </c>
      <c r="Y25" s="44" t="s">
        <v>218</v>
      </c>
      <c r="Z25" s="1">
        <f>Z24</f>
        <v>58</v>
      </c>
      <c r="AA25" s="1">
        <f>IF(Y13,MAX($W$15:$W$47),0)</f>
        <v>1.9898724584214312E-2</v>
      </c>
      <c r="AC25" s="44" t="s">
        <v>218</v>
      </c>
      <c r="AD25" s="1">
        <f>AD24</f>
        <v>-68.718614496179299</v>
      </c>
      <c r="AE25" s="1">
        <f>IF(AC13,MAX($W$15:$W$47),0)</f>
        <v>0</v>
      </c>
    </row>
    <row r="26" spans="2:31">
      <c r="U26" s="1">
        <f t="shared" si="2"/>
        <v>52.666666666666671</v>
      </c>
      <c r="V26" s="1">
        <f t="shared" si="0"/>
        <v>7.8396609192754318E-3</v>
      </c>
      <c r="W26" s="1">
        <f t="shared" si="1"/>
        <v>8.9429208247270298E-3</v>
      </c>
      <c r="Y26" s="44" t="s">
        <v>219</v>
      </c>
      <c r="Z26" s="44" t="s">
        <v>214</v>
      </c>
      <c r="AA26" s="44" t="s">
        <v>215</v>
      </c>
      <c r="AC26" s="44" t="s">
        <v>219</v>
      </c>
      <c r="AD26" s="44" t="s">
        <v>214</v>
      </c>
      <c r="AE26" s="44" t="s">
        <v>215</v>
      </c>
    </row>
    <row r="27" spans="2:31">
      <c r="U27" s="1">
        <f t="shared" si="2"/>
        <v>57.45454545454546</v>
      </c>
      <c r="V27" s="1">
        <f t="shared" si="0"/>
        <v>1.0566753093708884E-2</v>
      </c>
      <c r="W27" s="1">
        <f t="shared" si="1"/>
        <v>1.1768657388551491E-2</v>
      </c>
      <c r="Y27" s="44" t="s">
        <v>216</v>
      </c>
      <c r="Z27" s="1">
        <f>$V$12+$W$12</f>
        <v>98</v>
      </c>
      <c r="AA27" s="1">
        <v>0</v>
      </c>
      <c r="AC27" s="44" t="s">
        <v>216</v>
      </c>
      <c r="AD27" s="1">
        <f>$V$12+$Y$12</f>
        <v>224.7186144961793</v>
      </c>
      <c r="AE27" s="1">
        <v>0</v>
      </c>
    </row>
    <row r="28" spans="2:31">
      <c r="U28" s="1">
        <f t="shared" si="2"/>
        <v>62.242424242424249</v>
      </c>
      <c r="V28" s="1">
        <f t="shared" si="0"/>
        <v>1.344920640875991E-2</v>
      </c>
      <c r="W28" s="1">
        <f t="shared" si="1"/>
        <v>1.4624642962929819E-2</v>
      </c>
      <c r="Y28" s="44" t="s">
        <v>218</v>
      </c>
      <c r="Z28" s="1">
        <f>Z27</f>
        <v>98</v>
      </c>
      <c r="AA28" s="1">
        <f>AA25</f>
        <v>1.9898724584214312E-2</v>
      </c>
      <c r="AC28" s="44" t="s">
        <v>218</v>
      </c>
      <c r="AD28" s="1">
        <f>AD27</f>
        <v>224.7186144961793</v>
      </c>
      <c r="AE28" s="1">
        <f>AE25</f>
        <v>0</v>
      </c>
    </row>
    <row r="29" spans="2:31">
      <c r="U29" s="1">
        <f t="shared" si="2"/>
        <v>67.030303030303031</v>
      </c>
      <c r="V29" s="1">
        <f t="shared" si="0"/>
        <v>1.6164511205090763E-2</v>
      </c>
      <c r="W29" s="1">
        <f t="shared" si="1"/>
        <v>1.7161468335135825E-2</v>
      </c>
      <c r="Y29" s="1" t="b">
        <v>1</v>
      </c>
    </row>
    <row r="30" spans="2:31">
      <c r="U30" s="1">
        <f t="shared" si="2"/>
        <v>71.818181818181813</v>
      </c>
      <c r="V30" s="1">
        <f t="shared" si="0"/>
        <v>1.834591229138861E-2</v>
      </c>
      <c r="W30" s="1">
        <f t="shared" si="1"/>
        <v>1.9016668369460459E-2</v>
      </c>
      <c r="Y30" s="9" t="s">
        <v>226</v>
      </c>
    </row>
    <row r="31" spans="2:31">
      <c r="U31" s="1">
        <f t="shared" si="2"/>
        <v>76.606060606060595</v>
      </c>
      <c r="V31" s="1">
        <f t="shared" si="0"/>
        <v>1.9661962691716266E-2</v>
      </c>
      <c r="W31" s="1">
        <f t="shared" si="1"/>
        <v>1.9898724584214312E-2</v>
      </c>
      <c r="Y31" s="44" t="s">
        <v>217</v>
      </c>
      <c r="Z31" s="44" t="s">
        <v>214</v>
      </c>
      <c r="AA31" s="44" t="s">
        <v>215</v>
      </c>
    </row>
    <row r="32" spans="2:31">
      <c r="U32" s="1">
        <f t="shared" si="2"/>
        <v>81.393939393939377</v>
      </c>
      <c r="V32" s="1">
        <f t="shared" si="0"/>
        <v>1.9898724584214315E-2</v>
      </c>
      <c r="W32" s="1">
        <f t="shared" si="1"/>
        <v>1.9661962691716269E-2</v>
      </c>
      <c r="Y32" s="44" t="s">
        <v>216</v>
      </c>
      <c r="Z32" s="1">
        <f>$V$12-$C$6</f>
        <v>68</v>
      </c>
      <c r="AA32" s="1">
        <v>0</v>
      </c>
    </row>
    <row r="33" spans="2:27">
      <c r="U33" s="1">
        <f t="shared" si="2"/>
        <v>86.181818181818159</v>
      </c>
      <c r="V33" s="1">
        <f t="shared" si="0"/>
        <v>1.9016668369460466E-2</v>
      </c>
      <c r="W33" s="1">
        <f t="shared" si="1"/>
        <v>1.8345912291388617E-2</v>
      </c>
      <c r="Y33" s="44" t="s">
        <v>218</v>
      </c>
      <c r="Z33" s="1">
        <f>Z32</f>
        <v>68</v>
      </c>
      <c r="AA33" s="1">
        <f>IF($Y$29,MAX($V$15:$W$47),0)</f>
        <v>1.9898724584214315E-2</v>
      </c>
    </row>
    <row r="34" spans="2:27">
      <c r="U34" s="1">
        <f t="shared" si="2"/>
        <v>90.96969696969694</v>
      </c>
      <c r="V34" s="1">
        <f t="shared" si="0"/>
        <v>1.7161468335135838E-2</v>
      </c>
      <c r="W34" s="1">
        <f t="shared" si="1"/>
        <v>1.6164511205090777E-2</v>
      </c>
      <c r="Y34" s="44" t="s">
        <v>219</v>
      </c>
      <c r="Z34" s="44" t="s">
        <v>214</v>
      </c>
      <c r="AA34" s="44" t="s">
        <v>215</v>
      </c>
    </row>
    <row r="35" spans="2:27">
      <c r="U35" s="1">
        <f t="shared" si="2"/>
        <v>95.757575757575722</v>
      </c>
      <c r="V35" s="1">
        <f t="shared" si="0"/>
        <v>1.4624642962929837E-2</v>
      </c>
      <c r="W35" s="1">
        <f t="shared" si="1"/>
        <v>1.3449206408759923E-2</v>
      </c>
      <c r="Y35" s="44" t="s">
        <v>216</v>
      </c>
      <c r="Z35" s="1">
        <f>$V$12+$C$6</f>
        <v>88</v>
      </c>
      <c r="AA35" s="1">
        <v>0</v>
      </c>
    </row>
    <row r="36" spans="2:27">
      <c r="U36" s="1">
        <f t="shared" si="2"/>
        <v>100.5454545454545</v>
      </c>
      <c r="V36" s="1">
        <f t="shared" si="0"/>
        <v>1.176865738855151E-2</v>
      </c>
      <c r="W36" s="1">
        <f t="shared" si="1"/>
        <v>1.0566753093708905E-2</v>
      </c>
      <c r="Y36" s="44" t="s">
        <v>218</v>
      </c>
      <c r="Z36" s="1">
        <f>Z35</f>
        <v>88</v>
      </c>
      <c r="AA36" s="1">
        <f>AA33</f>
        <v>1.9898724584214315E-2</v>
      </c>
    </row>
    <row r="37" spans="2:27" ht="20.25" customHeight="1">
      <c r="U37" s="1">
        <f t="shared" si="2"/>
        <v>105.33333333333329</v>
      </c>
      <c r="V37" s="1">
        <f t="shared" si="0"/>
        <v>8.9429208247270523E-3</v>
      </c>
      <c r="W37" s="1">
        <f t="shared" si="1"/>
        <v>7.8396609192754544E-3</v>
      </c>
    </row>
    <row r="38" spans="2:27">
      <c r="U38" s="1">
        <f t="shared" si="2"/>
        <v>110.12121212121207</v>
      </c>
      <c r="V38" s="1">
        <f t="shared" si="0"/>
        <v>6.4171570829679369E-3</v>
      </c>
      <c r="W38" s="1">
        <f t="shared" si="1"/>
        <v>5.4924209732535294E-3</v>
      </c>
    </row>
    <row r="39" spans="2:27">
      <c r="U39" s="1">
        <f t="shared" si="2"/>
        <v>114.90909090909085</v>
      </c>
      <c r="V39" s="1">
        <f t="shared" si="0"/>
        <v>4.3482727057223731E-3</v>
      </c>
      <c r="W39" s="1">
        <f t="shared" si="1"/>
        <v>3.6336339386543498E-3</v>
      </c>
    </row>
    <row r="40" spans="2:27">
      <c r="U40" s="1">
        <f t="shared" si="2"/>
        <v>119.69696969696963</v>
      </c>
      <c r="V40" s="1">
        <f t="shared" si="0"/>
        <v>2.7822855168983412E-3</v>
      </c>
      <c r="W40" s="1">
        <f t="shared" si="1"/>
        <v>2.2700182471111709E-3</v>
      </c>
    </row>
    <row r="41" spans="2:27">
      <c r="U41" s="1">
        <f t="shared" si="2"/>
        <v>124.48484848484841</v>
      </c>
      <c r="V41" s="1">
        <f t="shared" si="0"/>
        <v>1.6811150463606796E-3</v>
      </c>
      <c r="W41" s="1">
        <f t="shared" si="1"/>
        <v>1.3391472742514297E-3</v>
      </c>
    </row>
    <row r="42" spans="2:27" ht="18">
      <c r="B42" s="28" t="s">
        <v>123</v>
      </c>
      <c r="U42" s="1">
        <f t="shared" si="2"/>
        <v>129.2727272727272</v>
      </c>
      <c r="V42" s="1">
        <f t="shared" si="0"/>
        <v>9.5918856772457572E-4</v>
      </c>
      <c r="W42" s="1">
        <f t="shared" si="1"/>
        <v>7.4599884259869784E-4</v>
      </c>
    </row>
    <row r="43" spans="2:27">
      <c r="U43" s="1">
        <f t="shared" si="2"/>
        <v>134.06060606060598</v>
      </c>
      <c r="V43" s="1">
        <f t="shared" si="0"/>
        <v>5.1679865073369822E-4</v>
      </c>
      <c r="W43" s="1">
        <f t="shared" si="1"/>
        <v>3.9242691315159988E-4</v>
      </c>
    </row>
    <row r="44" spans="2:27">
      <c r="U44" s="1">
        <f t="shared" si="2"/>
        <v>138.84848484848476</v>
      </c>
      <c r="V44" s="1">
        <f t="shared" si="0"/>
        <v>2.6293570641791332E-4</v>
      </c>
      <c r="W44" s="1">
        <f t="shared" si="1"/>
        <v>1.9493518442765262E-4</v>
      </c>
    </row>
    <row r="45" spans="2:27">
      <c r="U45" s="1">
        <f t="shared" si="2"/>
        <v>143.63636363636354</v>
      </c>
      <c r="V45" s="1">
        <f t="shared" si="0"/>
        <v>1.263247889051985E-4</v>
      </c>
      <c r="W45" s="1">
        <f t="shared" si="1"/>
        <v>9.1439217502153241E-5</v>
      </c>
    </row>
    <row r="46" spans="2:27">
      <c r="U46" s="1">
        <f t="shared" si="2"/>
        <v>148.42424242424232</v>
      </c>
      <c r="V46" s="1">
        <f t="shared" si="0"/>
        <v>5.7311056432338715E-5</v>
      </c>
      <c r="W46" s="1">
        <f t="shared" si="1"/>
        <v>4.0502850320501477E-5</v>
      </c>
    </row>
    <row r="47" spans="2:27">
      <c r="U47" s="1">
        <f t="shared" si="2"/>
        <v>153.2121212121211</v>
      </c>
      <c r="V47" s="1">
        <f t="shared" si="0"/>
        <v>2.4552689145403606E-5</v>
      </c>
      <c r="W47" s="1">
        <f t="shared" si="1"/>
        <v>1.6941407610671282E-5</v>
      </c>
    </row>
    <row r="58" spans="2:7">
      <c r="B58" s="9" t="s">
        <v>125</v>
      </c>
    </row>
    <row r="60" spans="2:7">
      <c r="G60" s="6"/>
    </row>
    <row r="61" spans="2:7">
      <c r="G61" s="6"/>
    </row>
    <row r="62" spans="2:7">
      <c r="G62" s="6"/>
    </row>
    <row r="63" spans="2:7">
      <c r="G63"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SS_Probt">
                <anchor moveWithCells="1" sizeWithCells="1">
                  <from>
                    <xdr:col>1</xdr:col>
                    <xdr:colOff>104775</xdr:colOff>
                    <xdr:row>21</xdr:row>
                    <xdr:rowOff>76200</xdr:rowOff>
                  </from>
                  <to>
                    <xdr:col>2</xdr:col>
                    <xdr:colOff>523875</xdr:colOff>
                    <xdr:row>23</xdr:row>
                    <xdr:rowOff>28575</xdr:rowOff>
                  </to>
                </anchor>
              </controlPr>
            </control>
          </mc:Choice>
        </mc:AlternateContent>
        <mc:AlternateContent xmlns:mc="http://schemas.openxmlformats.org/markup-compatibility/2006">
          <mc:Choice Requires="x14">
            <control shapeId="18439" r:id="rId4" name="Button 7">
              <controlPr defaultSize="0" print="0" autoFill="0" autoPict="0" macro="[0]!SS_Boss">
                <anchor moveWithCells="1" sizeWithCells="1">
                  <from>
                    <xdr:col>2</xdr:col>
                    <xdr:colOff>600075</xdr:colOff>
                    <xdr:row>21</xdr:row>
                    <xdr:rowOff>76200</xdr:rowOff>
                  </from>
                  <to>
                    <xdr:col>4</xdr:col>
                    <xdr:colOff>219075</xdr:colOff>
                    <xdr:row>23</xdr:row>
                    <xdr:rowOff>28575</xdr:rowOff>
                  </to>
                </anchor>
              </controlPr>
            </control>
          </mc:Choice>
        </mc:AlternateContent>
        <mc:AlternateContent xmlns:mc="http://schemas.openxmlformats.org/markup-compatibility/2006">
          <mc:Choice Requires="x14">
            <control shapeId="18441" r:id="rId5" name="Check Box 9">
              <controlPr defaultSize="0" autoFill="0" autoLine="0" autoPict="0">
                <anchor moveWithCells="1">
                  <from>
                    <xdr:col>10</xdr:col>
                    <xdr:colOff>485775</xdr:colOff>
                    <xdr:row>8</xdr:row>
                    <xdr:rowOff>66675</xdr:rowOff>
                  </from>
                  <to>
                    <xdr:col>12</xdr:col>
                    <xdr:colOff>28575</xdr:colOff>
                    <xdr:row>9</xdr:row>
                    <xdr:rowOff>104775</xdr:rowOff>
                  </to>
                </anchor>
              </controlPr>
            </control>
          </mc:Choice>
        </mc:AlternateContent>
        <mc:AlternateContent xmlns:mc="http://schemas.openxmlformats.org/markup-compatibility/2006">
          <mc:Choice Requires="x14">
            <control shapeId="18442" r:id="rId6" name="Check Box 10">
              <controlPr defaultSize="0" autoFill="0" autoLine="0" autoPict="0">
                <anchor moveWithCells="1">
                  <from>
                    <xdr:col>10</xdr:col>
                    <xdr:colOff>485775</xdr:colOff>
                    <xdr:row>9</xdr:row>
                    <xdr:rowOff>104775</xdr:rowOff>
                  </from>
                  <to>
                    <xdr:col>12</xdr:col>
                    <xdr:colOff>28575</xdr:colOff>
                    <xdr:row>10</xdr:row>
                    <xdr:rowOff>104775</xdr:rowOff>
                  </to>
                </anchor>
              </controlPr>
            </control>
          </mc:Choice>
        </mc:AlternateContent>
        <mc:AlternateContent xmlns:mc="http://schemas.openxmlformats.org/markup-compatibility/2006">
          <mc:Choice Requires="x14">
            <control shapeId="18443" r:id="rId7" name="Check Box 11">
              <controlPr defaultSize="0" autoFill="0" autoLine="0" autoPict="0">
                <anchor moveWithCells="1">
                  <from>
                    <xdr:col>10</xdr:col>
                    <xdr:colOff>485775</xdr:colOff>
                    <xdr:row>10</xdr:row>
                    <xdr:rowOff>104775</xdr:rowOff>
                  </from>
                  <to>
                    <xdr:col>12</xdr:col>
                    <xdr:colOff>28575</xdr:colOff>
                    <xdr:row>11</xdr:row>
                    <xdr:rowOff>142875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B1:AE70"/>
  <sheetViews>
    <sheetView workbookViewId="0">
      <selection activeCell="C2" sqref="C2"/>
    </sheetView>
  </sheetViews>
  <sheetFormatPr defaultColWidth="9.140625" defaultRowHeight="12.75"/>
  <cols>
    <col min="1" max="1" width="5.140625" style="1" customWidth="1"/>
    <col min="2" max="2" width="21.42578125" style="1" customWidth="1"/>
    <col min="3" max="26" width="9.140625" style="1"/>
    <col min="27" max="27" width="20.42578125" style="1" bestFit="1" customWidth="1"/>
    <col min="28" max="16384" width="9.140625" style="1"/>
  </cols>
  <sheetData>
    <row r="1" spans="2:31" ht="27" thickBot="1">
      <c r="B1" s="17" t="s">
        <v>75</v>
      </c>
      <c r="G1" s="9" t="s">
        <v>122</v>
      </c>
    </row>
    <row r="2" spans="2:31" ht="13.5" thickBot="1">
      <c r="B2" s="1" t="s">
        <v>1</v>
      </c>
      <c r="C2" s="2">
        <v>0.8</v>
      </c>
    </row>
    <row r="3" spans="2:31" ht="13.5" thickBot="1">
      <c r="B3" s="1" t="s">
        <v>233</v>
      </c>
      <c r="C3" s="49">
        <v>1</v>
      </c>
      <c r="D3" s="1" t="s">
        <v>234</v>
      </c>
    </row>
    <row r="4" spans="2:31" ht="13.5" thickBot="1">
      <c r="B4" s="8" t="s">
        <v>59</v>
      </c>
      <c r="C4" s="2">
        <v>0.05</v>
      </c>
    </row>
    <row r="5" spans="2:31" ht="13.5" thickBot="1">
      <c r="B5" s="44" t="s">
        <v>237</v>
      </c>
      <c r="C5" s="43">
        <v>0.8</v>
      </c>
      <c r="D5" s="76" t="s">
        <v>247</v>
      </c>
      <c r="U5" s="1" t="s">
        <v>56</v>
      </c>
    </row>
    <row r="6" spans="2:31" ht="16.5" thickBot="1">
      <c r="B6" s="1" t="s">
        <v>34</v>
      </c>
      <c r="C6" s="43">
        <v>0.95</v>
      </c>
      <c r="D6" s="1" t="str">
        <f>IF(C6=1,"","(to "&amp;ROUND(100/C6,1)&amp;"%)")&amp;IF(OR($C$6&lt;$C$7,$C$6&gt;$C$8)," WARNING: Ratio outside BE limits.","")</f>
        <v>(to 105.3%)</v>
      </c>
      <c r="U6" s="1">
        <v>1</v>
      </c>
    </row>
    <row r="7" spans="2:31" ht="13.5" thickBot="1">
      <c r="B7" s="1" t="s">
        <v>9</v>
      </c>
      <c r="C7" s="13">
        <v>0.8</v>
      </c>
    </row>
    <row r="8" spans="2:31" ht="13.5" thickBot="1">
      <c r="B8" s="1" t="s">
        <v>10</v>
      </c>
      <c r="C8" s="13">
        <f>1/C7</f>
        <v>1.25</v>
      </c>
    </row>
    <row r="10" spans="2:31" ht="13.5" thickBot="1">
      <c r="B10" s="12" t="s">
        <v>18</v>
      </c>
      <c r="C10" s="1">
        <f>SQRT(LN((C5)^2+1))</f>
        <v>0.70334645931866824</v>
      </c>
      <c r="V10" s="44" t="s">
        <v>212</v>
      </c>
      <c r="W10" s="44" t="s">
        <v>210</v>
      </c>
      <c r="X10" s="44" t="s">
        <v>213</v>
      </c>
      <c r="Y10" s="44" t="s">
        <v>211</v>
      </c>
      <c r="AA10" s="44" t="s">
        <v>224</v>
      </c>
      <c r="AB10" s="44" t="s">
        <v>225</v>
      </c>
    </row>
    <row r="11" spans="2:31" ht="16.5" thickBot="1">
      <c r="B11" s="1" t="s">
        <v>35</v>
      </c>
      <c r="C11" s="7">
        <v>3</v>
      </c>
      <c r="U11" s="44" t="s">
        <v>206</v>
      </c>
      <c r="V11" s="45">
        <f>C6</f>
        <v>0.95</v>
      </c>
      <c r="W11" s="1">
        <f>$C$10</f>
        <v>0.70334645931866824</v>
      </c>
      <c r="X11" s="1">
        <f>W11/SQRT(C20)</f>
        <v>0.40607726762120328</v>
      </c>
      <c r="Y11" s="1">
        <f>TINV($C$4*2,$C$20-2)*X11</f>
        <v>2.5638709635184753</v>
      </c>
      <c r="AA11" s="46">
        <f>V11+4*W11</f>
        <v>3.7633858372746731</v>
      </c>
      <c r="AB11" s="1">
        <f>AA11/33</f>
        <v>0.11404199506892949</v>
      </c>
    </row>
    <row r="12" spans="2:31" ht="15.75">
      <c r="B12" s="1" t="s">
        <v>36</v>
      </c>
      <c r="C12" s="1">
        <f>C11*(C3+1)-2</f>
        <v>4</v>
      </c>
      <c r="U12" s="44"/>
    </row>
    <row r="13" spans="2:31" ht="15.75">
      <c r="B13" s="1" t="s">
        <v>37</v>
      </c>
      <c r="C13" s="1">
        <f>TINV(C4*2,C12)</f>
        <v>2.1318467863266499</v>
      </c>
      <c r="Y13" s="1" t="b">
        <v>0</v>
      </c>
      <c r="AC13" s="1" t="b">
        <v>1</v>
      </c>
    </row>
    <row r="14" spans="2:31">
      <c r="B14" s="1" t="s">
        <v>3</v>
      </c>
      <c r="C14" s="1">
        <f>SQRT(C3*C11)*(LN(C6)-LN(C8))/SQRT((C3+1)*C10^2)</f>
        <v>-0.47787987675335786</v>
      </c>
      <c r="U14" s="44" t="s">
        <v>205</v>
      </c>
      <c r="V14" s="44" t="s">
        <v>227</v>
      </c>
      <c r="W14" s="44"/>
      <c r="Y14" s="9" t="s">
        <v>220</v>
      </c>
      <c r="AC14" s="9" t="s">
        <v>222</v>
      </c>
    </row>
    <row r="15" spans="2:31">
      <c r="B15" s="1" t="s">
        <v>4</v>
      </c>
      <c r="C15" s="1">
        <f>SQRT(C3*C11)*(LN(C6)-LN(C7))/SQRT((C3+1)*C10^2)</f>
        <v>0.29924472929335222</v>
      </c>
      <c r="N15" s="44" t="s">
        <v>244</v>
      </c>
      <c r="U15" s="1">
        <v>0</v>
      </c>
      <c r="V15" s="1">
        <f>_xlfn.NORM.DIST($U15,$V$11,$C$5,FALSE)</f>
        <v>0.24638175239823415</v>
      </c>
      <c r="Y15" s="44" t="s">
        <v>217</v>
      </c>
      <c r="Z15" s="44" t="s">
        <v>214</v>
      </c>
      <c r="AA15" s="44" t="s">
        <v>215</v>
      </c>
      <c r="AC15" s="44" t="s">
        <v>217</v>
      </c>
      <c r="AD15" s="44" t="s">
        <v>214</v>
      </c>
      <c r="AE15" s="44" t="s">
        <v>215</v>
      </c>
    </row>
    <row r="16" spans="2:31">
      <c r="B16" s="1" t="s">
        <v>7</v>
      </c>
      <c r="C16" s="1">
        <f>NCt(-C13,C12,C14)</f>
        <v>0.10711223508099388</v>
      </c>
      <c r="N16" s="44" t="s">
        <v>245</v>
      </c>
      <c r="U16" s="1">
        <f>U15+$AB$11</f>
        <v>0.11404199506892949</v>
      </c>
      <c r="V16" s="1">
        <f t="shared" ref="V16:V47" si="0">_xlfn.NORM.DIST($U16,$V$11,$C$5,FALSE)</f>
        <v>0.2888774794762195</v>
      </c>
      <c r="Y16" s="44" t="s">
        <v>216</v>
      </c>
      <c r="Z16" s="1">
        <f>$V$11-$W$11</f>
        <v>0.24665354068133172</v>
      </c>
      <c r="AA16" s="1">
        <v>0</v>
      </c>
      <c r="AC16" s="44" t="s">
        <v>216</v>
      </c>
      <c r="AD16" s="1">
        <f>$V$11-$Y$11</f>
        <v>-1.6138709635184754</v>
      </c>
      <c r="AE16" s="1">
        <v>0</v>
      </c>
    </row>
    <row r="17" spans="2:31" ht="13.5" thickBot="1">
      <c r="B17" s="1" t="s">
        <v>6</v>
      </c>
      <c r="C17" s="1">
        <f>NCt(C13,C12,C15)</f>
        <v>0.91805097802087354</v>
      </c>
      <c r="N17" s="56" t="s">
        <v>246</v>
      </c>
      <c r="O17" s="57"/>
      <c r="P17" s="58"/>
      <c r="U17" s="1">
        <f t="shared" ref="U17:U47" si="1">U16+$AB$11</f>
        <v>0.22808399013785899</v>
      </c>
      <c r="V17" s="1">
        <f t="shared" si="0"/>
        <v>0.33188944549186422</v>
      </c>
      <c r="Y17" s="44" t="s">
        <v>218</v>
      </c>
      <c r="Z17" s="1">
        <f>Z16</f>
        <v>0.24665354068133172</v>
      </c>
      <c r="AA17" s="1">
        <f>IF(Y13,MAX($V$15:$V$47),0)</f>
        <v>0</v>
      </c>
      <c r="AC17" s="44" t="s">
        <v>218</v>
      </c>
      <c r="AD17" s="1">
        <f>AD16</f>
        <v>-1.6138709635184754</v>
      </c>
      <c r="AE17" s="1">
        <f>IF(AC13,MAX($V$15:$V$47),0)</f>
        <v>0.49812548917176475</v>
      </c>
    </row>
    <row r="18" spans="2:31" ht="13.5" thickBot="1">
      <c r="B18" s="1" t="s">
        <v>58</v>
      </c>
      <c r="C18" s="1">
        <f>C16-C17</f>
        <v>-0.81093874293987966</v>
      </c>
      <c r="E18" s="5"/>
      <c r="N18" s="59" t="s">
        <v>238</v>
      </c>
      <c r="O18" s="64">
        <v>0.3</v>
      </c>
      <c r="P18" s="60"/>
      <c r="U18" s="1">
        <f t="shared" si="1"/>
        <v>0.3421259852067885</v>
      </c>
      <c r="V18" s="1">
        <f t="shared" si="0"/>
        <v>0.37363521879612333</v>
      </c>
      <c r="Y18" s="44" t="s">
        <v>219</v>
      </c>
      <c r="Z18" s="44" t="s">
        <v>214</v>
      </c>
      <c r="AA18" s="44" t="s">
        <v>215</v>
      </c>
      <c r="AC18" s="44" t="s">
        <v>219</v>
      </c>
      <c r="AD18" s="44" t="s">
        <v>214</v>
      </c>
      <c r="AE18" s="44" t="s">
        <v>215</v>
      </c>
    </row>
    <row r="19" spans="2:31" ht="15" thickBot="1">
      <c r="C19" s="16" t="s">
        <v>63</v>
      </c>
      <c r="D19" s="16" t="s">
        <v>64</v>
      </c>
      <c r="E19" s="16" t="s">
        <v>66</v>
      </c>
      <c r="N19" s="59" t="s">
        <v>239</v>
      </c>
      <c r="O19" s="64">
        <v>0.2</v>
      </c>
      <c r="P19" s="60"/>
      <c r="U19" s="1">
        <f t="shared" si="1"/>
        <v>0.45616798027571798</v>
      </c>
      <c r="V19" s="1">
        <f t="shared" si="0"/>
        <v>0.41217038093519348</v>
      </c>
      <c r="Y19" s="44" t="s">
        <v>216</v>
      </c>
      <c r="Z19" s="1">
        <f>$V$11+$W$11</f>
        <v>1.6533464593186682</v>
      </c>
      <c r="AA19" s="1">
        <v>0</v>
      </c>
      <c r="AC19" s="44" t="s">
        <v>216</v>
      </c>
      <c r="AD19" s="1">
        <f>$V$11+$Y$11</f>
        <v>3.5138709635184755</v>
      </c>
      <c r="AE19" s="1">
        <v>0</v>
      </c>
    </row>
    <row r="20" spans="2:31">
      <c r="B20" s="1" t="s">
        <v>11</v>
      </c>
      <c r="C20" s="1">
        <f>CEILING(C11,1)</f>
        <v>3</v>
      </c>
      <c r="D20" s="1">
        <f>C20*C3</f>
        <v>3</v>
      </c>
      <c r="E20" s="1">
        <f>C20+D20</f>
        <v>6</v>
      </c>
      <c r="N20" s="61" t="s">
        <v>240</v>
      </c>
      <c r="O20" s="62">
        <f>SQRT(EXP(AVERAGE(LN(O18^2+1),LN(O19^2+1)))-1)</f>
        <v>0.25437478714780926</v>
      </c>
      <c r="P20" s="63"/>
      <c r="U20" s="1">
        <f t="shared" si="1"/>
        <v>0.57020997534464746</v>
      </c>
      <c r="V20" s="1">
        <f t="shared" si="0"/>
        <v>0.44553349777912132</v>
      </c>
      <c r="Y20" s="44" t="s">
        <v>218</v>
      </c>
      <c r="Z20" s="1">
        <f>Z19</f>
        <v>1.6533464593186682</v>
      </c>
      <c r="AA20" s="1">
        <f>AA17</f>
        <v>0</v>
      </c>
      <c r="AC20" s="44" t="s">
        <v>218</v>
      </c>
      <c r="AD20" s="1">
        <f>AD19</f>
        <v>3.5138709635184755</v>
      </c>
      <c r="AE20" s="1">
        <f>AE17</f>
        <v>0.49812548917176475</v>
      </c>
    </row>
    <row r="21" spans="2:31">
      <c r="U21" s="1">
        <f t="shared" si="1"/>
        <v>0.68425197041357699</v>
      </c>
      <c r="V21" s="1">
        <f t="shared" si="0"/>
        <v>0.4719093196270166</v>
      </c>
    </row>
    <row r="22" spans="2:31">
      <c r="U22" s="1">
        <f t="shared" si="1"/>
        <v>0.79829396548250653</v>
      </c>
      <c r="V22" s="1">
        <f t="shared" si="0"/>
        <v>0.48979162540430449</v>
      </c>
      <c r="Y22" s="9"/>
      <c r="AC22" s="9"/>
    </row>
    <row r="23" spans="2:31">
      <c r="U23" s="1">
        <f t="shared" si="1"/>
        <v>0.91233596055143606</v>
      </c>
      <c r="V23" s="1">
        <f t="shared" si="0"/>
        <v>0.49812548917176475</v>
      </c>
      <c r="Y23" s="44"/>
      <c r="Z23" s="44"/>
      <c r="AA23" s="44"/>
      <c r="AC23" s="44"/>
      <c r="AD23" s="44"/>
      <c r="AE23" s="44"/>
    </row>
    <row r="24" spans="2:31">
      <c r="U24" s="1">
        <f t="shared" si="1"/>
        <v>1.0263779556203656</v>
      </c>
      <c r="V24" s="1">
        <f t="shared" si="0"/>
        <v>0.49641030037181422</v>
      </c>
      <c r="Y24" s="44"/>
      <c r="AC24" s="44"/>
    </row>
    <row r="25" spans="2:31">
      <c r="U25" s="1">
        <f t="shared" si="1"/>
        <v>1.1404199506892951</v>
      </c>
      <c r="V25" s="1">
        <f t="shared" si="0"/>
        <v>0.48474954788740393</v>
      </c>
      <c r="Y25" s="44"/>
      <c r="AC25" s="44"/>
    </row>
    <row r="26" spans="2:31">
      <c r="U26" s="1">
        <f t="shared" si="1"/>
        <v>1.2544619457582247</v>
      </c>
      <c r="V26" s="1">
        <f t="shared" si="0"/>
        <v>0.46384048284340523</v>
      </c>
      <c r="Y26" s="44"/>
      <c r="Z26" s="44"/>
      <c r="AA26" s="44"/>
      <c r="AC26" s="44"/>
      <c r="AD26" s="44"/>
      <c r="AE26" s="44"/>
    </row>
    <row r="27" spans="2:31">
      <c r="U27" s="1">
        <f t="shared" si="1"/>
        <v>1.3685039408271542</v>
      </c>
      <c r="V27" s="1">
        <f t="shared" si="0"/>
        <v>0.4349050960714787</v>
      </c>
      <c r="Y27" s="44"/>
      <c r="AC27" s="44"/>
    </row>
    <row r="28" spans="2:31">
      <c r="U28" s="1">
        <f t="shared" si="1"/>
        <v>1.4825459358960837</v>
      </c>
      <c r="V28" s="1">
        <f t="shared" si="0"/>
        <v>0.39957191240595913</v>
      </c>
      <c r="Y28" s="44"/>
      <c r="AC28" s="44"/>
    </row>
    <row r="29" spans="2:31">
      <c r="U29" s="1">
        <f t="shared" si="1"/>
        <v>1.5965879309650133</v>
      </c>
      <c r="V29" s="1">
        <f t="shared" si="0"/>
        <v>0.35972449947009971</v>
      </c>
      <c r="Y29" s="1" t="b">
        <v>1</v>
      </c>
    </row>
    <row r="30" spans="2:31">
      <c r="U30" s="1">
        <f t="shared" si="1"/>
        <v>1.7106299260339428</v>
      </c>
      <c r="V30" s="1">
        <f t="shared" si="0"/>
        <v>0.31733625401860682</v>
      </c>
      <c r="Y30" s="9" t="s">
        <v>228</v>
      </c>
    </row>
    <row r="31" spans="2:31">
      <c r="U31" s="1">
        <f t="shared" si="1"/>
        <v>1.8246719211028724</v>
      </c>
      <c r="V31" s="1">
        <f t="shared" si="0"/>
        <v>0.27431147398263156</v>
      </c>
      <c r="Y31" s="44" t="s">
        <v>217</v>
      </c>
      <c r="Z31" s="44" t="s">
        <v>214</v>
      </c>
      <c r="AA31" s="44" t="s">
        <v>215</v>
      </c>
    </row>
    <row r="32" spans="2:31">
      <c r="U32" s="1">
        <f t="shared" si="1"/>
        <v>1.9387139161718019</v>
      </c>
      <c r="V32" s="1">
        <f t="shared" si="0"/>
        <v>0.23235010113869112</v>
      </c>
      <c r="Y32" s="44" t="s">
        <v>216</v>
      </c>
      <c r="Z32" s="32">
        <f>C7</f>
        <v>0.8</v>
      </c>
      <c r="AA32" s="1">
        <v>0</v>
      </c>
    </row>
    <row r="33" spans="2:27">
      <c r="U33" s="1">
        <f t="shared" si="1"/>
        <v>2.0527559112407312</v>
      </c>
      <c r="V33" s="1">
        <f t="shared" si="0"/>
        <v>0.19284854521492664</v>
      </c>
      <c r="Y33" s="44" t="s">
        <v>218</v>
      </c>
      <c r="Z33" s="32">
        <f>Z32</f>
        <v>0.8</v>
      </c>
      <c r="AA33" s="1">
        <f>IF($Y$29,MAX($V$15:$W$47),0)</f>
        <v>0.49812548917176475</v>
      </c>
    </row>
    <row r="34" spans="2:27">
      <c r="U34" s="1">
        <f t="shared" si="1"/>
        <v>2.1667979063096605</v>
      </c>
      <c r="V34" s="1">
        <f t="shared" si="0"/>
        <v>0.15684276045422713</v>
      </c>
      <c r="Y34" s="44" t="s">
        <v>219</v>
      </c>
      <c r="Z34" s="44" t="s">
        <v>214</v>
      </c>
      <c r="AA34" s="44" t="s">
        <v>215</v>
      </c>
    </row>
    <row r="35" spans="2:27">
      <c r="U35" s="1">
        <f t="shared" si="1"/>
        <v>2.2808399013785898</v>
      </c>
      <c r="V35" s="1">
        <f t="shared" si="0"/>
        <v>0.12499343312455446</v>
      </c>
      <c r="Y35" s="44" t="s">
        <v>216</v>
      </c>
      <c r="Z35" s="32">
        <f>C8</f>
        <v>1.25</v>
      </c>
      <c r="AA35" s="1">
        <v>0</v>
      </c>
    </row>
    <row r="36" spans="2:27">
      <c r="U36" s="1">
        <f t="shared" si="1"/>
        <v>2.3948818964475191</v>
      </c>
      <c r="V36" s="1">
        <f t="shared" si="0"/>
        <v>9.7607800230644914E-2</v>
      </c>
      <c r="Y36" s="44" t="s">
        <v>218</v>
      </c>
      <c r="Z36" s="32">
        <f>Z35</f>
        <v>1.25</v>
      </c>
      <c r="AA36" s="1">
        <f>AA33</f>
        <v>0.49812548917176475</v>
      </c>
    </row>
    <row r="37" spans="2:27">
      <c r="U37" s="1">
        <f t="shared" si="1"/>
        <v>2.5089238915164485</v>
      </c>
      <c r="V37" s="1">
        <f t="shared" si="0"/>
        <v>7.4688968721692603E-2</v>
      </c>
    </row>
    <row r="38" spans="2:27">
      <c r="U38" s="1">
        <f t="shared" si="1"/>
        <v>2.6229658865853778</v>
      </c>
      <c r="V38" s="1">
        <f t="shared" si="0"/>
        <v>5.600193196586048E-2</v>
      </c>
    </row>
    <row r="39" spans="2:27">
      <c r="U39" s="1">
        <f t="shared" si="1"/>
        <v>2.7370078816543071</v>
      </c>
      <c r="V39" s="1">
        <f t="shared" si="0"/>
        <v>4.1145672548452104E-2</v>
      </c>
    </row>
    <row r="40" spans="2:27">
      <c r="U40" s="1">
        <f t="shared" si="1"/>
        <v>2.8510498767232364</v>
      </c>
      <c r="V40" s="1">
        <f t="shared" si="0"/>
        <v>2.9622378747503401E-2</v>
      </c>
    </row>
    <row r="41" spans="2:27">
      <c r="U41" s="1">
        <f t="shared" si="1"/>
        <v>2.9650918717921657</v>
      </c>
      <c r="V41" s="1">
        <f t="shared" si="0"/>
        <v>2.0897306115164386E-2</v>
      </c>
    </row>
    <row r="42" spans="2:27">
      <c r="U42" s="1">
        <f t="shared" si="1"/>
        <v>3.079133866861095</v>
      </c>
      <c r="V42" s="1">
        <f t="shared" si="0"/>
        <v>1.4445590111148958E-2</v>
      </c>
    </row>
    <row r="43" spans="2:27">
      <c r="U43" s="1">
        <f t="shared" si="1"/>
        <v>3.1931758619300243</v>
      </c>
      <c r="V43" s="1">
        <f t="shared" si="0"/>
        <v>9.7848659437147888E-3</v>
      </c>
    </row>
    <row r="44" spans="2:27" ht="20.25" customHeight="1">
      <c r="U44" s="1">
        <f t="shared" si="1"/>
        <v>3.3072178569989537</v>
      </c>
      <c r="V44" s="1">
        <f t="shared" si="0"/>
        <v>6.4945502508561327E-3</v>
      </c>
    </row>
    <row r="45" spans="2:27" ht="18">
      <c r="B45" s="28" t="s">
        <v>123</v>
      </c>
      <c r="U45" s="1">
        <f t="shared" si="1"/>
        <v>3.421259852067883</v>
      </c>
      <c r="V45" s="1">
        <f t="shared" si="0"/>
        <v>4.2239414730498807E-3</v>
      </c>
    </row>
    <row r="46" spans="2:27">
      <c r="U46" s="1">
        <f t="shared" si="1"/>
        <v>3.5353018471368123</v>
      </c>
      <c r="V46" s="1">
        <f t="shared" si="0"/>
        <v>2.6919148087739021E-3</v>
      </c>
    </row>
    <row r="47" spans="2:27">
      <c r="U47" s="1">
        <f t="shared" si="1"/>
        <v>3.6493438422057416</v>
      </c>
      <c r="V47" s="1">
        <f t="shared" si="0"/>
        <v>1.6810450043310068E-3</v>
      </c>
    </row>
    <row r="59" spans="2:2">
      <c r="B59" s="9" t="s">
        <v>125</v>
      </c>
    </row>
    <row r="61" spans="2:2">
      <c r="B61" s="9" t="s">
        <v>236</v>
      </c>
    </row>
    <row r="67" spans="2:7">
      <c r="B67" s="9"/>
      <c r="G67" s="6"/>
    </row>
    <row r="68" spans="2:7">
      <c r="G68" s="6"/>
    </row>
    <row r="69" spans="2:7">
      <c r="G69" s="6"/>
    </row>
    <row r="70" spans="2:7">
      <c r="G70" s="6"/>
    </row>
  </sheetData>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5057" r:id="rId3" name="Button 1">
              <controlPr defaultSize="0" print="0" autoFill="0" autoPict="0" macro="[0]!SS_Probt">
                <anchor moveWithCells="1" sizeWithCells="1">
                  <from>
                    <xdr:col>1</xdr:col>
                    <xdr:colOff>104775</xdr:colOff>
                    <xdr:row>23</xdr:row>
                    <xdr:rowOff>0</xdr:rowOff>
                  </from>
                  <to>
                    <xdr:col>2</xdr:col>
                    <xdr:colOff>0</xdr:colOff>
                    <xdr:row>24</xdr:row>
                    <xdr:rowOff>85725</xdr:rowOff>
                  </to>
                </anchor>
              </controlPr>
            </control>
          </mc:Choice>
        </mc:AlternateContent>
        <mc:AlternateContent xmlns:mc="http://schemas.openxmlformats.org/markup-compatibility/2006">
          <mc:Choice Requires="x14">
            <control shapeId="45058" r:id="rId4" name="Button 2">
              <controlPr defaultSize="0" print="0" autoFill="0" autoPict="0" macro="[0]!SS_Boss_BE">
                <anchor moveWithCells="1" sizeWithCells="1">
                  <from>
                    <xdr:col>3</xdr:col>
                    <xdr:colOff>485775</xdr:colOff>
                    <xdr:row>23</xdr:row>
                    <xdr:rowOff>0</xdr:rowOff>
                  </from>
                  <to>
                    <xdr:col>5</xdr:col>
                    <xdr:colOff>104775</xdr:colOff>
                    <xdr:row>24</xdr:row>
                    <xdr:rowOff>85725</xdr:rowOff>
                  </to>
                </anchor>
              </controlPr>
            </control>
          </mc:Choice>
        </mc:AlternateContent>
        <mc:AlternateContent xmlns:mc="http://schemas.openxmlformats.org/markup-compatibility/2006">
          <mc:Choice Requires="x14">
            <control shapeId="45059" r:id="rId5" name="Button 3">
              <controlPr defaultSize="0" print="0" autoFill="0" autoPict="0" macro="[0]!ISV_Calculator">
                <anchor moveWithCells="1" sizeWithCells="1">
                  <from>
                    <xdr:col>5</xdr:col>
                    <xdr:colOff>180975</xdr:colOff>
                    <xdr:row>23</xdr:row>
                    <xdr:rowOff>0</xdr:rowOff>
                  </from>
                  <to>
                    <xdr:col>9</xdr:col>
                    <xdr:colOff>104775</xdr:colOff>
                    <xdr:row>24</xdr:row>
                    <xdr:rowOff>85725</xdr:rowOff>
                  </to>
                </anchor>
              </controlPr>
            </control>
          </mc:Choice>
        </mc:AlternateContent>
        <mc:AlternateContent xmlns:mc="http://schemas.openxmlformats.org/markup-compatibility/2006">
          <mc:Choice Requires="x14">
            <control shapeId="45060" r:id="rId6" name="Button 4">
              <controlPr defaultSize="0" print="0" autoFill="0" autoPict="0" macro="[0]!Power_Calculator_parallel">
                <anchor moveWithCells="1" sizeWithCells="1">
                  <from>
                    <xdr:col>2</xdr:col>
                    <xdr:colOff>66675</xdr:colOff>
                    <xdr:row>23</xdr:row>
                    <xdr:rowOff>0</xdr:rowOff>
                  </from>
                  <to>
                    <xdr:col>3</xdr:col>
                    <xdr:colOff>409575</xdr:colOff>
                    <xdr:row>24</xdr:row>
                    <xdr:rowOff>85725</xdr:rowOff>
                  </to>
                </anchor>
              </controlPr>
            </control>
          </mc:Choice>
        </mc:AlternateContent>
        <mc:AlternateContent xmlns:mc="http://schemas.openxmlformats.org/markup-compatibility/2006">
          <mc:Choice Requires="x14">
            <control shapeId="45061" r:id="rId7" name="Check Box 5">
              <controlPr defaultSize="0" autoFill="0" autoLine="0" autoPict="0">
                <anchor moveWithCells="1">
                  <from>
                    <xdr:col>11</xdr:col>
                    <xdr:colOff>161925</xdr:colOff>
                    <xdr:row>6</xdr:row>
                    <xdr:rowOff>66675</xdr:rowOff>
                  </from>
                  <to>
                    <xdr:col>12</xdr:col>
                    <xdr:colOff>314325</xdr:colOff>
                    <xdr:row>7</xdr:row>
                    <xdr:rowOff>104775</xdr:rowOff>
                  </to>
                </anchor>
              </controlPr>
            </control>
          </mc:Choice>
        </mc:AlternateContent>
        <mc:AlternateContent xmlns:mc="http://schemas.openxmlformats.org/markup-compatibility/2006">
          <mc:Choice Requires="x14">
            <control shapeId="45062" r:id="rId8" name="Check Box 6">
              <controlPr defaultSize="0" autoFill="0" autoLine="0" autoPict="0">
                <anchor moveWithCells="1">
                  <from>
                    <xdr:col>11</xdr:col>
                    <xdr:colOff>161925</xdr:colOff>
                    <xdr:row>7</xdr:row>
                    <xdr:rowOff>104775</xdr:rowOff>
                  </from>
                  <to>
                    <xdr:col>12</xdr:col>
                    <xdr:colOff>314325</xdr:colOff>
                    <xdr:row>8</xdr:row>
                    <xdr:rowOff>152400</xdr:rowOff>
                  </to>
                </anchor>
              </controlPr>
            </control>
          </mc:Choice>
        </mc:AlternateContent>
        <mc:AlternateContent xmlns:mc="http://schemas.openxmlformats.org/markup-compatibility/2006">
          <mc:Choice Requires="x14">
            <control shapeId="45063" r:id="rId9" name="Check Box 7">
              <controlPr defaultSize="0" autoFill="0" autoLine="0" autoPict="0">
                <anchor moveWithCells="1">
                  <from>
                    <xdr:col>11</xdr:col>
                    <xdr:colOff>161925</xdr:colOff>
                    <xdr:row>8</xdr:row>
                    <xdr:rowOff>152400</xdr:rowOff>
                  </from>
                  <to>
                    <xdr:col>12</xdr:col>
                    <xdr:colOff>314325</xdr:colOff>
                    <xdr:row>10</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dimension ref="B1:AE70"/>
  <sheetViews>
    <sheetView workbookViewId="0">
      <selection activeCell="C2" sqref="C2"/>
    </sheetView>
  </sheetViews>
  <sheetFormatPr defaultColWidth="9.140625" defaultRowHeight="12.75"/>
  <cols>
    <col min="1" max="1" width="5.140625" style="1" customWidth="1"/>
    <col min="2" max="2" width="21.42578125" style="1" customWidth="1"/>
    <col min="3" max="26" width="9.140625" style="1"/>
    <col min="27" max="27" width="20.42578125" style="1" bestFit="1" customWidth="1"/>
    <col min="28" max="16384" width="9.140625" style="1"/>
  </cols>
  <sheetData>
    <row r="1" spans="2:31" ht="27" thickBot="1">
      <c r="B1" s="17" t="s">
        <v>74</v>
      </c>
      <c r="G1" s="9" t="s">
        <v>122</v>
      </c>
      <c r="J1" s="44"/>
      <c r="K1" s="44"/>
      <c r="L1" s="44"/>
      <c r="M1" s="44"/>
      <c r="N1" s="44"/>
      <c r="O1" s="44"/>
    </row>
    <row r="2" spans="2:31" ht="13.5" thickBot="1">
      <c r="B2" s="1" t="s">
        <v>1</v>
      </c>
      <c r="C2" s="2">
        <v>0.8</v>
      </c>
      <c r="H2" s="50"/>
      <c r="I2" s="44"/>
      <c r="J2" s="44"/>
      <c r="K2" s="44"/>
      <c r="L2" s="44"/>
      <c r="M2" s="44"/>
      <c r="N2" s="44"/>
      <c r="O2" s="44"/>
    </row>
    <row r="3" spans="2:31" ht="13.5" thickBot="1">
      <c r="C3" s="14"/>
      <c r="J3" s="44"/>
      <c r="K3" s="44"/>
      <c r="L3" s="44"/>
      <c r="M3" s="44"/>
      <c r="N3" s="44"/>
      <c r="O3" s="44"/>
    </row>
    <row r="4" spans="2:31" ht="13.5" thickBot="1">
      <c r="B4" s="8" t="s">
        <v>59</v>
      </c>
      <c r="C4" s="2">
        <v>0.05</v>
      </c>
      <c r="J4" s="44"/>
      <c r="K4" s="44"/>
      <c r="L4" s="44"/>
      <c r="M4" s="44"/>
      <c r="N4" s="44"/>
      <c r="O4" s="44"/>
    </row>
    <row r="5" spans="2:31" ht="16.5" thickBot="1">
      <c r="B5" s="1" t="s">
        <v>120</v>
      </c>
      <c r="C5" s="43">
        <v>0.25</v>
      </c>
      <c r="D5" s="1" t="s">
        <v>127</v>
      </c>
      <c r="U5" s="1" t="s">
        <v>56</v>
      </c>
    </row>
    <row r="6" spans="2:31" ht="16.5" thickBot="1">
      <c r="B6" s="1" t="s">
        <v>34</v>
      </c>
      <c r="C6" s="43">
        <v>0.95</v>
      </c>
      <c r="D6" s="1" t="str">
        <f>IF(C6=1,"","(to "&amp;ROUND(100/C6,1)&amp;"%)")&amp;IF(OR($C$6&lt;$C$7,$C$6&gt;$C$8)," WARNING: Ratio outside BE limits.","")</f>
        <v>(to 105.3%)</v>
      </c>
      <c r="U6" s="1">
        <v>1</v>
      </c>
    </row>
    <row r="7" spans="2:31" ht="13.5" thickBot="1">
      <c r="B7" s="1" t="s">
        <v>9</v>
      </c>
      <c r="C7" s="13">
        <v>0.8</v>
      </c>
    </row>
    <row r="8" spans="2:31" ht="13.5" thickBot="1">
      <c r="B8" s="1" t="s">
        <v>10</v>
      </c>
      <c r="C8" s="13">
        <f>1/C7</f>
        <v>1.25</v>
      </c>
    </row>
    <row r="10" spans="2:31" ht="16.5" thickBot="1">
      <c r="B10" s="8" t="s">
        <v>26</v>
      </c>
      <c r="C10" s="1">
        <f>SQRT(LN((C5)^2+1))</f>
        <v>0.24622067706923975</v>
      </c>
      <c r="V10" s="44" t="s">
        <v>212</v>
      </c>
      <c r="W10" s="44" t="s">
        <v>210</v>
      </c>
      <c r="X10" s="44" t="s">
        <v>213</v>
      </c>
      <c r="Y10" s="44" t="s">
        <v>211</v>
      </c>
      <c r="AA10" s="44" t="s">
        <v>224</v>
      </c>
      <c r="AB10" s="44" t="s">
        <v>225</v>
      </c>
    </row>
    <row r="11" spans="2:31" ht="13.5" thickBot="1">
      <c r="B11" s="1" t="s">
        <v>0</v>
      </c>
      <c r="C11" s="7">
        <v>28</v>
      </c>
      <c r="U11" s="44" t="s">
        <v>206</v>
      </c>
      <c r="V11" s="45">
        <f>C6</f>
        <v>0.95</v>
      </c>
      <c r="W11" s="1">
        <f>$C$10</f>
        <v>0.24622067706923975</v>
      </c>
      <c r="X11" s="1">
        <f>W11/SQRT(C20)</f>
        <v>0.14215557418597749</v>
      </c>
      <c r="Y11" s="1">
        <f>TINV($C$4*2,$C$20-2)*X11</f>
        <v>0.89753497183621589</v>
      </c>
      <c r="AA11" s="46">
        <f>V11+4*W11</f>
        <v>1.9348827082769589</v>
      </c>
      <c r="AB11" s="1">
        <f>AA11/33</f>
        <v>5.8632809341726023E-2</v>
      </c>
    </row>
    <row r="12" spans="2:31">
      <c r="B12" s="1" t="s">
        <v>2</v>
      </c>
      <c r="C12" s="1">
        <f>C11-2</f>
        <v>26</v>
      </c>
      <c r="U12" s="44"/>
    </row>
    <row r="13" spans="2:31">
      <c r="B13" s="1" t="s">
        <v>8</v>
      </c>
      <c r="C13" s="1">
        <f>TINV(C4*2,C12)</f>
        <v>1.7056179197592738</v>
      </c>
      <c r="Y13" s="1" t="b">
        <v>0</v>
      </c>
      <c r="AC13" s="1" t="b">
        <v>1</v>
      </c>
    </row>
    <row r="14" spans="2:31">
      <c r="B14" s="1" t="s">
        <v>3</v>
      </c>
      <c r="C14" s="1">
        <f>(SQRT(C11)*(LN(C6)-LN(C8)))/(SQRT(2*C10^2))</f>
        <v>-4.1704403673383288</v>
      </c>
      <c r="U14" s="44" t="s">
        <v>205</v>
      </c>
      <c r="V14" s="44" t="s">
        <v>227</v>
      </c>
      <c r="W14" s="44"/>
      <c r="Y14" s="9" t="s">
        <v>220</v>
      </c>
      <c r="AC14" s="9" t="s">
        <v>222</v>
      </c>
    </row>
    <row r="15" spans="2:31">
      <c r="B15" s="1" t="s">
        <v>4</v>
      </c>
      <c r="C15" s="1">
        <f>(SQRT(C11)*(LN(C6)-LN(C7)))/(SQRT(2*C10^2))</f>
        <v>2.6114979087146866</v>
      </c>
      <c r="U15" s="1">
        <v>0</v>
      </c>
      <c r="V15" s="1">
        <f>_xlfn.NORM.DIST($U15,$V$11,$C$5,FALSE)</f>
        <v>1.1677877031658411E-3</v>
      </c>
      <c r="Y15" s="44" t="s">
        <v>217</v>
      </c>
      <c r="Z15" s="44" t="s">
        <v>214</v>
      </c>
      <c r="AA15" s="44" t="s">
        <v>215</v>
      </c>
      <c r="AC15" s="44" t="s">
        <v>217</v>
      </c>
      <c r="AD15" s="44" t="s">
        <v>214</v>
      </c>
      <c r="AE15" s="44" t="s">
        <v>215</v>
      </c>
    </row>
    <row r="16" spans="2:31">
      <c r="B16" s="1" t="s">
        <v>7</v>
      </c>
      <c r="C16" s="1">
        <f>NCt(-C13,C12,C14)</f>
        <v>0.9921058506008289</v>
      </c>
      <c r="U16" s="1">
        <f>U15+$AB$11</f>
        <v>5.8632809341726023E-2</v>
      </c>
      <c r="V16" s="1">
        <f t="shared" ref="V16:V47" si="0">_xlfn.NORM.DIST($U16,$V$11,$C$5,FALSE)</f>
        <v>2.7699447059280034E-3</v>
      </c>
      <c r="Y16" s="44" t="s">
        <v>216</v>
      </c>
      <c r="Z16" s="1">
        <f>$V$11-$W$11</f>
        <v>0.70377932293076018</v>
      </c>
      <c r="AA16" s="1">
        <v>0</v>
      </c>
      <c r="AC16" s="44" t="s">
        <v>216</v>
      </c>
      <c r="AD16" s="1">
        <f>$V$11-$Y$11</f>
        <v>5.2465028163784067E-2</v>
      </c>
      <c r="AE16" s="1">
        <v>0</v>
      </c>
    </row>
    <row r="17" spans="2:31">
      <c r="B17" s="1" t="s">
        <v>6</v>
      </c>
      <c r="C17" s="1">
        <f>NCt(C13,C12,C15)</f>
        <v>0.18466638314524716</v>
      </c>
      <c r="U17" s="1">
        <f t="shared" ref="U17:U47" si="1">U16+$AB$11</f>
        <v>0.11726561868345205</v>
      </c>
      <c r="V17" s="1">
        <f t="shared" si="0"/>
        <v>6.2185621117606723E-3</v>
      </c>
      <c r="Y17" s="44" t="s">
        <v>218</v>
      </c>
      <c r="Z17" s="1">
        <f>Z16</f>
        <v>0.70377932293076018</v>
      </c>
      <c r="AA17" s="1">
        <f>IF(Y13,MAX($V$15:$V$47),0)</f>
        <v>0</v>
      </c>
      <c r="AC17" s="44" t="s">
        <v>218</v>
      </c>
      <c r="AD17" s="1">
        <f>AD16</f>
        <v>5.2465028163784067E-2</v>
      </c>
      <c r="AE17" s="1">
        <f>IF(AC13,MAX($V$15:$V$47),0)</f>
        <v>1.5939698943202625</v>
      </c>
    </row>
    <row r="18" spans="2:31">
      <c r="B18" s="1" t="s">
        <v>58</v>
      </c>
      <c r="C18" s="1">
        <f>C16-C17</f>
        <v>0.80743946745558171</v>
      </c>
      <c r="E18" s="5"/>
      <c r="U18" s="1">
        <f t="shared" si="1"/>
        <v>0.17589842802517808</v>
      </c>
      <c r="V18" s="1">
        <f t="shared" si="0"/>
        <v>1.3213580903738755E-2</v>
      </c>
      <c r="Y18" s="44" t="s">
        <v>219</v>
      </c>
      <c r="Z18" s="44" t="s">
        <v>214</v>
      </c>
      <c r="AA18" s="44" t="s">
        <v>215</v>
      </c>
      <c r="AC18" s="44" t="s">
        <v>219</v>
      </c>
      <c r="AD18" s="44" t="s">
        <v>214</v>
      </c>
      <c r="AE18" s="44" t="s">
        <v>215</v>
      </c>
    </row>
    <row r="19" spans="2:31">
      <c r="U19" s="1">
        <f t="shared" si="1"/>
        <v>0.23453123736690409</v>
      </c>
      <c r="V19" s="1">
        <f t="shared" si="0"/>
        <v>2.6574356367658435E-2</v>
      </c>
      <c r="Y19" s="44" t="s">
        <v>216</v>
      </c>
      <c r="Z19" s="1">
        <f>$V$11+$W$11</f>
        <v>1.1962206770692396</v>
      </c>
      <c r="AA19" s="1">
        <v>0</v>
      </c>
      <c r="AC19" s="44" t="s">
        <v>216</v>
      </c>
      <c r="AD19" s="1">
        <f>$V$11+$Y$11</f>
        <v>1.847534971836216</v>
      </c>
      <c r="AE19" s="1">
        <v>0</v>
      </c>
    </row>
    <row r="20" spans="2:31">
      <c r="B20" s="1" t="s">
        <v>11</v>
      </c>
      <c r="C20" s="1">
        <v>3</v>
      </c>
      <c r="U20" s="1">
        <f t="shared" si="1"/>
        <v>0.29316404670863011</v>
      </c>
      <c r="V20" s="1">
        <f t="shared" si="0"/>
        <v>5.0584406183643189E-2</v>
      </c>
      <c r="Y20" s="44" t="s">
        <v>218</v>
      </c>
      <c r="Z20" s="1">
        <f>Z19</f>
        <v>1.1962206770692396</v>
      </c>
      <c r="AA20" s="1">
        <f>AA17</f>
        <v>0</v>
      </c>
      <c r="AC20" s="44" t="s">
        <v>218</v>
      </c>
      <c r="AD20" s="1">
        <f>AD19</f>
        <v>1.847534971836216</v>
      </c>
      <c r="AE20" s="1">
        <f>AE17</f>
        <v>1.5939698943202625</v>
      </c>
    </row>
    <row r="21" spans="2:31">
      <c r="U21" s="1">
        <f t="shared" si="1"/>
        <v>0.35179685605035615</v>
      </c>
      <c r="V21" s="1">
        <f t="shared" si="0"/>
        <v>9.1134377711433831E-2</v>
      </c>
    </row>
    <row r="22" spans="2:31">
      <c r="U22" s="1">
        <f t="shared" si="1"/>
        <v>0.4104296653920822</v>
      </c>
      <c r="V22" s="1">
        <f t="shared" si="0"/>
        <v>0.15540303049312376</v>
      </c>
      <c r="Y22" s="9"/>
      <c r="AC22" s="9"/>
    </row>
    <row r="23" spans="2:31">
      <c r="U23" s="1">
        <f t="shared" si="1"/>
        <v>0.46906247473380824</v>
      </c>
      <c r="V23" s="1">
        <f t="shared" si="0"/>
        <v>0.2508120568640812</v>
      </c>
      <c r="Y23" s="44"/>
      <c r="Z23" s="44"/>
      <c r="AA23" s="44"/>
      <c r="AC23" s="44"/>
      <c r="AD23" s="44"/>
      <c r="AE23" s="44"/>
    </row>
    <row r="24" spans="2:31">
      <c r="U24" s="1">
        <f t="shared" si="1"/>
        <v>0.52769528407553423</v>
      </c>
      <c r="V24" s="1">
        <f t="shared" si="0"/>
        <v>0.38313251525085396</v>
      </c>
      <c r="Y24" s="44"/>
      <c r="AC24" s="44"/>
    </row>
    <row r="25" spans="2:31">
      <c r="U25" s="1">
        <f t="shared" si="1"/>
        <v>0.58632809341726022</v>
      </c>
      <c r="V25" s="1">
        <f t="shared" si="0"/>
        <v>0.55393816322895617</v>
      </c>
      <c r="Y25" s="44"/>
      <c r="AC25" s="44"/>
    </row>
    <row r="26" spans="2:31">
      <c r="U26" s="1">
        <f t="shared" si="1"/>
        <v>0.64496090275898621</v>
      </c>
      <c r="V26" s="1">
        <f t="shared" si="0"/>
        <v>0.75802798169994423</v>
      </c>
      <c r="Y26" s="44"/>
      <c r="Z26" s="44"/>
      <c r="AA26" s="44"/>
      <c r="AC26" s="44"/>
      <c r="AD26" s="44"/>
      <c r="AE26" s="44"/>
    </row>
    <row r="27" spans="2:31">
      <c r="U27" s="1">
        <f t="shared" si="1"/>
        <v>0.7035937121007122</v>
      </c>
      <c r="V27" s="1">
        <f t="shared" si="0"/>
        <v>0.98179510627226407</v>
      </c>
      <c r="Y27" s="44"/>
      <c r="AC27" s="44"/>
    </row>
    <row r="28" spans="2:31">
      <c r="U28" s="1">
        <f t="shared" si="1"/>
        <v>0.76222652144243819</v>
      </c>
      <c r="V28" s="1">
        <f t="shared" si="0"/>
        <v>1.2035611582216017</v>
      </c>
      <c r="Y28" s="44"/>
      <c r="AC28" s="44"/>
    </row>
    <row r="29" spans="2:31">
      <c r="U29" s="1">
        <f t="shared" si="1"/>
        <v>0.82085933078416418</v>
      </c>
      <c r="V29" s="1">
        <f t="shared" si="0"/>
        <v>1.3964556226555156</v>
      </c>
      <c r="Y29" s="1" t="b">
        <v>1</v>
      </c>
    </row>
    <row r="30" spans="2:31">
      <c r="U30" s="1">
        <f t="shared" si="1"/>
        <v>0.87949214012589016</v>
      </c>
      <c r="V30" s="1">
        <f t="shared" si="0"/>
        <v>1.5335494667705791</v>
      </c>
      <c r="Y30" s="9" t="s">
        <v>228</v>
      </c>
    </row>
    <row r="31" spans="2:31">
      <c r="U31" s="1">
        <f t="shared" si="1"/>
        <v>0.93812494946761615</v>
      </c>
      <c r="V31" s="1">
        <f t="shared" si="0"/>
        <v>1.5939698943202625</v>
      </c>
      <c r="Y31" s="44" t="s">
        <v>217</v>
      </c>
      <c r="Z31" s="44" t="s">
        <v>214</v>
      </c>
      <c r="AA31" s="44" t="s">
        <v>215</v>
      </c>
    </row>
    <row r="32" spans="2:31">
      <c r="U32" s="1">
        <f t="shared" si="1"/>
        <v>0.99675775880934214</v>
      </c>
      <c r="V32" s="1">
        <f t="shared" si="0"/>
        <v>1.5681012990763428</v>
      </c>
      <c r="Y32" s="44" t="s">
        <v>216</v>
      </c>
      <c r="Z32" s="32">
        <f>C7</f>
        <v>0.8</v>
      </c>
      <c r="AA32" s="1">
        <v>0</v>
      </c>
    </row>
    <row r="33" spans="2:27">
      <c r="U33" s="1">
        <f t="shared" si="1"/>
        <v>1.0553905681510682</v>
      </c>
      <c r="V33" s="1">
        <f t="shared" si="0"/>
        <v>1.4600905481436155</v>
      </c>
      <c r="Y33" s="44" t="s">
        <v>218</v>
      </c>
      <c r="Z33" s="32">
        <f>Z32</f>
        <v>0.8</v>
      </c>
      <c r="AA33" s="1">
        <f>IF($Y$29,MAX($V$15:$W$47),0)</f>
        <v>1.5939698943202625</v>
      </c>
    </row>
    <row r="34" spans="2:27">
      <c r="U34" s="1">
        <f t="shared" si="1"/>
        <v>1.1140233774927943</v>
      </c>
      <c r="V34" s="1">
        <f t="shared" si="0"/>
        <v>1.2867587775324509</v>
      </c>
      <c r="Y34" s="44" t="s">
        <v>219</v>
      </c>
      <c r="Z34" s="44" t="s">
        <v>214</v>
      </c>
      <c r="AA34" s="44" t="s">
        <v>215</v>
      </c>
    </row>
    <row r="35" spans="2:27">
      <c r="U35" s="1">
        <f t="shared" si="1"/>
        <v>1.1726561868345204</v>
      </c>
      <c r="V35" s="1">
        <f t="shared" si="0"/>
        <v>1.0733124429725074</v>
      </c>
      <c r="Y35" s="44" t="s">
        <v>216</v>
      </c>
      <c r="Z35" s="32">
        <f>C8</f>
        <v>1.25</v>
      </c>
      <c r="AA35" s="1">
        <v>0</v>
      </c>
    </row>
    <row r="36" spans="2:27">
      <c r="U36" s="1">
        <f t="shared" si="1"/>
        <v>1.2312889961762465</v>
      </c>
      <c r="V36" s="1">
        <f t="shared" si="0"/>
        <v>0.84735786302017235</v>
      </c>
      <c r="Y36" s="44" t="s">
        <v>218</v>
      </c>
      <c r="Z36" s="32">
        <f>Z35</f>
        <v>1.25</v>
      </c>
      <c r="AA36" s="1">
        <f>AA33</f>
        <v>1.5939698943202625</v>
      </c>
    </row>
    <row r="37" spans="2:27">
      <c r="U37" s="1">
        <f t="shared" si="1"/>
        <v>1.2899218055179726</v>
      </c>
      <c r="V37" s="1">
        <f t="shared" si="0"/>
        <v>0.63316840914689476</v>
      </c>
    </row>
    <row r="38" spans="2:27">
      <c r="U38" s="1">
        <f t="shared" si="1"/>
        <v>1.3485546148596987</v>
      </c>
      <c r="V38" s="1">
        <f t="shared" si="0"/>
        <v>0.44779917359705657</v>
      </c>
    </row>
    <row r="39" spans="2:27">
      <c r="U39" s="1">
        <f t="shared" si="1"/>
        <v>1.4071874242014248</v>
      </c>
      <c r="V39" s="1">
        <f t="shared" si="0"/>
        <v>0.2997498759653528</v>
      </c>
    </row>
    <row r="40" spans="2:27">
      <c r="U40" s="1">
        <f t="shared" si="1"/>
        <v>1.4658202335431509</v>
      </c>
      <c r="V40" s="1">
        <f t="shared" si="0"/>
        <v>0.18990937795292456</v>
      </c>
    </row>
    <row r="41" spans="2:27">
      <c r="U41" s="1">
        <f t="shared" si="1"/>
        <v>1.524453042884877</v>
      </c>
      <c r="V41" s="1">
        <f t="shared" si="0"/>
        <v>0.11387948260447313</v>
      </c>
    </row>
    <row r="42" spans="2:27">
      <c r="U42" s="1">
        <f t="shared" si="1"/>
        <v>1.5830858522266031</v>
      </c>
      <c r="V42" s="1">
        <f t="shared" si="0"/>
        <v>6.4633285698647763E-2</v>
      </c>
    </row>
    <row r="43" spans="2:27">
      <c r="U43" s="1">
        <f t="shared" si="1"/>
        <v>1.6417186615683292</v>
      </c>
      <c r="V43" s="1">
        <f t="shared" si="0"/>
        <v>3.4719915387815804E-2</v>
      </c>
    </row>
    <row r="44" spans="2:27" ht="20.25" customHeight="1">
      <c r="U44" s="1">
        <f t="shared" si="1"/>
        <v>1.7003514709100553</v>
      </c>
      <c r="V44" s="1">
        <f t="shared" si="0"/>
        <v>1.7652765695318515E-2</v>
      </c>
    </row>
    <row r="45" spans="2:27" ht="18">
      <c r="B45" s="28" t="s">
        <v>123</v>
      </c>
      <c r="U45" s="1">
        <f t="shared" si="1"/>
        <v>1.7589842802517814</v>
      </c>
      <c r="V45" s="1">
        <f t="shared" si="0"/>
        <v>8.4949050792481138E-3</v>
      </c>
    </row>
    <row r="46" spans="2:27">
      <c r="U46" s="1">
        <f t="shared" si="1"/>
        <v>1.8176170895935075</v>
      </c>
      <c r="V46" s="1">
        <f t="shared" si="0"/>
        <v>3.8691536717666728E-3</v>
      </c>
    </row>
    <row r="47" spans="2:27">
      <c r="U47" s="1">
        <f t="shared" si="1"/>
        <v>1.8762498989352336</v>
      </c>
      <c r="V47" s="1">
        <f t="shared" si="0"/>
        <v>1.6679579681648331E-3</v>
      </c>
    </row>
    <row r="60" spans="2:2">
      <c r="B60" s="1" t="s">
        <v>126</v>
      </c>
    </row>
    <row r="67" spans="2:7">
      <c r="B67" s="9" t="s">
        <v>125</v>
      </c>
      <c r="G67" s="6"/>
    </row>
    <row r="68" spans="2:7">
      <c r="G68" s="6"/>
    </row>
    <row r="69" spans="2:7">
      <c r="B69" s="9" t="s">
        <v>236</v>
      </c>
      <c r="G69" s="6"/>
    </row>
    <row r="70" spans="2:7">
      <c r="G70"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37" r:id="rId3" name="Button 13">
              <controlPr defaultSize="0" print="0" autoFill="0" autoPict="0" macro="[0]!SS_Probt">
                <anchor moveWithCells="1" sizeWithCells="1">
                  <from>
                    <xdr:col>1</xdr:col>
                    <xdr:colOff>104775</xdr:colOff>
                    <xdr:row>23</xdr:row>
                    <xdr:rowOff>0</xdr:rowOff>
                  </from>
                  <to>
                    <xdr:col>2</xdr:col>
                    <xdr:colOff>0</xdr:colOff>
                    <xdr:row>24</xdr:row>
                    <xdr:rowOff>85725</xdr:rowOff>
                  </to>
                </anchor>
              </controlPr>
            </control>
          </mc:Choice>
        </mc:AlternateContent>
        <mc:AlternateContent xmlns:mc="http://schemas.openxmlformats.org/markup-compatibility/2006">
          <mc:Choice Requires="x14">
            <control shapeId="1041" r:id="rId4" name="Button 17">
              <controlPr defaultSize="0" print="0" autoFill="0" autoPict="0" macro="[0]!SS_Boss_BE">
                <anchor moveWithCells="1" sizeWithCells="1">
                  <from>
                    <xdr:col>3</xdr:col>
                    <xdr:colOff>485775</xdr:colOff>
                    <xdr:row>23</xdr:row>
                    <xdr:rowOff>0</xdr:rowOff>
                  </from>
                  <to>
                    <xdr:col>5</xdr:col>
                    <xdr:colOff>104775</xdr:colOff>
                    <xdr:row>24</xdr:row>
                    <xdr:rowOff>85725</xdr:rowOff>
                  </to>
                </anchor>
              </controlPr>
            </control>
          </mc:Choice>
        </mc:AlternateContent>
        <mc:AlternateContent xmlns:mc="http://schemas.openxmlformats.org/markup-compatibility/2006">
          <mc:Choice Requires="x14">
            <control shapeId="1044" r:id="rId5" name="Button 20">
              <controlPr defaultSize="0" print="0" autoFill="0" autoPict="0" macro="[0]!ISV_Calculator">
                <anchor moveWithCells="1" sizeWithCells="1">
                  <from>
                    <xdr:col>5</xdr:col>
                    <xdr:colOff>180975</xdr:colOff>
                    <xdr:row>23</xdr:row>
                    <xdr:rowOff>0</xdr:rowOff>
                  </from>
                  <to>
                    <xdr:col>9</xdr:col>
                    <xdr:colOff>104775</xdr:colOff>
                    <xdr:row>24</xdr:row>
                    <xdr:rowOff>85725</xdr:rowOff>
                  </to>
                </anchor>
              </controlPr>
            </control>
          </mc:Choice>
        </mc:AlternateContent>
        <mc:AlternateContent xmlns:mc="http://schemas.openxmlformats.org/markup-compatibility/2006">
          <mc:Choice Requires="x14">
            <control shapeId="1147" r:id="rId6" name="Button 123">
              <controlPr defaultSize="0" print="0" autoFill="0" autoPict="0" macro="[0]!Power_Calculator_XO">
                <anchor moveWithCells="1" sizeWithCells="1">
                  <from>
                    <xdr:col>2</xdr:col>
                    <xdr:colOff>66675</xdr:colOff>
                    <xdr:row>23</xdr:row>
                    <xdr:rowOff>0</xdr:rowOff>
                  </from>
                  <to>
                    <xdr:col>3</xdr:col>
                    <xdr:colOff>409575</xdr:colOff>
                    <xdr:row>24</xdr:row>
                    <xdr:rowOff>85725</xdr:rowOff>
                  </to>
                </anchor>
              </controlPr>
            </control>
          </mc:Choice>
        </mc:AlternateContent>
        <mc:AlternateContent xmlns:mc="http://schemas.openxmlformats.org/markup-compatibility/2006">
          <mc:Choice Requires="x14">
            <control shapeId="1148" r:id="rId7" name="Check Box 124">
              <controlPr defaultSize="0" autoFill="0" autoLine="0" autoPict="0">
                <anchor moveWithCells="1">
                  <from>
                    <xdr:col>10</xdr:col>
                    <xdr:colOff>352425</xdr:colOff>
                    <xdr:row>6</xdr:row>
                    <xdr:rowOff>66675</xdr:rowOff>
                  </from>
                  <to>
                    <xdr:col>11</xdr:col>
                    <xdr:colOff>504825</xdr:colOff>
                    <xdr:row>7</xdr:row>
                    <xdr:rowOff>104775</xdr:rowOff>
                  </to>
                </anchor>
              </controlPr>
            </control>
          </mc:Choice>
        </mc:AlternateContent>
        <mc:AlternateContent xmlns:mc="http://schemas.openxmlformats.org/markup-compatibility/2006">
          <mc:Choice Requires="x14">
            <control shapeId="1149" r:id="rId8" name="Check Box 125">
              <controlPr defaultSize="0" autoFill="0" autoLine="0" autoPict="0">
                <anchor moveWithCells="1">
                  <from>
                    <xdr:col>10</xdr:col>
                    <xdr:colOff>352425</xdr:colOff>
                    <xdr:row>7</xdr:row>
                    <xdr:rowOff>104775</xdr:rowOff>
                  </from>
                  <to>
                    <xdr:col>11</xdr:col>
                    <xdr:colOff>504825</xdr:colOff>
                    <xdr:row>8</xdr:row>
                    <xdr:rowOff>152400</xdr:rowOff>
                  </to>
                </anchor>
              </controlPr>
            </control>
          </mc:Choice>
        </mc:AlternateContent>
        <mc:AlternateContent xmlns:mc="http://schemas.openxmlformats.org/markup-compatibility/2006">
          <mc:Choice Requires="x14">
            <control shapeId="1150" r:id="rId9" name="Check Box 126">
              <controlPr defaultSize="0" autoFill="0" autoLine="0" autoPict="0">
                <anchor moveWithCells="1">
                  <from>
                    <xdr:col>10</xdr:col>
                    <xdr:colOff>352425</xdr:colOff>
                    <xdr:row>8</xdr:row>
                    <xdr:rowOff>152400</xdr:rowOff>
                  </from>
                  <to>
                    <xdr:col>11</xdr:col>
                    <xdr:colOff>504825</xdr:colOff>
                    <xdr:row>9</xdr:row>
                    <xdr:rowOff>190500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dimension ref="B1:AH70"/>
  <sheetViews>
    <sheetView zoomScale="95" zoomScaleNormal="95" zoomScalePageLayoutView="95" workbookViewId="0">
      <selection activeCell="C2" sqref="C2"/>
    </sheetView>
  </sheetViews>
  <sheetFormatPr defaultColWidth="9.140625" defaultRowHeight="12.75"/>
  <cols>
    <col min="1" max="1" width="5.140625" style="1" customWidth="1"/>
    <col min="2" max="2" width="21.42578125" style="1" customWidth="1"/>
    <col min="3" max="20" width="9.140625" style="1"/>
    <col min="21" max="26" width="9.140625" style="51"/>
    <col min="27" max="27" width="20.42578125" style="51" bestFit="1" customWidth="1"/>
    <col min="28" max="34" width="9.140625" style="51"/>
    <col min="35" max="16384" width="9.140625" style="1"/>
  </cols>
  <sheetData>
    <row r="1" spans="2:31" ht="27" thickBot="1">
      <c r="B1" s="17" t="s">
        <v>76</v>
      </c>
      <c r="G1" s="9" t="s">
        <v>122</v>
      </c>
      <c r="Z1" s="51" t="s">
        <v>33</v>
      </c>
    </row>
    <row r="2" spans="2:31" ht="13.5" thickBot="1">
      <c r="B2" s="1" t="s">
        <v>1</v>
      </c>
      <c r="C2" s="2">
        <v>0.8</v>
      </c>
      <c r="Y2" s="51" t="s">
        <v>32</v>
      </c>
      <c r="Z2" s="51">
        <f>(2*G9+1)/(G9+1)</f>
        <v>1</v>
      </c>
    </row>
    <row r="3" spans="2:31" ht="13.5" thickBot="1">
      <c r="C3" s="14"/>
      <c r="Y3" s="51" t="s">
        <v>235</v>
      </c>
      <c r="Z3" s="51">
        <v>0.75</v>
      </c>
    </row>
    <row r="4" spans="2:31" ht="13.5" thickBot="1">
      <c r="B4" s="8" t="s">
        <v>59</v>
      </c>
      <c r="C4" s="2">
        <v>0.05</v>
      </c>
      <c r="Y4" s="51" t="s">
        <v>31</v>
      </c>
      <c r="Z4" s="51">
        <v>0.5</v>
      </c>
    </row>
    <row r="5" spans="2:31" ht="16.5" thickBot="1">
      <c r="B5" s="1" t="s">
        <v>120</v>
      </c>
      <c r="C5" s="43">
        <v>0.65</v>
      </c>
      <c r="D5" s="1" t="s">
        <v>127</v>
      </c>
      <c r="U5" s="51" t="s">
        <v>56</v>
      </c>
      <c r="Y5" s="51">
        <v>3</v>
      </c>
    </row>
    <row r="6" spans="2:31" ht="16.5" thickBot="1">
      <c r="B6" s="1" t="s">
        <v>34</v>
      </c>
      <c r="C6" s="43">
        <v>0.9</v>
      </c>
      <c r="D6" s="1" t="str">
        <f>IF(C6=1,"","(to "&amp;ROUND(100/C6,1)&amp;"%)")&amp;IF(OR($C$6&lt;$C$7,$C$6&gt;$C$8)," WARNING: Ratio outside BE limits.","")</f>
        <v>(to 111.1%)</v>
      </c>
      <c r="U6" s="51">
        <v>1</v>
      </c>
      <c r="Y6" s="51">
        <f>INDEX(Z2:Z4,Y5,1)</f>
        <v>0.5</v>
      </c>
    </row>
    <row r="7" spans="2:31" ht="13.5" thickBot="1">
      <c r="B7" s="1" t="s">
        <v>9</v>
      </c>
      <c r="C7" s="13">
        <v>0.8</v>
      </c>
    </row>
    <row r="8" spans="2:31" ht="13.5" thickBot="1">
      <c r="B8" s="1" t="s">
        <v>10</v>
      </c>
      <c r="C8" s="13">
        <f>1/C7</f>
        <v>1.25</v>
      </c>
    </row>
    <row r="10" spans="2:31" ht="15.75">
      <c r="B10" s="8" t="s">
        <v>26</v>
      </c>
      <c r="C10" s="1">
        <f>SQRT(LN((C5)^2+1))</f>
        <v>0.59364626421662003</v>
      </c>
      <c r="V10" s="51" t="s">
        <v>212</v>
      </c>
      <c r="W10" s="51" t="s">
        <v>210</v>
      </c>
      <c r="X10" s="51" t="s">
        <v>213</v>
      </c>
      <c r="Y10" s="51" t="s">
        <v>211</v>
      </c>
      <c r="AA10" s="51" t="s">
        <v>224</v>
      </c>
      <c r="AB10" s="51" t="s">
        <v>225</v>
      </c>
    </row>
    <row r="11" spans="2:31">
      <c r="B11" s="1" t="s">
        <v>0</v>
      </c>
      <c r="C11" s="7">
        <v>3</v>
      </c>
      <c r="U11" s="51" t="s">
        <v>206</v>
      </c>
      <c r="V11" s="52">
        <f>C6</f>
        <v>0.9</v>
      </c>
      <c r="W11" s="51">
        <f>$C$10</f>
        <v>0.59364626421662003</v>
      </c>
      <c r="X11" s="51">
        <f>W11/SQRT(C11)</f>
        <v>0.34274183044888129</v>
      </c>
      <c r="Y11" s="51">
        <f>TINV($C$4*2,$C$11-2)*X11</f>
        <v>2.1639867511391211</v>
      </c>
      <c r="AA11" s="53">
        <f>V11+4*W11</f>
        <v>3.27458505686648</v>
      </c>
      <c r="AB11" s="51">
        <f>AA11/33</f>
        <v>9.9229850208075149E-2</v>
      </c>
    </row>
    <row r="12" spans="2:31">
      <c r="B12" s="1" t="s">
        <v>2</v>
      </c>
      <c r="C12" s="1">
        <f>C11-2</f>
        <v>1</v>
      </c>
    </row>
    <row r="13" spans="2:31">
      <c r="B13" s="1" t="s">
        <v>8</v>
      </c>
      <c r="C13" s="1">
        <f>TINV(C4*2,C12)</f>
        <v>6.3137515146750438</v>
      </c>
      <c r="Y13" s="51" t="b">
        <v>0</v>
      </c>
      <c r="AC13" s="51" t="b">
        <v>1</v>
      </c>
    </row>
    <row r="14" spans="2:31">
      <c r="B14" s="1" t="s">
        <v>3</v>
      </c>
      <c r="C14" s="1">
        <f>(SQRT(C11)*(LN(C6)-LN(C8)))/(SQRT(2*C10^2))</f>
        <v>-0.67773301291839627</v>
      </c>
      <c r="U14" s="51" t="s">
        <v>205</v>
      </c>
      <c r="V14" s="51" t="s">
        <v>227</v>
      </c>
      <c r="Y14" s="54" t="s">
        <v>220</v>
      </c>
      <c r="AC14" s="54" t="s">
        <v>222</v>
      </c>
    </row>
    <row r="15" spans="2:31">
      <c r="B15" s="1" t="s">
        <v>4</v>
      </c>
      <c r="C15" s="1">
        <f>(SQRT(C11)*(LN(C6)-LN(C7)))/(SQRT(2*C10^2))</f>
        <v>0.24299684433700114</v>
      </c>
      <c r="U15" s="51">
        <v>0</v>
      </c>
      <c r="V15" s="51">
        <f>_xlfn.NORM.DIST($U15,$V$11,$C$5,FALSE)</f>
        <v>0.23533729435330628</v>
      </c>
      <c r="Y15" s="51" t="s">
        <v>217</v>
      </c>
      <c r="Z15" s="51" t="s">
        <v>214</v>
      </c>
      <c r="AA15" s="51" t="s">
        <v>215</v>
      </c>
      <c r="AC15" s="51" t="s">
        <v>217</v>
      </c>
      <c r="AD15" s="51" t="s">
        <v>214</v>
      </c>
      <c r="AE15" s="51" t="s">
        <v>215</v>
      </c>
    </row>
    <row r="16" spans="2:31">
      <c r="B16" s="1" t="s">
        <v>7</v>
      </c>
      <c r="C16" s="1">
        <f>NCt(-C13,C12,C14)</f>
        <v>0.10307839717957634</v>
      </c>
      <c r="U16" s="51">
        <f>U15+$AB$11</f>
        <v>9.9229850208075149E-2</v>
      </c>
      <c r="V16" s="51">
        <f t="shared" ref="V16:V47" si="0">_xlfn.NORM.DIST($U16,$V$11,$C$5,FALSE)</f>
        <v>0.28736242915824389</v>
      </c>
      <c r="Y16" s="51" t="s">
        <v>216</v>
      </c>
      <c r="Z16" s="51">
        <f>$V$11-$W$11</f>
        <v>0.30635373578337999</v>
      </c>
      <c r="AA16" s="51">
        <v>0</v>
      </c>
      <c r="AC16" s="51" t="s">
        <v>216</v>
      </c>
      <c r="AD16" s="51">
        <f>$V$11-$Y$11</f>
        <v>-1.2639867511391212</v>
      </c>
      <c r="AE16" s="51">
        <v>0</v>
      </c>
    </row>
    <row r="17" spans="2:31">
      <c r="B17" s="1" t="s">
        <v>6</v>
      </c>
      <c r="C17" s="1">
        <f>NCt(C13,C12,C15)</f>
        <v>0.93339405326162772</v>
      </c>
      <c r="U17" s="51">
        <f t="shared" ref="U17:U47" si="1">U16+$AB$11</f>
        <v>0.1984597004161503</v>
      </c>
      <c r="V17" s="51">
        <f t="shared" si="0"/>
        <v>0.34280549683534484</v>
      </c>
      <c r="Y17" s="51" t="s">
        <v>218</v>
      </c>
      <c r="Z17" s="51">
        <f>Z16</f>
        <v>0.30635373578337999</v>
      </c>
      <c r="AA17" s="51">
        <f>IF(Y13,MAX($V$15:$V$47),0)</f>
        <v>0</v>
      </c>
      <c r="AC17" s="51" t="s">
        <v>218</v>
      </c>
      <c r="AD17" s="51">
        <f>AD16</f>
        <v>-1.2639867511391212</v>
      </c>
      <c r="AE17" s="51">
        <f>IF(AC13,MAX($V$15:$V$47),0)</f>
        <v>0.61372245947377413</v>
      </c>
    </row>
    <row r="18" spans="2:31">
      <c r="B18" s="1" t="s">
        <v>58</v>
      </c>
      <c r="C18" s="1">
        <f>C16-C17</f>
        <v>-0.83031565608205138</v>
      </c>
      <c r="E18" s="5"/>
      <c r="U18" s="51">
        <f t="shared" si="1"/>
        <v>0.29768955062422542</v>
      </c>
      <c r="V18" s="51">
        <f t="shared" si="0"/>
        <v>0.39952515522834975</v>
      </c>
      <c r="Y18" s="51" t="s">
        <v>219</v>
      </c>
      <c r="Z18" s="51" t="s">
        <v>214</v>
      </c>
      <c r="AA18" s="51" t="s">
        <v>215</v>
      </c>
      <c r="AC18" s="51" t="s">
        <v>219</v>
      </c>
      <c r="AD18" s="51" t="s">
        <v>214</v>
      </c>
      <c r="AE18" s="51" t="s">
        <v>215</v>
      </c>
    </row>
    <row r="19" spans="2:31">
      <c r="U19" s="51">
        <f t="shared" si="1"/>
        <v>0.3969194008323006</v>
      </c>
      <c r="V19" s="51">
        <f t="shared" si="0"/>
        <v>0.45490325198376713</v>
      </c>
      <c r="Y19" s="51" t="s">
        <v>216</v>
      </c>
      <c r="Z19" s="51">
        <f>$V$11+$W$11</f>
        <v>1.4936462642166202</v>
      </c>
      <c r="AA19" s="51">
        <v>0</v>
      </c>
      <c r="AC19" s="51" t="s">
        <v>216</v>
      </c>
      <c r="AD19" s="51">
        <f>$V$11+$Y$11</f>
        <v>3.063986751139121</v>
      </c>
      <c r="AE19" s="51">
        <v>0</v>
      </c>
    </row>
    <row r="20" spans="2:31">
      <c r="B20" s="1" t="s">
        <v>11</v>
      </c>
      <c r="C20" s="1">
        <f>CEILING(INDEX(Z2:Z4,Y5,1)*C11,1)</f>
        <v>2</v>
      </c>
      <c r="U20" s="51">
        <f t="shared" si="1"/>
        <v>0.49614925104037577</v>
      </c>
      <c r="V20" s="51">
        <f t="shared" si="0"/>
        <v>0.50602563077485663</v>
      </c>
      <c r="Y20" s="51" t="s">
        <v>218</v>
      </c>
      <c r="Z20" s="51">
        <f>Z19</f>
        <v>1.4936462642166202</v>
      </c>
      <c r="AA20" s="51">
        <f>AA17</f>
        <v>0</v>
      </c>
      <c r="AC20" s="51" t="s">
        <v>218</v>
      </c>
      <c r="AD20" s="51">
        <f>AD19</f>
        <v>3.063986751139121</v>
      </c>
      <c r="AE20" s="51">
        <f>AE17</f>
        <v>0.61372245947377413</v>
      </c>
    </row>
    <row r="21" spans="2:31">
      <c r="U21" s="51">
        <f t="shared" si="1"/>
        <v>0.59537910124845095</v>
      </c>
      <c r="V21" s="51">
        <f t="shared" si="0"/>
        <v>0.54992637471810812</v>
      </c>
    </row>
    <row r="22" spans="2:31">
      <c r="U22" s="51">
        <f t="shared" si="1"/>
        <v>0.69460895145652612</v>
      </c>
      <c r="V22" s="51">
        <f t="shared" si="0"/>
        <v>0.58386863272477407</v>
      </c>
      <c r="Y22" s="54"/>
      <c r="AC22" s="54"/>
    </row>
    <row r="23" spans="2:31">
      <c r="U23" s="51">
        <f t="shared" si="1"/>
        <v>0.7938388016646013</v>
      </c>
      <c r="V23" s="51">
        <f t="shared" si="0"/>
        <v>0.60562570518659309</v>
      </c>
    </row>
    <row r="24" spans="2:31">
      <c r="U24" s="51">
        <f t="shared" si="1"/>
        <v>0.89306865187267648</v>
      </c>
      <c r="V24" s="51">
        <f t="shared" si="0"/>
        <v>0.61372245947377413</v>
      </c>
    </row>
    <row r="25" spans="2:31">
      <c r="U25" s="51">
        <f t="shared" si="1"/>
        <v>0.99229850208075165</v>
      </c>
      <c r="V25" s="51">
        <f t="shared" si="0"/>
        <v>0.60760074029019817</v>
      </c>
    </row>
    <row r="26" spans="2:31">
      <c r="U26" s="51">
        <f t="shared" si="1"/>
        <v>1.0915283522888268</v>
      </c>
      <c r="V26" s="51">
        <f t="shared" si="0"/>
        <v>0.5876830063555375</v>
      </c>
    </row>
    <row r="27" spans="2:31">
      <c r="U27" s="51">
        <f t="shared" si="1"/>
        <v>1.1907582024969019</v>
      </c>
      <c r="V27" s="51">
        <f t="shared" si="0"/>
        <v>0.55532411335267029</v>
      </c>
    </row>
    <row r="28" spans="2:31">
      <c r="U28" s="51">
        <f t="shared" si="1"/>
        <v>1.289988052704977</v>
      </c>
      <c r="V28" s="51">
        <f t="shared" si="0"/>
        <v>0.51265888884221822</v>
      </c>
    </row>
    <row r="29" spans="2:31">
      <c r="U29" s="51">
        <f t="shared" si="1"/>
        <v>1.389217902913052</v>
      </c>
      <c r="V29" s="51">
        <f t="shared" si="0"/>
        <v>0.46236932369525469</v>
      </c>
      <c r="Y29" s="51" t="b">
        <v>1</v>
      </c>
    </row>
    <row r="30" spans="2:31">
      <c r="U30" s="51">
        <f t="shared" si="1"/>
        <v>1.4884477531211271</v>
      </c>
      <c r="V30" s="51">
        <f t="shared" si="0"/>
        <v>0.40740663195800214</v>
      </c>
      <c r="Y30" s="54" t="s">
        <v>228</v>
      </c>
    </row>
    <row r="31" spans="2:31">
      <c r="U31" s="51">
        <f t="shared" si="1"/>
        <v>1.5876776033292022</v>
      </c>
      <c r="V31" s="51">
        <f t="shared" si="0"/>
        <v>0.35070805182037268</v>
      </c>
      <c r="Y31" s="51" t="s">
        <v>217</v>
      </c>
      <c r="Z31" s="51" t="s">
        <v>214</v>
      </c>
      <c r="AA31" s="51" t="s">
        <v>215</v>
      </c>
    </row>
    <row r="32" spans="2:31">
      <c r="U32" s="51">
        <f t="shared" si="1"/>
        <v>1.6869074535372772</v>
      </c>
      <c r="V32" s="51">
        <f t="shared" si="0"/>
        <v>0.29494561250934742</v>
      </c>
      <c r="Y32" s="51" t="s">
        <v>216</v>
      </c>
      <c r="Z32" s="55">
        <f>C7</f>
        <v>0.8</v>
      </c>
      <c r="AA32" s="51">
        <v>0</v>
      </c>
    </row>
    <row r="33" spans="21:27">
      <c r="U33" s="51">
        <f t="shared" si="1"/>
        <v>1.7861373037453523</v>
      </c>
      <c r="V33" s="51">
        <f t="shared" si="0"/>
        <v>0.24233531319033688</v>
      </c>
      <c r="Y33" s="51" t="s">
        <v>218</v>
      </c>
      <c r="Z33" s="55">
        <f>Z32</f>
        <v>0.8</v>
      </c>
      <c r="AA33" s="51">
        <f>IF($Y$29,MAX($V$15:$W$47),0)</f>
        <v>0.61372245947377413</v>
      </c>
    </row>
    <row r="34" spans="21:27">
      <c r="U34" s="51">
        <f t="shared" si="1"/>
        <v>1.8853671539534274</v>
      </c>
      <c r="V34" s="51">
        <f t="shared" si="0"/>
        <v>0.1945225836599368</v>
      </c>
      <c r="Y34" s="51" t="s">
        <v>219</v>
      </c>
      <c r="Z34" s="51" t="s">
        <v>214</v>
      </c>
      <c r="AA34" s="51" t="s">
        <v>215</v>
      </c>
    </row>
    <row r="35" spans="21:27">
      <c r="U35" s="51">
        <f t="shared" si="1"/>
        <v>1.9845970041615024</v>
      </c>
      <c r="V35" s="51">
        <f t="shared" si="0"/>
        <v>0.15254638314764188</v>
      </c>
      <c r="Y35" s="51" t="s">
        <v>216</v>
      </c>
      <c r="Z35" s="55">
        <f>C8</f>
        <v>1.25</v>
      </c>
      <c r="AA35" s="51">
        <v>0</v>
      </c>
    </row>
    <row r="36" spans="21:27">
      <c r="U36" s="51">
        <f t="shared" si="1"/>
        <v>2.0838268543695775</v>
      </c>
      <c r="V36" s="51">
        <f t="shared" si="0"/>
        <v>0.11687250742502221</v>
      </c>
      <c r="Y36" s="51" t="s">
        <v>218</v>
      </c>
      <c r="Z36" s="55">
        <f>Z35</f>
        <v>1.25</v>
      </c>
      <c r="AA36" s="51">
        <f>AA33</f>
        <v>0.61372245947377413</v>
      </c>
    </row>
    <row r="37" spans="21:27">
      <c r="U37" s="51">
        <f t="shared" si="1"/>
        <v>2.1830567045776528</v>
      </c>
      <c r="V37" s="51">
        <f t="shared" si="0"/>
        <v>8.7478508365891355E-2</v>
      </c>
    </row>
    <row r="38" spans="21:27">
      <c r="U38" s="51">
        <f t="shared" si="1"/>
        <v>2.2822865547857281</v>
      </c>
      <c r="V38" s="51">
        <f t="shared" si="0"/>
        <v>6.3968908046208445E-2</v>
      </c>
    </row>
    <row r="39" spans="21:27">
      <c r="U39" s="51">
        <f t="shared" si="1"/>
        <v>2.3815164049938033</v>
      </c>
      <c r="V39" s="51">
        <f t="shared" si="0"/>
        <v>4.569988070902295E-2</v>
      </c>
    </row>
    <row r="40" spans="21:27">
      <c r="U40" s="51">
        <f t="shared" si="1"/>
        <v>2.4807462552018786</v>
      </c>
      <c r="V40" s="51">
        <f t="shared" si="0"/>
        <v>3.1896259526106731E-2</v>
      </c>
    </row>
    <row r="41" spans="21:27">
      <c r="U41" s="51">
        <f t="shared" si="1"/>
        <v>2.5799761054099539</v>
      </c>
      <c r="V41" s="51">
        <f t="shared" si="0"/>
        <v>2.1749185983899813E-2</v>
      </c>
    </row>
    <row r="42" spans="21:27">
      <c r="U42" s="51">
        <f t="shared" si="1"/>
        <v>2.6792059556180292</v>
      </c>
      <c r="V42" s="51">
        <f t="shared" si="0"/>
        <v>1.4488546488791608E-2</v>
      </c>
    </row>
    <row r="43" spans="21:27">
      <c r="U43" s="51">
        <f t="shared" si="1"/>
        <v>2.7784358058261045</v>
      </c>
      <c r="V43" s="51">
        <f t="shared" si="0"/>
        <v>9.4294245755793919E-3</v>
      </c>
    </row>
    <row r="44" spans="21:27" ht="20.25" customHeight="1">
      <c r="U44" s="51">
        <f t="shared" si="1"/>
        <v>2.8776656560341798</v>
      </c>
      <c r="V44" s="51">
        <f t="shared" si="0"/>
        <v>5.9954822866968805E-3</v>
      </c>
    </row>
    <row r="45" spans="21:27">
      <c r="U45" s="51">
        <f t="shared" si="1"/>
        <v>2.9768955062422551</v>
      </c>
      <c r="V45" s="51">
        <f t="shared" si="0"/>
        <v>3.7242739410159697E-3</v>
      </c>
    </row>
    <row r="46" spans="21:27">
      <c r="U46" s="51">
        <f t="shared" si="1"/>
        <v>3.0761253564503304</v>
      </c>
      <c r="V46" s="51">
        <f t="shared" si="0"/>
        <v>2.260152134061862E-3</v>
      </c>
    </row>
    <row r="47" spans="21:27">
      <c r="U47" s="51">
        <f t="shared" si="1"/>
        <v>3.1753552066584056</v>
      </c>
      <c r="V47" s="51">
        <f t="shared" si="0"/>
        <v>1.3400231116534327E-3</v>
      </c>
    </row>
    <row r="52" spans="2:2" ht="18">
      <c r="B52" s="28" t="s">
        <v>123</v>
      </c>
    </row>
    <row r="63" spans="2:2">
      <c r="B63" s="9" t="s">
        <v>125</v>
      </c>
    </row>
    <row r="67" spans="2:7">
      <c r="B67" s="9"/>
      <c r="G67" s="6"/>
    </row>
    <row r="68" spans="2:7">
      <c r="G68" s="6"/>
    </row>
    <row r="69" spans="2:7">
      <c r="B69" s="9"/>
      <c r="G69" s="6"/>
    </row>
    <row r="70" spans="2:7">
      <c r="G70" s="6"/>
    </row>
  </sheetData>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5841" r:id="rId3" name="Button 1">
              <controlPr defaultSize="0" print="0" autoFill="0" autoPict="0" macro="[0]!SS_Probt">
                <anchor moveWithCells="1" sizeWithCells="1">
                  <from>
                    <xdr:col>1</xdr:col>
                    <xdr:colOff>104775</xdr:colOff>
                    <xdr:row>23</xdr:row>
                    <xdr:rowOff>0</xdr:rowOff>
                  </from>
                  <to>
                    <xdr:col>2</xdr:col>
                    <xdr:colOff>0</xdr:colOff>
                    <xdr:row>24</xdr:row>
                    <xdr:rowOff>85725</xdr:rowOff>
                  </to>
                </anchor>
              </controlPr>
            </control>
          </mc:Choice>
        </mc:AlternateContent>
        <mc:AlternateContent xmlns:mc="http://schemas.openxmlformats.org/markup-compatibility/2006">
          <mc:Choice Requires="x14">
            <control shapeId="35842" r:id="rId4" name="Button 2">
              <controlPr defaultSize="0" print="0" autoFill="0" autoPict="0" macro="[0]!SS_Boss_BE">
                <anchor moveWithCells="1" sizeWithCells="1">
                  <from>
                    <xdr:col>3</xdr:col>
                    <xdr:colOff>485775</xdr:colOff>
                    <xdr:row>23</xdr:row>
                    <xdr:rowOff>0</xdr:rowOff>
                  </from>
                  <to>
                    <xdr:col>5</xdr:col>
                    <xdr:colOff>104775</xdr:colOff>
                    <xdr:row>24</xdr:row>
                    <xdr:rowOff>85725</xdr:rowOff>
                  </to>
                </anchor>
              </controlPr>
            </control>
          </mc:Choice>
        </mc:AlternateContent>
        <mc:AlternateContent xmlns:mc="http://schemas.openxmlformats.org/markup-compatibility/2006">
          <mc:Choice Requires="x14">
            <control shapeId="35843" r:id="rId5" name="Button 3">
              <controlPr defaultSize="0" print="0" autoFill="0" autoPict="0" macro="[0]!ISV_Calculator">
                <anchor moveWithCells="1" sizeWithCells="1">
                  <from>
                    <xdr:col>5</xdr:col>
                    <xdr:colOff>180975</xdr:colOff>
                    <xdr:row>23</xdr:row>
                    <xdr:rowOff>0</xdr:rowOff>
                  </from>
                  <to>
                    <xdr:col>9</xdr:col>
                    <xdr:colOff>104775</xdr:colOff>
                    <xdr:row>24</xdr:row>
                    <xdr:rowOff>85725</xdr:rowOff>
                  </to>
                </anchor>
              </controlPr>
            </control>
          </mc:Choice>
        </mc:AlternateContent>
        <mc:AlternateContent xmlns:mc="http://schemas.openxmlformats.org/markup-compatibility/2006">
          <mc:Choice Requires="x14">
            <control shapeId="35844" r:id="rId6" name="Button 4">
              <controlPr defaultSize="0" print="0" autoFill="0" autoPict="0" macro="[0]!Power_Calculator_XO">
                <anchor moveWithCells="1" sizeWithCells="1">
                  <from>
                    <xdr:col>2</xdr:col>
                    <xdr:colOff>66675</xdr:colOff>
                    <xdr:row>23</xdr:row>
                    <xdr:rowOff>0</xdr:rowOff>
                  </from>
                  <to>
                    <xdr:col>3</xdr:col>
                    <xdr:colOff>409575</xdr:colOff>
                    <xdr:row>24</xdr:row>
                    <xdr:rowOff>85725</xdr:rowOff>
                  </to>
                </anchor>
              </controlPr>
            </control>
          </mc:Choice>
        </mc:AlternateContent>
        <mc:AlternateContent xmlns:mc="http://schemas.openxmlformats.org/markup-compatibility/2006">
          <mc:Choice Requires="x14">
            <control shapeId="35845" r:id="rId7" name="Check Box 5">
              <controlPr defaultSize="0" autoFill="0" autoLine="0" autoPict="0">
                <anchor moveWithCells="1">
                  <from>
                    <xdr:col>10</xdr:col>
                    <xdr:colOff>333375</xdr:colOff>
                    <xdr:row>6</xdr:row>
                    <xdr:rowOff>85725</xdr:rowOff>
                  </from>
                  <to>
                    <xdr:col>11</xdr:col>
                    <xdr:colOff>485775</xdr:colOff>
                    <xdr:row>7</xdr:row>
                    <xdr:rowOff>123825</xdr:rowOff>
                  </to>
                </anchor>
              </controlPr>
            </control>
          </mc:Choice>
        </mc:AlternateContent>
        <mc:AlternateContent xmlns:mc="http://schemas.openxmlformats.org/markup-compatibility/2006">
          <mc:Choice Requires="x14">
            <control shapeId="35846" r:id="rId8" name="Check Box 6">
              <controlPr defaultSize="0" autoFill="0" autoLine="0" autoPict="0">
                <anchor moveWithCells="1">
                  <from>
                    <xdr:col>10</xdr:col>
                    <xdr:colOff>333375</xdr:colOff>
                    <xdr:row>7</xdr:row>
                    <xdr:rowOff>123825</xdr:rowOff>
                  </from>
                  <to>
                    <xdr:col>11</xdr:col>
                    <xdr:colOff>485775</xdr:colOff>
                    <xdr:row>9</xdr:row>
                    <xdr:rowOff>28575</xdr:rowOff>
                  </to>
                </anchor>
              </controlPr>
            </control>
          </mc:Choice>
        </mc:AlternateContent>
        <mc:AlternateContent xmlns:mc="http://schemas.openxmlformats.org/markup-compatibility/2006">
          <mc:Choice Requires="x14">
            <control shapeId="35847" r:id="rId9" name="Check Box 7">
              <controlPr defaultSize="0" autoFill="0" autoLine="0" autoPict="0">
                <anchor moveWithCells="1">
                  <from>
                    <xdr:col>10</xdr:col>
                    <xdr:colOff>333375</xdr:colOff>
                    <xdr:row>9</xdr:row>
                    <xdr:rowOff>28575</xdr:rowOff>
                  </from>
                  <to>
                    <xdr:col>11</xdr:col>
                    <xdr:colOff>485775</xdr:colOff>
                    <xdr:row>10</xdr:row>
                    <xdr:rowOff>28575</xdr:rowOff>
                  </to>
                </anchor>
              </controlPr>
            </control>
          </mc:Choice>
        </mc:AlternateContent>
        <mc:AlternateContent xmlns:mc="http://schemas.openxmlformats.org/markup-compatibility/2006">
          <mc:Choice Requires="x14">
            <control shapeId="35850" r:id="rId10" name="Drop Down 10">
              <controlPr defaultSize="0" autoLine="0" autoPict="0">
                <anchor moveWithCells="1">
                  <from>
                    <xdr:col>3</xdr:col>
                    <xdr:colOff>114300</xdr:colOff>
                    <xdr:row>1</xdr:row>
                    <xdr:rowOff>0</xdr:rowOff>
                  </from>
                  <to>
                    <xdr:col>6</xdr:col>
                    <xdr:colOff>409575</xdr:colOff>
                    <xdr:row>2</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AC0661-C073-48DA-A31C-E51917BF6A6A}">
  <sheetPr codeName="Sheet10"/>
  <dimension ref="B2:E39"/>
  <sheetViews>
    <sheetView zoomScaleNormal="100" workbookViewId="0">
      <selection activeCell="C20" sqref="C20"/>
    </sheetView>
  </sheetViews>
  <sheetFormatPr defaultRowHeight="15"/>
  <cols>
    <col min="1" max="1" width="5.85546875" style="78" customWidth="1"/>
    <col min="2" max="2" width="9.140625" style="78" customWidth="1"/>
    <col min="3" max="16384" width="9.140625" style="78"/>
  </cols>
  <sheetData>
    <row r="2" spans="2:2" ht="23.25">
      <c r="B2" s="77" t="s">
        <v>248</v>
      </c>
    </row>
    <row r="19" spans="2:4" ht="15.75" thickBot="1"/>
    <row r="20" spans="2:4" ht="18.75" thickBot="1">
      <c r="B20" s="78" t="s">
        <v>249</v>
      </c>
      <c r="C20" s="79">
        <v>0.1</v>
      </c>
      <c r="D20" s="91" t="s">
        <v>283</v>
      </c>
    </row>
    <row r="21" spans="2:4" ht="18.75" thickBot="1">
      <c r="B21" s="78" t="s">
        <v>250</v>
      </c>
      <c r="C21" s="80">
        <v>0.2</v>
      </c>
    </row>
    <row r="22" spans="2:4" ht="18">
      <c r="B22" s="78" t="s">
        <v>251</v>
      </c>
      <c r="C22" s="81">
        <f>C20*C21</f>
        <v>2.0000000000000004E-2</v>
      </c>
    </row>
    <row r="23" spans="2:4">
      <c r="C23" s="81"/>
    </row>
    <row r="24" spans="2:4" ht="18">
      <c r="B24" s="78" t="s">
        <v>252</v>
      </c>
      <c r="C24" s="81">
        <f>1-C25</f>
        <v>0.28000000000000003</v>
      </c>
      <c r="D24" s="78" t="s">
        <v>253</v>
      </c>
    </row>
    <row r="25" spans="2:4" ht="18">
      <c r="B25" s="78" t="s">
        <v>254</v>
      </c>
      <c r="C25" s="81">
        <f>1-C20-C21+C22</f>
        <v>0.72</v>
      </c>
      <c r="D25" s="78" t="s">
        <v>255</v>
      </c>
    </row>
    <row r="26" spans="2:4" ht="15.75" thickBot="1"/>
    <row r="27" spans="2:4" ht="15.75" thickBot="1">
      <c r="C27" s="82" t="s">
        <v>280</v>
      </c>
      <c r="D27" s="79">
        <v>50</v>
      </c>
    </row>
    <row r="28" spans="2:4">
      <c r="C28" s="82" t="s">
        <v>256</v>
      </c>
      <c r="D28" s="81">
        <f>D27*C24</f>
        <v>14.000000000000002</v>
      </c>
    </row>
    <row r="29" spans="2:4">
      <c r="C29" s="82" t="s">
        <v>257</v>
      </c>
      <c r="D29" s="81">
        <f>D27/C25</f>
        <v>69.444444444444443</v>
      </c>
    </row>
    <row r="30" spans="2:4" ht="15.75" thickBot="1"/>
    <row r="31" spans="2:4" ht="15.75" thickBot="1">
      <c r="B31" s="82" t="s">
        <v>258</v>
      </c>
      <c r="C31" s="79">
        <v>2</v>
      </c>
      <c r="D31" s="78" t="s">
        <v>259</v>
      </c>
    </row>
    <row r="33" spans="2:5">
      <c r="B33" s="82" t="s">
        <v>260</v>
      </c>
      <c r="C33" s="83">
        <f>CEILING(D29,1)</f>
        <v>70</v>
      </c>
      <c r="D33" s="78">
        <f>C33/$C$31</f>
        <v>35</v>
      </c>
      <c r="E33" s="78" t="str">
        <f>IF(D33-ROUND(D33,0)=0,"&lt;-- divisible","")</f>
        <v>&lt;-- divisible</v>
      </c>
    </row>
    <row r="34" spans="2:5">
      <c r="C34" s="83">
        <f>C33+1</f>
        <v>71</v>
      </c>
      <c r="D34" s="78">
        <f t="shared" ref="D34:D37" si="0">C34/$C$31</f>
        <v>35.5</v>
      </c>
      <c r="E34" s="78" t="str">
        <f t="shared" ref="E34:E37" si="1">IF(D34-ROUND(D34,0)=0,"&lt;-- divisible","")</f>
        <v/>
      </c>
    </row>
    <row r="35" spans="2:5">
      <c r="C35" s="83">
        <f>C34+1</f>
        <v>72</v>
      </c>
      <c r="D35" s="78">
        <f t="shared" si="0"/>
        <v>36</v>
      </c>
      <c r="E35" s="78" t="str">
        <f t="shared" si="1"/>
        <v>&lt;-- divisible</v>
      </c>
    </row>
    <row r="36" spans="2:5">
      <c r="C36" s="83">
        <f>C35+1</f>
        <v>73</v>
      </c>
      <c r="D36" s="78">
        <f t="shared" si="0"/>
        <v>36.5</v>
      </c>
      <c r="E36" s="78" t="str">
        <f t="shared" si="1"/>
        <v/>
      </c>
    </row>
    <row r="37" spans="2:5">
      <c r="C37" s="83">
        <f>C36+1</f>
        <v>74</v>
      </c>
      <c r="D37" s="78">
        <f t="shared" si="0"/>
        <v>37</v>
      </c>
      <c r="E37" s="78" t="str">
        <f t="shared" si="1"/>
        <v>&lt;-- divisible</v>
      </c>
    </row>
    <row r="39" spans="2:5">
      <c r="B39" s="82" t="s">
        <v>261</v>
      </c>
      <c r="C39" s="83">
        <f>_xlfn.XLOOKUP("&lt;-- divisible",E33:E37,C33:C37,"NOT FOUND", 0,1)</f>
        <v>70</v>
      </c>
      <c r="D39" s="78" t="s">
        <v>262</v>
      </c>
    </row>
  </sheetData>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2006C-08DF-4C68-98BC-9B585892F48C}">
  <sheetPr codeName="Sheet18"/>
  <dimension ref="B2:I54"/>
  <sheetViews>
    <sheetView zoomScaleNormal="100" workbookViewId="0">
      <selection activeCell="D29" sqref="D29"/>
    </sheetView>
  </sheetViews>
  <sheetFormatPr defaultRowHeight="15"/>
  <cols>
    <col min="1" max="1" width="5.28515625" style="78" customWidth="1"/>
    <col min="2" max="16384" width="9.140625" style="78"/>
  </cols>
  <sheetData>
    <row r="2" spans="2:2" ht="23.25">
      <c r="B2" s="77" t="s">
        <v>263</v>
      </c>
    </row>
    <row r="3" spans="2:2" ht="23.25">
      <c r="B3" s="84"/>
    </row>
    <row r="28" spans="3:9" ht="15.75" thickBot="1"/>
    <row r="29" spans="3:9" ht="18.75" thickBot="1">
      <c r="C29" s="78" t="s">
        <v>249</v>
      </c>
      <c r="D29" s="79">
        <v>0.1</v>
      </c>
      <c r="E29" s="91" t="s">
        <v>283</v>
      </c>
    </row>
    <row r="30" spans="3:9" ht="18.75" thickBot="1">
      <c r="C30" s="78" t="s">
        <v>250</v>
      </c>
      <c r="D30" s="79">
        <v>0.01</v>
      </c>
      <c r="E30" s="78" t="s">
        <v>264</v>
      </c>
    </row>
    <row r="31" spans="3:9" ht="18.75" thickBot="1">
      <c r="C31" s="78" t="s">
        <v>265</v>
      </c>
      <c r="D31" s="79">
        <v>0.03</v>
      </c>
      <c r="E31" s="78" t="s">
        <v>266</v>
      </c>
    </row>
    <row r="32" spans="3:9">
      <c r="D32" s="85"/>
      <c r="F32" s="86"/>
      <c r="G32" s="86"/>
      <c r="H32" s="86"/>
      <c r="I32" s="86"/>
    </row>
    <row r="33" spans="3:9">
      <c r="D33" s="85"/>
      <c r="F33" s="86" t="s">
        <v>267</v>
      </c>
      <c r="G33" s="86" t="s">
        <v>268</v>
      </c>
      <c r="H33" s="86" t="s">
        <v>269</v>
      </c>
      <c r="I33" s="86" t="s">
        <v>270</v>
      </c>
    </row>
    <row r="34" spans="3:9" ht="18">
      <c r="C34" s="78" t="s">
        <v>251</v>
      </c>
      <c r="D34" s="87">
        <f>D29*D30</f>
        <v>1E-3</v>
      </c>
      <c r="E34" s="88" t="s">
        <v>271</v>
      </c>
      <c r="F34" s="87">
        <f>D34-D37</f>
        <v>9.7000000000000005E-4</v>
      </c>
      <c r="G34" s="87">
        <f>D29-F34-F36-D37</f>
        <v>9.6030000000000004E-2</v>
      </c>
      <c r="H34" s="89">
        <f>D37+SUM(F34:G36)</f>
        <v>0.13573000000000002</v>
      </c>
      <c r="I34" s="89">
        <f>1-H34</f>
        <v>0.86426999999999998</v>
      </c>
    </row>
    <row r="35" spans="3:9" ht="18">
      <c r="C35" s="78" t="s">
        <v>272</v>
      </c>
      <c r="D35" s="87">
        <f>D29*D31</f>
        <v>3.0000000000000001E-3</v>
      </c>
      <c r="E35" s="88" t="s">
        <v>273</v>
      </c>
      <c r="F35" s="87">
        <f>D36-D37</f>
        <v>2.6999999999999995E-4</v>
      </c>
      <c r="G35" s="87">
        <f>D30-F34-F35-D37</f>
        <v>8.7299999999999999E-3</v>
      </c>
      <c r="H35" s="87"/>
      <c r="I35" s="87"/>
    </row>
    <row r="36" spans="3:9" ht="18">
      <c r="C36" s="78" t="s">
        <v>274</v>
      </c>
      <c r="D36" s="87">
        <f>D30*D31</f>
        <v>2.9999999999999997E-4</v>
      </c>
      <c r="E36" s="88" t="s">
        <v>275</v>
      </c>
      <c r="F36" s="87">
        <f>D35-D37</f>
        <v>2.97E-3</v>
      </c>
      <c r="G36" s="87">
        <f>D31-F36-F35-D37</f>
        <v>2.673E-2</v>
      </c>
      <c r="H36" s="87"/>
      <c r="I36" s="87"/>
    </row>
    <row r="37" spans="3:9" ht="18">
      <c r="C37" s="78" t="s">
        <v>276</v>
      </c>
      <c r="D37" s="87">
        <f>D29*D30*D31</f>
        <v>3.0000000000000001E-5</v>
      </c>
      <c r="E37" s="88" t="s">
        <v>277</v>
      </c>
      <c r="F37" s="89">
        <f>SUM(F34:F36)</f>
        <v>4.2100000000000002E-3</v>
      </c>
      <c r="G37" s="89">
        <f>SUM(G34:G36)</f>
        <v>0.13149</v>
      </c>
      <c r="H37" s="87"/>
      <c r="I37" s="87"/>
    </row>
    <row r="39" spans="3:9" ht="18">
      <c r="C39" s="78" t="s">
        <v>278</v>
      </c>
      <c r="D39" s="87">
        <f>D29+D30+D31-D34-D35-D36+D37</f>
        <v>0.13573000000000002</v>
      </c>
      <c r="E39" s="78" t="s">
        <v>253</v>
      </c>
    </row>
    <row r="40" spans="3:9" ht="18">
      <c r="C40" s="78" t="s">
        <v>279</v>
      </c>
      <c r="D40" s="87">
        <f>1-D39</f>
        <v>0.86426999999999998</v>
      </c>
      <c r="E40" s="78" t="s">
        <v>255</v>
      </c>
    </row>
    <row r="41" spans="3:9" ht="15.75" thickBot="1"/>
    <row r="42" spans="3:9" ht="15.75" thickBot="1">
      <c r="D42" s="82" t="s">
        <v>280</v>
      </c>
      <c r="E42" s="79">
        <v>67</v>
      </c>
    </row>
    <row r="43" spans="3:9">
      <c r="D43" s="82" t="s">
        <v>256</v>
      </c>
      <c r="E43" s="81">
        <f>E42*D39</f>
        <v>9.093910000000001</v>
      </c>
    </row>
    <row r="44" spans="3:9">
      <c r="D44" s="82" t="s">
        <v>257</v>
      </c>
      <c r="E44" s="81">
        <f>E42/D40</f>
        <v>77.522070649218421</v>
      </c>
    </row>
    <row r="45" spans="3:9" ht="15.75" thickBot="1">
      <c r="C45" s="86"/>
    </row>
    <row r="46" spans="3:9" ht="15.75" thickBot="1">
      <c r="C46" s="82" t="s">
        <v>258</v>
      </c>
      <c r="D46" s="79">
        <v>2</v>
      </c>
      <c r="E46" s="78" t="s">
        <v>259</v>
      </c>
    </row>
    <row r="47" spans="3:9">
      <c r="C47" s="86"/>
    </row>
    <row r="48" spans="3:9">
      <c r="C48" s="82" t="s">
        <v>260</v>
      </c>
      <c r="D48" s="83">
        <f>CEILING(E44,1)</f>
        <v>78</v>
      </c>
      <c r="E48" s="78">
        <f>D48/$D$46</f>
        <v>39</v>
      </c>
      <c r="F48" s="78" t="str">
        <f>IF(E48-ROUND(E48,0)=0,"&lt;-- divisible","")</f>
        <v>&lt;-- divisible</v>
      </c>
    </row>
    <row r="49" spans="3:6">
      <c r="C49" s="86"/>
      <c r="D49" s="83">
        <f>D48+1</f>
        <v>79</v>
      </c>
      <c r="E49" s="78">
        <f t="shared" ref="E49:E52" si="0">D49/$D$46</f>
        <v>39.5</v>
      </c>
      <c r="F49" s="78" t="str">
        <f t="shared" ref="F49:F52" si="1">IF(E49-ROUND(E49,0)=0,"&lt;-- divisible","")</f>
        <v/>
      </c>
    </row>
    <row r="50" spans="3:6">
      <c r="D50" s="83">
        <f>D49+1</f>
        <v>80</v>
      </c>
      <c r="E50" s="78">
        <f t="shared" si="0"/>
        <v>40</v>
      </c>
      <c r="F50" s="78" t="str">
        <f t="shared" si="1"/>
        <v>&lt;-- divisible</v>
      </c>
    </row>
    <row r="51" spans="3:6">
      <c r="D51" s="83">
        <f>D50+1</f>
        <v>81</v>
      </c>
      <c r="E51" s="78">
        <f t="shared" si="0"/>
        <v>40.5</v>
      </c>
      <c r="F51" s="78" t="str">
        <f t="shared" si="1"/>
        <v/>
      </c>
    </row>
    <row r="52" spans="3:6">
      <c r="D52" s="83">
        <f>D51+1</f>
        <v>82</v>
      </c>
      <c r="E52" s="78">
        <f t="shared" si="0"/>
        <v>41</v>
      </c>
      <c r="F52" s="78" t="str">
        <f t="shared" si="1"/>
        <v>&lt;-- divisible</v>
      </c>
    </row>
    <row r="54" spans="3:6">
      <c r="C54" s="82" t="s">
        <v>261</v>
      </c>
      <c r="D54" s="83">
        <f>_xlfn.XLOOKUP("&lt;-- divisible",F48:F52,D48:D52,"NOT FOUND", 0,1)</f>
        <v>78</v>
      </c>
      <c r="E54" s="78" t="s">
        <v>262</v>
      </c>
    </row>
  </sheetData>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B1:U189"/>
  <sheetViews>
    <sheetView workbookViewId="0">
      <selection activeCell="C3" sqref="C3"/>
    </sheetView>
  </sheetViews>
  <sheetFormatPr defaultColWidth="9.140625" defaultRowHeight="12.75"/>
  <cols>
    <col min="1" max="1" width="5.140625" style="1" customWidth="1"/>
    <col min="2" max="2" width="28.140625" style="1" customWidth="1"/>
    <col min="3" max="4" width="9.140625" style="1"/>
    <col min="5" max="5" width="9.140625" style="1" customWidth="1"/>
    <col min="6" max="16384" width="9.140625" style="1"/>
  </cols>
  <sheetData>
    <row r="1" spans="2:15" ht="26.25">
      <c r="B1" s="17" t="s">
        <v>194</v>
      </c>
    </row>
    <row r="2" spans="2:15" ht="13.5" thickBot="1"/>
    <row r="3" spans="2:15" ht="13.5" thickBot="1">
      <c r="B3" s="15" t="s">
        <v>197</v>
      </c>
      <c r="C3" s="34">
        <v>0.3</v>
      </c>
      <c r="D3" s="15" t="s">
        <v>198</v>
      </c>
      <c r="E3" s="15"/>
      <c r="F3" s="15"/>
      <c r="G3" s="15"/>
      <c r="H3" s="15"/>
      <c r="I3" s="15"/>
      <c r="J3" s="15"/>
      <c r="K3" s="15"/>
      <c r="L3" s="15"/>
      <c r="M3" s="15"/>
      <c r="N3" s="15"/>
      <c r="O3" s="15"/>
    </row>
    <row r="4" spans="2:15">
      <c r="B4" s="15"/>
      <c r="C4" s="15"/>
      <c r="D4" s="15"/>
      <c r="E4" s="15"/>
      <c r="F4" s="15"/>
      <c r="G4" s="15"/>
      <c r="H4" s="15"/>
      <c r="I4" s="15"/>
      <c r="J4" s="15"/>
      <c r="K4" s="15"/>
      <c r="L4" s="15"/>
      <c r="M4" s="15"/>
      <c r="N4" s="15"/>
      <c r="O4" s="15"/>
    </row>
    <row r="5" spans="2:15">
      <c r="B5" s="15"/>
      <c r="C5" s="15"/>
      <c r="D5" s="15"/>
      <c r="E5" s="15"/>
      <c r="F5" s="15"/>
      <c r="G5" s="15"/>
      <c r="H5" s="15"/>
      <c r="I5" s="15"/>
      <c r="J5" s="15"/>
      <c r="K5" s="15"/>
      <c r="L5" s="15"/>
      <c r="M5" s="15"/>
      <c r="N5" s="15"/>
      <c r="O5" s="15"/>
    </row>
    <row r="6" spans="2:15" ht="15.75">
      <c r="B6" s="40" t="s">
        <v>168</v>
      </c>
    </row>
    <row r="7" spans="2:15" ht="15.75">
      <c r="B7" s="40" t="s">
        <v>169</v>
      </c>
    </row>
    <row r="8" spans="2:15" ht="15.75">
      <c r="B8" s="40"/>
    </row>
    <row r="9" spans="2:15" ht="18">
      <c r="B9" s="28" t="s">
        <v>150</v>
      </c>
      <c r="C9" s="15"/>
      <c r="D9" s="15"/>
      <c r="E9" s="15"/>
      <c r="F9" s="15"/>
      <c r="G9" s="15"/>
      <c r="H9" s="15"/>
      <c r="I9" s="15"/>
      <c r="J9" s="15"/>
      <c r="K9" s="15"/>
      <c r="L9" s="15"/>
      <c r="M9" s="15"/>
      <c r="N9" s="15"/>
      <c r="O9" s="15"/>
    </row>
    <row r="10" spans="2:15" ht="18">
      <c r="B10" s="28" t="s">
        <v>166</v>
      </c>
      <c r="C10" s="15"/>
      <c r="D10" s="15"/>
      <c r="E10" s="15"/>
      <c r="F10" s="15"/>
      <c r="G10" s="15"/>
      <c r="H10" s="15"/>
      <c r="I10" s="15"/>
      <c r="J10" s="15"/>
      <c r="K10" s="15"/>
      <c r="L10" s="15"/>
      <c r="M10" s="15"/>
      <c r="N10" s="15"/>
      <c r="O10" s="15"/>
    </row>
    <row r="11" spans="2:15" ht="13.5" thickBot="1">
      <c r="K11" s="15"/>
      <c r="L11" s="15"/>
      <c r="M11" s="15"/>
      <c r="N11" s="15"/>
      <c r="O11" s="15"/>
    </row>
    <row r="12" spans="2:15" ht="13.5" thickBot="1">
      <c r="B12" s="15" t="s">
        <v>183</v>
      </c>
      <c r="C12" s="30">
        <v>0.29360000000000003</v>
      </c>
      <c r="E12" s="15" t="s">
        <v>148</v>
      </c>
      <c r="H12" s="15"/>
      <c r="I12" s="15"/>
      <c r="J12" s="15"/>
      <c r="K12" s="15"/>
      <c r="L12" s="15"/>
      <c r="M12" s="15"/>
      <c r="N12" s="15"/>
      <c r="O12" s="15"/>
    </row>
    <row r="13" spans="2:15">
      <c r="B13" s="15" t="s">
        <v>184</v>
      </c>
      <c r="C13" s="15">
        <f>LN(1.25)^2/(C12^2)</f>
        <v>0.57763909465877594</v>
      </c>
      <c r="E13" s="15" t="s">
        <v>145</v>
      </c>
      <c r="K13" s="15"/>
      <c r="L13" s="15"/>
      <c r="M13" s="15"/>
      <c r="N13" s="15"/>
      <c r="O13" s="15"/>
    </row>
    <row r="14" spans="2:15">
      <c r="B14" s="15" t="s">
        <v>185</v>
      </c>
      <c r="C14" s="32">
        <f>SQRT(EXP((C12^2))-1)</f>
        <v>0.30004226001050344</v>
      </c>
      <c r="E14" s="15" t="s">
        <v>146</v>
      </c>
      <c r="G14" s="15"/>
      <c r="H14" s="15"/>
      <c r="I14" s="15"/>
      <c r="J14" s="15"/>
      <c r="K14" s="15"/>
      <c r="L14" s="15"/>
      <c r="M14" s="15"/>
      <c r="N14" s="15"/>
      <c r="O14" s="15"/>
    </row>
    <row r="15" spans="2:15">
      <c r="B15" s="15" t="s">
        <v>186</v>
      </c>
      <c r="C15" s="1">
        <f>LN((C3)^2+1)</f>
        <v>8.6177696241052412E-2</v>
      </c>
      <c r="D15" s="15"/>
      <c r="E15" s="15"/>
      <c r="F15" s="15"/>
      <c r="G15" s="15"/>
      <c r="H15" s="15"/>
      <c r="I15" s="15"/>
      <c r="J15" s="15"/>
      <c r="K15" s="15"/>
      <c r="L15" s="15"/>
      <c r="M15" s="15"/>
      <c r="N15" s="15"/>
      <c r="O15" s="15"/>
    </row>
    <row r="16" spans="2:15">
      <c r="B16" s="15" t="s">
        <v>187</v>
      </c>
      <c r="C16" s="15">
        <f>IF(SQRT(C15)&lt;C12,LN(1.25),SQRT(C13*C15))</f>
        <v>0.22314355131420976</v>
      </c>
      <c r="D16" s="15"/>
      <c r="E16" s="15"/>
      <c r="F16" s="15"/>
      <c r="G16" s="15"/>
      <c r="H16" s="15"/>
      <c r="I16" s="15"/>
      <c r="J16" s="15"/>
      <c r="K16" s="15"/>
      <c r="L16" s="15"/>
      <c r="M16" s="15"/>
      <c r="N16" s="15"/>
      <c r="O16" s="15"/>
    </row>
    <row r="17" spans="2:16">
      <c r="B17" s="15"/>
      <c r="C17" s="15"/>
      <c r="D17" s="15"/>
      <c r="E17" s="15"/>
      <c r="F17" s="15"/>
      <c r="G17" s="15"/>
      <c r="H17" s="15"/>
      <c r="I17" s="15"/>
      <c r="J17" s="15"/>
      <c r="K17" s="15"/>
      <c r="L17" s="15"/>
      <c r="M17" s="15"/>
      <c r="N17" s="15"/>
      <c r="O17" s="15"/>
    </row>
    <row r="18" spans="2:16" ht="18">
      <c r="B18" s="36" t="str">
        <f>"Bioequivalence Limits: "</f>
        <v xml:space="preserve">Bioequivalence Limits: </v>
      </c>
      <c r="C18" s="36" t="str">
        <f>FIXED(100*EXP(-C16),2)&amp;" - "&amp;FIXED(100*EXP(C16),2)&amp;"%"</f>
        <v>80.00 - 125.00%</v>
      </c>
      <c r="F18" s="31"/>
      <c r="G18" s="15"/>
      <c r="H18" s="15"/>
      <c r="I18" s="15"/>
      <c r="J18" s="15"/>
      <c r="K18" s="15"/>
      <c r="L18" s="15"/>
      <c r="M18" s="15"/>
      <c r="N18" s="15"/>
      <c r="O18" s="15"/>
    </row>
    <row r="19" spans="2:16" ht="18">
      <c r="B19" s="36" t="s">
        <v>152</v>
      </c>
      <c r="C19" s="15"/>
      <c r="D19" s="15"/>
      <c r="E19" s="15"/>
      <c r="F19" s="15"/>
      <c r="G19" s="15"/>
      <c r="H19" s="15"/>
      <c r="I19" s="15"/>
      <c r="J19" s="15"/>
      <c r="K19" s="15"/>
      <c r="L19" s="15"/>
      <c r="M19" s="15"/>
      <c r="N19" s="15"/>
      <c r="O19" s="15"/>
    </row>
    <row r="20" spans="2:16">
      <c r="C20" s="15"/>
      <c r="D20" s="15"/>
      <c r="E20" s="15"/>
      <c r="F20" s="15"/>
      <c r="G20" s="15"/>
      <c r="H20" s="15"/>
      <c r="I20" s="15"/>
      <c r="J20" s="15"/>
      <c r="K20" s="15"/>
      <c r="L20" s="15"/>
      <c r="M20" s="15"/>
      <c r="N20" s="15"/>
      <c r="O20" s="15"/>
    </row>
    <row r="21" spans="2:16">
      <c r="B21" s="15" t="s">
        <v>138</v>
      </c>
      <c r="C21" s="9"/>
      <c r="D21" s="15"/>
      <c r="E21" s="15"/>
      <c r="F21" s="15"/>
      <c r="G21" s="15"/>
      <c r="H21" s="15"/>
      <c r="I21" s="15"/>
      <c r="J21" s="15"/>
      <c r="K21" s="15"/>
      <c r="L21" s="15"/>
      <c r="M21" s="15"/>
      <c r="N21" s="15"/>
      <c r="O21" s="15"/>
    </row>
    <row r="22" spans="2:16">
      <c r="B22" s="33" t="s">
        <v>144</v>
      </c>
      <c r="C22" s="9"/>
      <c r="D22" s="15"/>
      <c r="E22" s="15"/>
      <c r="F22" s="15"/>
      <c r="G22" s="15"/>
      <c r="H22" s="15"/>
      <c r="I22" s="15"/>
      <c r="J22" s="15"/>
      <c r="K22" s="15"/>
      <c r="L22" s="15"/>
      <c r="M22" s="15"/>
      <c r="N22" s="15"/>
      <c r="O22" s="15"/>
    </row>
    <row r="23" spans="2:16">
      <c r="B23" s="33" t="s">
        <v>147</v>
      </c>
      <c r="C23" s="15"/>
      <c r="D23" s="15"/>
      <c r="E23" s="15"/>
      <c r="F23" s="15"/>
      <c r="G23" s="15"/>
      <c r="I23" s="15"/>
      <c r="K23" s="15"/>
      <c r="L23" s="15"/>
      <c r="M23" s="15"/>
      <c r="N23" s="15"/>
      <c r="O23" s="15"/>
    </row>
    <row r="24" spans="2:16">
      <c r="C24" s="15"/>
      <c r="D24" s="15"/>
      <c r="E24" s="15"/>
      <c r="F24" s="15"/>
      <c r="G24" s="15"/>
      <c r="I24" s="15"/>
      <c r="K24" s="15"/>
      <c r="L24" s="15"/>
      <c r="M24" s="15"/>
      <c r="N24" s="15"/>
      <c r="O24" s="15"/>
    </row>
    <row r="25" spans="2:16">
      <c r="B25" s="15" t="s">
        <v>149</v>
      </c>
      <c r="C25" s="15"/>
      <c r="D25" s="15"/>
      <c r="E25" s="15"/>
      <c r="F25" s="15"/>
      <c r="G25" s="15"/>
      <c r="I25" s="15"/>
      <c r="J25" s="15"/>
      <c r="K25" s="15"/>
      <c r="L25" s="15"/>
      <c r="M25" s="15"/>
      <c r="N25" s="15"/>
      <c r="O25" s="15"/>
    </row>
    <row r="26" spans="2:16">
      <c r="B26" s="15" t="s">
        <v>193</v>
      </c>
      <c r="G26" s="15"/>
      <c r="H26" s="15"/>
      <c r="I26" s="15"/>
      <c r="J26" s="15"/>
      <c r="K26" s="15"/>
      <c r="L26" s="15"/>
      <c r="M26" s="15"/>
      <c r="N26" s="15"/>
      <c r="O26" s="15"/>
    </row>
    <row r="27" spans="2:16">
      <c r="K27" s="15"/>
      <c r="L27" s="15"/>
      <c r="M27" s="15"/>
      <c r="N27" s="15"/>
      <c r="O27" s="15"/>
    </row>
    <row r="28" spans="2:16">
      <c r="K28" s="15"/>
      <c r="L28" s="15"/>
      <c r="M28" s="15"/>
      <c r="N28" s="15"/>
      <c r="O28" s="15"/>
    </row>
    <row r="29" spans="2:16" ht="15.75">
      <c r="B29" s="41" t="s">
        <v>167</v>
      </c>
      <c r="C29" s="38"/>
      <c r="D29" s="38"/>
      <c r="E29" s="38"/>
      <c r="F29" s="38"/>
      <c r="G29" s="38"/>
      <c r="H29" s="38"/>
      <c r="I29" s="38"/>
      <c r="J29" s="38"/>
      <c r="K29" s="38"/>
      <c r="L29" s="38"/>
      <c r="M29" s="38"/>
      <c r="N29" s="38"/>
      <c r="O29" s="38"/>
      <c r="P29" s="39"/>
    </row>
    <row r="30" spans="2:16" ht="18">
      <c r="B30" s="28" t="s">
        <v>151</v>
      </c>
      <c r="C30" s="15"/>
      <c r="D30" s="15"/>
      <c r="E30" s="15"/>
      <c r="F30" s="15"/>
      <c r="G30" s="15"/>
      <c r="H30" s="15"/>
      <c r="I30" s="15"/>
      <c r="J30" s="15"/>
      <c r="K30" s="15"/>
      <c r="L30" s="15"/>
      <c r="M30" s="15"/>
      <c r="N30" s="15"/>
      <c r="O30" s="15"/>
    </row>
    <row r="31" spans="2:16">
      <c r="B31" s="15"/>
      <c r="C31" s="15"/>
      <c r="D31" s="15"/>
      <c r="E31" s="15"/>
      <c r="F31" s="15"/>
      <c r="G31" s="15"/>
      <c r="H31" s="15"/>
      <c r="I31" s="15"/>
      <c r="J31" s="15"/>
      <c r="K31" s="15"/>
      <c r="L31" s="15"/>
      <c r="M31" s="15"/>
      <c r="N31" s="15"/>
      <c r="O31" s="15"/>
    </row>
    <row r="32" spans="2:16">
      <c r="B32" s="15"/>
      <c r="C32" s="15"/>
      <c r="D32" s="15"/>
      <c r="E32" s="15"/>
      <c r="F32" s="15"/>
      <c r="G32" s="15" t="s">
        <v>133</v>
      </c>
      <c r="H32" s="15"/>
      <c r="I32" s="15"/>
      <c r="J32" s="15"/>
      <c r="K32" s="15"/>
      <c r="L32" s="15"/>
      <c r="M32" s="15"/>
      <c r="N32" s="15"/>
      <c r="O32" s="15"/>
    </row>
    <row r="33" spans="2:21">
      <c r="B33" s="15"/>
      <c r="C33" s="15"/>
      <c r="D33" s="15"/>
      <c r="E33" s="15"/>
      <c r="F33" s="15"/>
      <c r="G33" s="15" t="s">
        <v>139</v>
      </c>
      <c r="H33" s="15"/>
      <c r="I33" s="15"/>
      <c r="J33" s="15"/>
      <c r="K33" s="15"/>
      <c r="L33" s="15"/>
      <c r="M33" s="15"/>
      <c r="N33" s="15"/>
      <c r="O33" s="15"/>
    </row>
    <row r="34" spans="2:21" ht="13.5" thickBot="1">
      <c r="C34" s="15"/>
      <c r="D34" s="15"/>
      <c r="E34" s="15"/>
      <c r="F34" s="15"/>
      <c r="G34" s="15"/>
      <c r="H34" s="15"/>
      <c r="I34" s="15"/>
      <c r="J34" s="15"/>
      <c r="K34" s="15"/>
      <c r="L34" s="15"/>
      <c r="M34" s="15"/>
      <c r="N34" s="15"/>
      <c r="O34" s="15"/>
    </row>
    <row r="35" spans="2:21" ht="13.5" thickBot="1">
      <c r="B35" s="15" t="s">
        <v>183</v>
      </c>
      <c r="C35" s="30">
        <v>0.25</v>
      </c>
      <c r="D35" s="15" t="s">
        <v>140</v>
      </c>
      <c r="E35" s="15"/>
      <c r="F35" s="15"/>
      <c r="G35" s="15"/>
      <c r="H35" s="15"/>
      <c r="I35" s="15"/>
      <c r="J35" s="15"/>
      <c r="K35" s="15"/>
      <c r="L35" s="15"/>
      <c r="M35" s="15"/>
      <c r="N35" s="15"/>
      <c r="O35" s="15"/>
    </row>
    <row r="36" spans="2:21">
      <c r="B36" s="15" t="s">
        <v>185</v>
      </c>
      <c r="C36" s="32">
        <f>SQRT(EXP((C35^2))-1)</f>
        <v>0.25395759275489149</v>
      </c>
      <c r="F36" s="15"/>
      <c r="G36" s="15"/>
      <c r="H36" s="15"/>
      <c r="I36" s="15"/>
      <c r="J36" s="15"/>
      <c r="K36" s="15"/>
      <c r="L36" s="15"/>
      <c r="M36" s="15"/>
      <c r="N36" s="15"/>
      <c r="O36" s="15"/>
    </row>
    <row r="37" spans="2:21">
      <c r="B37" s="15" t="s">
        <v>188</v>
      </c>
      <c r="C37" s="15">
        <f>SQRT(LN((C3)^2+1))</f>
        <v>0.29356037920852401</v>
      </c>
      <c r="D37" s="15" t="s">
        <v>143</v>
      </c>
      <c r="E37" s="15"/>
      <c r="F37" s="15"/>
      <c r="G37" s="15"/>
      <c r="H37" s="15"/>
      <c r="I37" s="15"/>
      <c r="J37" s="15"/>
      <c r="K37" s="15"/>
      <c r="L37" s="15"/>
      <c r="M37" s="15"/>
      <c r="N37" s="15"/>
      <c r="O37" s="15"/>
    </row>
    <row r="38" spans="2:21">
      <c r="B38" s="15" t="s">
        <v>134</v>
      </c>
      <c r="C38" s="1">
        <f>IF(C37&gt;=C35,LN(1.25)*C37/C35,LN(1.25))</f>
        <v>0.2620244221669446</v>
      </c>
      <c r="F38" s="15"/>
      <c r="G38" s="15"/>
      <c r="H38" s="15"/>
      <c r="I38" s="15"/>
      <c r="J38" s="15"/>
      <c r="K38" s="15"/>
      <c r="L38" s="15"/>
      <c r="M38" s="15"/>
      <c r="N38" s="15"/>
      <c r="O38" s="15"/>
    </row>
    <row r="39" spans="2:21">
      <c r="B39" s="15"/>
      <c r="C39" s="15"/>
      <c r="D39" s="15"/>
      <c r="E39" s="15"/>
      <c r="F39" s="15"/>
      <c r="G39" s="15" t="s">
        <v>200</v>
      </c>
      <c r="H39" s="15"/>
      <c r="I39" s="15"/>
      <c r="J39" s="15"/>
      <c r="K39" s="15"/>
      <c r="L39" s="15"/>
      <c r="M39" s="15"/>
      <c r="N39" s="15"/>
      <c r="O39" s="15"/>
    </row>
    <row r="40" spans="2:21" ht="18">
      <c r="B40" s="36" t="s">
        <v>132</v>
      </c>
      <c r="C40" s="36" t="str">
        <f>FIXED(100*EXP(-C38),2)&amp;" - "&amp;FIXED(100*EXP(C38),2)&amp;"%"</f>
        <v>76.95 - 129.96%</v>
      </c>
      <c r="D40" s="31"/>
      <c r="E40" s="15"/>
      <c r="F40" s="15"/>
      <c r="G40" s="15"/>
      <c r="H40" s="15"/>
      <c r="I40" s="15"/>
      <c r="J40" s="15"/>
      <c r="K40" s="15"/>
      <c r="L40" s="15"/>
      <c r="M40" s="15"/>
      <c r="N40" s="15"/>
      <c r="O40" s="15"/>
    </row>
    <row r="41" spans="2:21">
      <c r="C41" s="9"/>
      <c r="D41" s="15"/>
      <c r="E41" s="15"/>
      <c r="F41" s="15"/>
      <c r="G41" s="15"/>
      <c r="H41" s="15"/>
      <c r="I41" s="15"/>
      <c r="J41" s="15"/>
      <c r="K41" s="15"/>
      <c r="L41" s="15"/>
      <c r="M41" s="15"/>
      <c r="N41" s="15"/>
      <c r="O41" s="15"/>
    </row>
    <row r="42" spans="2:21">
      <c r="B42" s="15" t="s">
        <v>138</v>
      </c>
      <c r="C42" s="9"/>
      <c r="D42" s="15"/>
      <c r="E42" s="15"/>
      <c r="F42" s="15"/>
      <c r="G42" s="15"/>
      <c r="H42" s="15"/>
      <c r="I42" s="15"/>
      <c r="J42" s="15"/>
      <c r="K42" s="15"/>
      <c r="L42" s="15"/>
      <c r="M42" s="15"/>
      <c r="N42" s="15"/>
      <c r="O42" s="15"/>
    </row>
    <row r="43" spans="2:21">
      <c r="B43" s="33" t="s">
        <v>137</v>
      </c>
      <c r="C43" s="9"/>
      <c r="D43" s="15"/>
      <c r="E43" s="15"/>
      <c r="F43" s="15"/>
      <c r="G43" s="15"/>
      <c r="H43" s="15"/>
      <c r="I43" s="15"/>
      <c r="J43" s="15"/>
      <c r="K43" s="15"/>
      <c r="L43" s="15"/>
      <c r="M43" s="15"/>
      <c r="N43" s="15"/>
      <c r="O43" s="15"/>
    </row>
    <row r="44" spans="2:21">
      <c r="B44" s="33" t="s">
        <v>136</v>
      </c>
      <c r="C44" s="15"/>
      <c r="D44" s="15"/>
      <c r="E44" s="15"/>
      <c r="F44" s="15"/>
      <c r="G44" s="15"/>
      <c r="H44" s="15"/>
      <c r="I44" s="15"/>
      <c r="J44" s="15"/>
      <c r="K44" s="15"/>
      <c r="L44" s="15"/>
      <c r="M44" s="15"/>
      <c r="N44" s="15"/>
      <c r="O44" s="15"/>
    </row>
    <row r="45" spans="2:21">
      <c r="B45" s="33" t="s">
        <v>141</v>
      </c>
      <c r="C45" s="15"/>
      <c r="D45" s="15"/>
      <c r="E45" s="15"/>
      <c r="F45" s="15"/>
      <c r="G45" s="15"/>
      <c r="H45" s="15"/>
      <c r="I45" s="15"/>
      <c r="J45" s="15"/>
      <c r="K45" s="15"/>
      <c r="L45" s="15"/>
      <c r="M45" s="15"/>
      <c r="N45" s="15"/>
      <c r="O45" s="15"/>
    </row>
    <row r="46" spans="2:21">
      <c r="B46" s="15"/>
      <c r="C46" s="15"/>
      <c r="D46" s="15"/>
      <c r="E46" s="15"/>
      <c r="F46" s="15"/>
      <c r="G46" s="15"/>
      <c r="H46" s="15"/>
      <c r="I46" s="15"/>
      <c r="J46" s="15"/>
      <c r="K46" s="15"/>
      <c r="L46" s="15"/>
      <c r="M46" s="15"/>
      <c r="N46" s="15"/>
      <c r="O46" s="15"/>
    </row>
    <row r="47" spans="2:21">
      <c r="B47" s="15"/>
      <c r="C47" s="15"/>
      <c r="D47" s="15"/>
      <c r="E47" s="15"/>
      <c r="F47" s="15"/>
      <c r="G47" s="15"/>
      <c r="H47" s="15"/>
      <c r="I47" s="15"/>
      <c r="J47" s="15"/>
      <c r="K47" s="15"/>
      <c r="L47" s="15"/>
      <c r="M47" s="15"/>
      <c r="N47" s="15"/>
      <c r="O47" s="15"/>
    </row>
    <row r="48" spans="2:21" ht="18">
      <c r="B48" s="28" t="s">
        <v>154</v>
      </c>
      <c r="L48" s="15"/>
      <c r="M48" s="15"/>
      <c r="N48" s="15"/>
      <c r="O48" s="15"/>
      <c r="P48" s="15"/>
      <c r="Q48" s="15"/>
      <c r="R48" s="15"/>
      <c r="S48" s="15"/>
      <c r="T48" s="15"/>
      <c r="U48" s="15"/>
    </row>
    <row r="49" spans="2:21" ht="18">
      <c r="B49" s="28" t="s">
        <v>155</v>
      </c>
      <c r="L49" s="15"/>
      <c r="M49" s="15"/>
      <c r="N49" s="15"/>
      <c r="O49" s="15"/>
      <c r="P49" s="15"/>
      <c r="Q49" s="15"/>
      <c r="R49" s="15"/>
      <c r="S49" s="15"/>
      <c r="T49" s="15"/>
      <c r="U49" s="15"/>
    </row>
    <row r="50" spans="2:21" ht="13.5" thickBot="1">
      <c r="K50" s="15"/>
      <c r="L50" s="15"/>
      <c r="M50" s="15"/>
      <c r="N50" s="15"/>
      <c r="O50" s="15"/>
      <c r="P50" s="15"/>
      <c r="Q50" s="15"/>
      <c r="R50" s="15"/>
      <c r="S50" s="15"/>
      <c r="T50" s="15"/>
      <c r="U50" s="15"/>
    </row>
    <row r="51" spans="2:21" ht="13.5" thickBot="1">
      <c r="B51" s="15" t="s">
        <v>157</v>
      </c>
      <c r="C51" s="30">
        <v>1</v>
      </c>
      <c r="D51" s="15"/>
      <c r="K51" s="15"/>
      <c r="L51" s="15"/>
      <c r="M51" s="15"/>
      <c r="N51" s="15"/>
      <c r="O51" s="15"/>
      <c r="P51" s="15"/>
      <c r="Q51" s="15"/>
      <c r="R51" s="15"/>
      <c r="S51" s="15"/>
      <c r="T51" s="15"/>
      <c r="U51" s="15"/>
    </row>
    <row r="52" spans="2:21" ht="13.5" thickBot="1">
      <c r="B52" s="15" t="s">
        <v>156</v>
      </c>
      <c r="C52" s="30">
        <v>24</v>
      </c>
      <c r="K52" s="15"/>
      <c r="L52" s="15"/>
      <c r="M52" s="15"/>
      <c r="N52" s="15"/>
      <c r="O52" s="15"/>
      <c r="P52" s="15"/>
      <c r="Q52" s="15"/>
      <c r="R52" s="15"/>
      <c r="S52" s="15"/>
      <c r="T52" s="15"/>
      <c r="U52" s="15"/>
    </row>
    <row r="53" spans="2:21">
      <c r="B53" s="15" t="s">
        <v>142</v>
      </c>
      <c r="C53" s="1">
        <f>LN((C3)^2+1)</f>
        <v>8.6177696241052412E-2</v>
      </c>
      <c r="K53" s="15"/>
      <c r="L53" s="15"/>
      <c r="M53" s="15"/>
      <c r="N53" s="15"/>
      <c r="O53" s="15"/>
      <c r="P53" s="15"/>
      <c r="Q53" s="15"/>
      <c r="R53" s="15"/>
      <c r="S53" s="15"/>
      <c r="T53" s="15"/>
      <c r="U53" s="15"/>
    </row>
    <row r="54" spans="2:21">
      <c r="B54" s="15" t="s">
        <v>162</v>
      </c>
      <c r="C54" s="1">
        <f>SQRT((2*C53)/C52)</f>
        <v>8.474358197972498E-2</v>
      </c>
      <c r="I54" s="9"/>
      <c r="K54" s="15"/>
      <c r="L54" s="15"/>
      <c r="M54" s="15"/>
      <c r="N54" s="15"/>
      <c r="O54" s="15"/>
      <c r="P54" s="15"/>
      <c r="Q54" s="15"/>
      <c r="R54" s="15"/>
      <c r="S54" s="15"/>
      <c r="T54" s="15"/>
      <c r="U54" s="15"/>
    </row>
    <row r="55" spans="2:21">
      <c r="B55" s="15" t="s">
        <v>158</v>
      </c>
      <c r="C55" s="1">
        <f>TINV(0.1,C52-2)</f>
        <v>1.7171443743802424</v>
      </c>
      <c r="F55" s="15"/>
      <c r="I55" s="9"/>
      <c r="K55" s="15"/>
      <c r="L55" s="15"/>
      <c r="M55" s="15"/>
      <c r="N55" s="15"/>
      <c r="O55" s="15"/>
      <c r="P55" s="15"/>
      <c r="Q55" s="15"/>
      <c r="R55" s="15"/>
      <c r="S55" s="15"/>
      <c r="T55" s="15"/>
      <c r="U55" s="15"/>
    </row>
    <row r="56" spans="2:21">
      <c r="C56" s="15"/>
      <c r="D56" s="15"/>
      <c r="E56" s="9"/>
      <c r="F56" s="15"/>
      <c r="G56" s="15"/>
      <c r="H56" s="15"/>
      <c r="I56" s="15"/>
      <c r="J56" s="15"/>
      <c r="K56" s="15"/>
      <c r="L56" s="15"/>
      <c r="M56" s="15"/>
      <c r="N56" s="15"/>
      <c r="O56" s="15"/>
    </row>
    <row r="57" spans="2:21" ht="18">
      <c r="B57" s="36" t="s">
        <v>132</v>
      </c>
      <c r="C57" s="36" t="str">
        <f>FIXED(100*EXP(LN(C51)-(C55*C54)),2)&amp;" - "&amp;FIXED(100*EXP(LN(C51)+(C55*C54)),2)&amp;"%"</f>
        <v>86.46 - 115.66%</v>
      </c>
      <c r="D57" s="15"/>
      <c r="E57" s="15"/>
      <c r="F57" s="15"/>
      <c r="G57" s="15"/>
      <c r="H57" s="15"/>
      <c r="I57" s="15"/>
      <c r="J57" s="15"/>
      <c r="K57" s="15"/>
      <c r="L57" s="15"/>
      <c r="M57" s="15"/>
      <c r="N57" s="15"/>
      <c r="O57" s="15"/>
    </row>
    <row r="58" spans="2:21" ht="12.75" customHeight="1">
      <c r="B58" s="15"/>
      <c r="C58" s="36"/>
      <c r="D58" s="15"/>
      <c r="E58" s="15"/>
      <c r="F58" s="15"/>
      <c r="G58" s="15"/>
      <c r="H58" s="15"/>
      <c r="I58" s="15"/>
      <c r="J58" s="15"/>
      <c r="K58" s="15"/>
      <c r="L58" s="15"/>
      <c r="M58" s="15"/>
      <c r="N58" s="15"/>
      <c r="O58" s="15"/>
    </row>
    <row r="59" spans="2:21">
      <c r="B59" s="15" t="s">
        <v>160</v>
      </c>
      <c r="D59" s="15"/>
      <c r="E59" s="15"/>
      <c r="F59" s="15"/>
      <c r="G59" s="15"/>
      <c r="H59" s="15"/>
      <c r="I59" s="15"/>
      <c r="J59" s="15"/>
      <c r="K59" s="15"/>
      <c r="L59" s="15"/>
      <c r="M59" s="15"/>
      <c r="N59" s="15"/>
      <c r="O59" s="15"/>
    </row>
    <row r="60" spans="2:21">
      <c r="B60" s="15" t="s">
        <v>161</v>
      </c>
      <c r="C60" s="15"/>
      <c r="D60" s="15"/>
      <c r="E60" s="15"/>
      <c r="F60" s="15"/>
      <c r="G60" s="15"/>
      <c r="H60" s="15"/>
      <c r="I60" s="15"/>
      <c r="J60" s="15"/>
      <c r="K60" s="15"/>
      <c r="L60" s="15"/>
      <c r="M60" s="15"/>
      <c r="N60" s="15"/>
      <c r="O60" s="15"/>
    </row>
    <row r="61" spans="2:21">
      <c r="B61" s="15" t="s">
        <v>163</v>
      </c>
      <c r="C61" s="15"/>
      <c r="D61" s="15"/>
      <c r="E61" s="15"/>
      <c r="F61" s="15"/>
      <c r="G61" s="15"/>
      <c r="H61" s="15"/>
      <c r="I61" s="15"/>
      <c r="J61" s="15"/>
      <c r="K61" s="15"/>
      <c r="L61" s="15"/>
      <c r="M61" s="15"/>
      <c r="N61" s="15"/>
      <c r="O61" s="15"/>
    </row>
    <row r="62" spans="2:21">
      <c r="B62" s="15"/>
      <c r="C62" s="15"/>
      <c r="D62" s="15"/>
      <c r="E62" s="15"/>
      <c r="F62" s="15"/>
      <c r="G62" s="15"/>
      <c r="H62" s="15"/>
      <c r="I62" s="15"/>
      <c r="J62" s="15"/>
      <c r="K62" s="15"/>
      <c r="L62" s="15"/>
      <c r="M62" s="15"/>
      <c r="N62" s="15"/>
      <c r="O62" s="15"/>
    </row>
    <row r="63" spans="2:21">
      <c r="B63" s="15"/>
      <c r="C63" s="15"/>
      <c r="D63" s="15"/>
      <c r="E63" s="15"/>
      <c r="F63" s="15"/>
      <c r="G63" s="15"/>
      <c r="H63" s="15"/>
      <c r="I63" s="15"/>
      <c r="J63" s="15"/>
      <c r="K63" s="15"/>
      <c r="L63" s="15"/>
      <c r="M63" s="15"/>
      <c r="N63" s="15"/>
      <c r="O63" s="15"/>
    </row>
    <row r="64" spans="2:21">
      <c r="B64" s="15"/>
      <c r="C64" s="15"/>
      <c r="D64" s="15"/>
      <c r="E64" s="15"/>
      <c r="F64" s="15"/>
      <c r="G64" s="15"/>
      <c r="H64" s="15"/>
      <c r="I64" s="15"/>
      <c r="J64" s="15"/>
      <c r="K64" s="15"/>
      <c r="L64" s="15"/>
      <c r="M64" s="15"/>
      <c r="N64" s="15"/>
      <c r="O64" s="15"/>
    </row>
    <row r="65" spans="2:15">
      <c r="B65" s="15"/>
      <c r="C65" s="15"/>
      <c r="D65" s="15"/>
      <c r="E65" s="15"/>
      <c r="F65" s="15"/>
      <c r="G65" s="15"/>
      <c r="H65" s="15"/>
      <c r="I65" s="15"/>
      <c r="J65" s="15"/>
      <c r="K65" s="15"/>
      <c r="L65" s="15"/>
      <c r="M65" s="15"/>
      <c r="N65" s="15"/>
      <c r="O65" s="15"/>
    </row>
    <row r="66" spans="2:15">
      <c r="B66" s="15"/>
      <c r="C66" s="15"/>
      <c r="D66" s="15"/>
      <c r="E66" s="15"/>
      <c r="F66" s="15"/>
      <c r="G66" s="15"/>
      <c r="H66" s="15"/>
      <c r="I66" s="15"/>
      <c r="J66" s="15"/>
      <c r="K66" s="15"/>
      <c r="L66" s="15"/>
      <c r="M66" s="15"/>
      <c r="N66" s="15"/>
      <c r="O66" s="15"/>
    </row>
    <row r="67" spans="2:15">
      <c r="B67" s="15"/>
      <c r="C67" s="15"/>
      <c r="D67" s="15"/>
      <c r="E67" s="15"/>
      <c r="F67" s="15"/>
      <c r="G67" s="15"/>
      <c r="H67" s="15"/>
      <c r="I67" s="15"/>
      <c r="J67" s="15"/>
      <c r="K67" s="15"/>
      <c r="L67" s="15"/>
      <c r="M67" s="15"/>
      <c r="N67" s="15"/>
      <c r="O67" s="15"/>
    </row>
    <row r="68" spans="2:15">
      <c r="B68" s="15"/>
      <c r="C68" s="15"/>
      <c r="D68" s="15"/>
      <c r="E68" s="15"/>
      <c r="F68" s="15"/>
      <c r="G68" s="15"/>
      <c r="H68" s="15"/>
      <c r="I68" s="15"/>
      <c r="J68" s="15"/>
      <c r="K68" s="15"/>
      <c r="L68" s="15"/>
      <c r="M68" s="15"/>
      <c r="N68" s="15"/>
      <c r="O68" s="15"/>
    </row>
    <row r="69" spans="2:15">
      <c r="B69" s="15"/>
      <c r="C69" s="15"/>
      <c r="D69" s="15"/>
      <c r="E69" s="15"/>
      <c r="F69" s="15"/>
      <c r="G69" s="15"/>
      <c r="H69" s="15"/>
      <c r="I69" s="15"/>
      <c r="J69" s="15"/>
      <c r="K69" s="15"/>
      <c r="L69" s="15"/>
      <c r="M69" s="15"/>
      <c r="N69" s="15"/>
      <c r="O69" s="15"/>
    </row>
    <row r="70" spans="2:15">
      <c r="B70" s="15"/>
      <c r="C70" s="15"/>
      <c r="D70" s="15"/>
      <c r="E70" s="15"/>
      <c r="F70" s="15"/>
      <c r="G70" s="15"/>
      <c r="H70" s="15"/>
      <c r="I70" s="15"/>
      <c r="J70" s="15"/>
      <c r="K70" s="15"/>
      <c r="L70" s="15"/>
      <c r="M70" s="15"/>
      <c r="N70" s="15"/>
      <c r="O70" s="15"/>
    </row>
    <row r="71" spans="2:15">
      <c r="B71" s="15"/>
      <c r="C71" s="15"/>
      <c r="D71" s="15"/>
      <c r="E71" s="15"/>
      <c r="F71" s="15"/>
      <c r="G71" s="15"/>
      <c r="H71" s="15"/>
      <c r="I71" s="15"/>
      <c r="J71" s="15"/>
      <c r="K71" s="15"/>
      <c r="L71" s="15"/>
      <c r="M71" s="15"/>
      <c r="N71" s="15"/>
      <c r="O71" s="15"/>
    </row>
    <row r="72" spans="2:15">
      <c r="B72" s="15"/>
      <c r="C72" s="15"/>
      <c r="D72" s="15"/>
      <c r="E72" s="15"/>
      <c r="F72" s="15"/>
      <c r="G72" s="15"/>
      <c r="H72" s="15"/>
      <c r="I72" s="15"/>
      <c r="J72" s="15"/>
      <c r="K72" s="15"/>
      <c r="L72" s="15"/>
      <c r="M72" s="15"/>
      <c r="N72" s="15"/>
      <c r="O72" s="15"/>
    </row>
    <row r="73" spans="2:15">
      <c r="B73" s="15"/>
      <c r="C73" s="15"/>
      <c r="D73" s="15"/>
      <c r="E73" s="15"/>
      <c r="F73" s="15"/>
      <c r="G73" s="15"/>
      <c r="H73" s="15"/>
      <c r="I73" s="15"/>
      <c r="J73" s="15"/>
      <c r="K73" s="15"/>
      <c r="L73" s="15"/>
      <c r="M73" s="15"/>
      <c r="N73" s="15"/>
      <c r="O73" s="15"/>
    </row>
    <row r="74" spans="2:15">
      <c r="B74" s="15"/>
      <c r="C74" s="15"/>
      <c r="D74" s="15"/>
      <c r="E74" s="15"/>
      <c r="F74" s="15"/>
      <c r="G74" s="15"/>
      <c r="H74" s="15"/>
      <c r="I74" s="15"/>
      <c r="J74" s="15"/>
      <c r="K74" s="15"/>
      <c r="L74" s="15"/>
      <c r="M74" s="15"/>
      <c r="N74" s="15"/>
      <c r="O74" s="15"/>
    </row>
    <row r="75" spans="2:15">
      <c r="B75" s="15"/>
      <c r="C75" s="15"/>
      <c r="D75" s="15"/>
      <c r="E75" s="15"/>
      <c r="F75" s="15"/>
      <c r="G75" s="15"/>
      <c r="H75" s="15"/>
      <c r="I75" s="15"/>
      <c r="J75" s="15"/>
      <c r="K75" s="15"/>
      <c r="L75" s="15"/>
      <c r="M75" s="15"/>
      <c r="N75" s="15"/>
      <c r="O75" s="15"/>
    </row>
    <row r="76" spans="2:15">
      <c r="B76" s="15" t="s">
        <v>135</v>
      </c>
      <c r="C76" s="15"/>
      <c r="D76" s="15"/>
      <c r="E76" s="15"/>
      <c r="F76" s="15"/>
      <c r="G76" s="15"/>
      <c r="H76" s="15"/>
      <c r="I76" s="15"/>
      <c r="J76" s="15"/>
      <c r="K76" s="15"/>
      <c r="L76" s="15"/>
      <c r="M76" s="15"/>
      <c r="N76" s="15"/>
      <c r="O76" s="15"/>
    </row>
    <row r="77" spans="2:15">
      <c r="B77" s="33" t="s">
        <v>144</v>
      </c>
      <c r="C77" s="15"/>
      <c r="D77" s="15"/>
      <c r="E77" s="15"/>
      <c r="F77" s="15"/>
      <c r="G77" s="15"/>
      <c r="H77" s="15"/>
      <c r="I77" s="15"/>
      <c r="J77" s="15"/>
      <c r="K77" s="15"/>
      <c r="L77" s="15"/>
      <c r="M77" s="15"/>
      <c r="N77" s="15"/>
      <c r="O77" s="15"/>
    </row>
    <row r="78" spans="2:15">
      <c r="B78" s="33"/>
      <c r="C78" s="15"/>
      <c r="D78" s="15"/>
      <c r="E78" s="15"/>
      <c r="F78" s="15"/>
      <c r="G78" s="15"/>
      <c r="H78" s="15"/>
      <c r="I78" s="15"/>
      <c r="J78" s="15"/>
      <c r="K78" s="15"/>
      <c r="L78" s="15"/>
      <c r="M78" s="15"/>
      <c r="N78" s="15"/>
      <c r="O78" s="15"/>
    </row>
    <row r="79" spans="2:15">
      <c r="C79" s="15"/>
      <c r="D79" s="15"/>
      <c r="E79" s="15"/>
      <c r="F79" s="15"/>
      <c r="G79" s="15"/>
      <c r="H79" s="15"/>
      <c r="I79" s="15"/>
      <c r="J79" s="15"/>
      <c r="K79" s="15"/>
      <c r="L79" s="15"/>
      <c r="M79" s="15"/>
      <c r="N79" s="15"/>
      <c r="O79" s="15"/>
    </row>
    <row r="80" spans="2:15" ht="18">
      <c r="B80" s="28" t="s">
        <v>153</v>
      </c>
      <c r="C80" s="15"/>
      <c r="D80" s="15"/>
      <c r="E80" s="15"/>
      <c r="F80" s="15"/>
      <c r="G80" s="15"/>
      <c r="H80" s="15"/>
      <c r="I80" s="15"/>
      <c r="J80" s="15"/>
      <c r="K80" s="15"/>
      <c r="L80" s="15"/>
      <c r="M80" s="15"/>
      <c r="N80" s="15"/>
      <c r="O80" s="15"/>
    </row>
    <row r="81" spans="2:15" ht="18">
      <c r="B81" s="28" t="s">
        <v>159</v>
      </c>
      <c r="C81" s="15"/>
      <c r="D81" s="15"/>
      <c r="E81" s="15"/>
      <c r="F81" s="15"/>
      <c r="G81" s="15"/>
      <c r="H81" s="15"/>
      <c r="I81" s="15"/>
      <c r="J81" s="15"/>
      <c r="K81" s="15"/>
      <c r="L81" s="15"/>
      <c r="M81" s="15"/>
      <c r="N81" s="15"/>
      <c r="O81" s="15"/>
    </row>
    <row r="82" spans="2:15" ht="13.5" thickBot="1">
      <c r="B82" s="15"/>
      <c r="C82" s="15"/>
      <c r="D82" s="15"/>
      <c r="E82" s="15"/>
      <c r="F82" s="15"/>
      <c r="G82" s="15"/>
      <c r="H82" s="15"/>
      <c r="I82" s="15"/>
      <c r="J82" s="15"/>
      <c r="K82" s="15"/>
      <c r="L82" s="15"/>
      <c r="M82" s="15"/>
      <c r="N82" s="15"/>
      <c r="O82" s="15"/>
    </row>
    <row r="83" spans="2:15" ht="13.5" thickBot="1">
      <c r="B83" s="37" t="s">
        <v>164</v>
      </c>
      <c r="C83" s="30">
        <v>1</v>
      </c>
      <c r="D83" s="15"/>
      <c r="E83" s="15"/>
      <c r="F83" s="15"/>
      <c r="G83" s="15"/>
      <c r="H83" s="15"/>
      <c r="I83" s="15"/>
      <c r="J83" s="15"/>
      <c r="K83" s="15"/>
      <c r="L83" s="15"/>
      <c r="M83" s="15"/>
      <c r="N83" s="15"/>
      <c r="O83" s="15"/>
    </row>
    <row r="84" spans="2:15">
      <c r="B84" s="15" t="s">
        <v>165</v>
      </c>
      <c r="C84" s="15">
        <f>SQRT(LN(($C$3)^2+1))</f>
        <v>0.29356037920852401</v>
      </c>
      <c r="D84" s="15"/>
      <c r="E84" s="15"/>
      <c r="F84" s="15"/>
      <c r="G84" s="15"/>
      <c r="H84" s="15"/>
      <c r="I84" s="15"/>
      <c r="J84" s="15"/>
      <c r="K84" s="15"/>
      <c r="L84" s="15"/>
      <c r="M84" s="15"/>
      <c r="N84" s="15"/>
      <c r="O84" s="15"/>
    </row>
    <row r="85" spans="2:15">
      <c r="B85" s="15"/>
      <c r="C85" s="15"/>
      <c r="D85" s="15"/>
      <c r="E85" s="15"/>
      <c r="F85" s="15"/>
      <c r="G85" s="15"/>
      <c r="H85" s="15"/>
      <c r="I85" s="15"/>
      <c r="J85" s="15"/>
      <c r="K85" s="15"/>
      <c r="L85" s="15"/>
      <c r="M85" s="15"/>
      <c r="N85" s="15"/>
      <c r="O85" s="15"/>
    </row>
    <row r="86" spans="2:15" ht="18">
      <c r="B86" s="36" t="s">
        <v>132</v>
      </c>
      <c r="C86" s="36" t="str">
        <f>FIXED(100*EXP(-$C$83*$C$84),2)&amp;" - "&amp;FIXED(100*EXP($C$83*$C$84),2)&amp;"%"</f>
        <v>74.56 - 134.12%</v>
      </c>
      <c r="D86" s="15"/>
      <c r="E86" s="15"/>
      <c r="F86" s="15"/>
      <c r="G86" s="15"/>
      <c r="H86" s="15"/>
      <c r="I86" s="15"/>
      <c r="J86" s="15"/>
      <c r="K86" s="15"/>
      <c r="L86" s="15"/>
      <c r="M86" s="15"/>
      <c r="N86" s="15"/>
      <c r="O86" s="15"/>
    </row>
    <row r="87" spans="2:15">
      <c r="B87" s="15"/>
      <c r="C87" s="15"/>
      <c r="D87" s="15"/>
      <c r="E87" s="15"/>
      <c r="F87" s="15"/>
      <c r="G87" s="15"/>
      <c r="H87" s="15"/>
      <c r="I87" s="15"/>
      <c r="J87" s="15"/>
      <c r="K87" s="15"/>
      <c r="L87" s="15"/>
      <c r="M87" s="15"/>
      <c r="N87" s="15"/>
      <c r="O87" s="15"/>
    </row>
    <row r="88" spans="2:15">
      <c r="C88" s="15"/>
      <c r="D88" s="15"/>
      <c r="E88" s="15"/>
      <c r="F88" s="15"/>
      <c r="G88" s="15"/>
      <c r="H88" s="15"/>
      <c r="I88" s="15"/>
      <c r="J88" s="15"/>
      <c r="K88" s="15"/>
      <c r="L88" s="15"/>
      <c r="M88" s="15"/>
      <c r="N88" s="15"/>
      <c r="O88" s="15"/>
    </row>
    <row r="89" spans="2:15">
      <c r="C89" s="15"/>
      <c r="D89" s="15"/>
      <c r="E89" s="15"/>
      <c r="F89" s="15"/>
      <c r="G89" s="15"/>
      <c r="H89" s="15"/>
      <c r="I89" s="15"/>
      <c r="J89" s="15"/>
      <c r="K89" s="15"/>
      <c r="L89" s="15"/>
      <c r="M89" s="15"/>
      <c r="N89" s="15"/>
      <c r="O89" s="15"/>
    </row>
    <row r="90" spans="2:15">
      <c r="B90" s="15"/>
      <c r="C90" s="15"/>
      <c r="D90" s="15"/>
      <c r="E90" s="15"/>
      <c r="F90" s="15"/>
      <c r="G90" s="15"/>
      <c r="H90" s="15"/>
      <c r="I90" s="15"/>
      <c r="J90" s="15"/>
      <c r="K90" s="15"/>
      <c r="L90" s="15"/>
      <c r="M90" s="15"/>
      <c r="N90" s="15"/>
      <c r="O90" s="15"/>
    </row>
    <row r="91" spans="2:15">
      <c r="B91" s="15"/>
      <c r="C91" s="15"/>
      <c r="D91" s="15"/>
      <c r="E91" s="15"/>
      <c r="F91" s="15"/>
      <c r="G91" s="15"/>
      <c r="H91" s="15"/>
      <c r="I91" s="15"/>
      <c r="J91" s="15"/>
      <c r="K91" s="15"/>
      <c r="L91" s="15"/>
      <c r="M91" s="15"/>
      <c r="N91" s="15"/>
      <c r="O91" s="15"/>
    </row>
    <row r="92" spans="2:15">
      <c r="B92" s="15"/>
      <c r="C92" s="15"/>
      <c r="D92" s="15"/>
      <c r="E92" s="15"/>
      <c r="F92" s="15"/>
      <c r="G92" s="15"/>
      <c r="H92" s="15"/>
      <c r="I92" s="15"/>
      <c r="J92" s="15"/>
      <c r="K92" s="15"/>
      <c r="L92" s="15"/>
      <c r="M92" s="15"/>
      <c r="N92" s="15"/>
      <c r="O92" s="15"/>
    </row>
    <row r="93" spans="2:15">
      <c r="B93" s="15"/>
      <c r="C93" s="15"/>
      <c r="D93" s="15"/>
      <c r="E93" s="15"/>
      <c r="F93" s="15"/>
      <c r="G93" s="15"/>
      <c r="H93" s="15"/>
      <c r="I93" s="15"/>
      <c r="J93" s="15"/>
      <c r="K93" s="15"/>
      <c r="L93" s="15"/>
      <c r="M93" s="15"/>
      <c r="N93" s="15"/>
      <c r="O93" s="15"/>
    </row>
    <row r="94" spans="2:15">
      <c r="B94" s="15"/>
      <c r="C94" s="15"/>
      <c r="D94" s="15"/>
      <c r="E94" s="15"/>
      <c r="F94" s="15"/>
      <c r="G94" s="15"/>
      <c r="H94" s="15"/>
      <c r="I94" s="15"/>
      <c r="J94" s="15"/>
      <c r="K94" s="15"/>
      <c r="L94" s="15"/>
      <c r="M94" s="15"/>
      <c r="N94" s="15"/>
      <c r="O94" s="15"/>
    </row>
    <row r="95" spans="2:15">
      <c r="B95" s="15"/>
      <c r="C95" s="15"/>
      <c r="D95" s="15"/>
      <c r="E95" s="15"/>
      <c r="F95" s="15"/>
      <c r="G95" s="15"/>
      <c r="H95" s="15"/>
      <c r="I95" s="15"/>
      <c r="J95" s="15"/>
      <c r="K95" s="15"/>
      <c r="L95" s="15"/>
      <c r="M95" s="15"/>
      <c r="N95" s="15"/>
      <c r="O95" s="15"/>
    </row>
    <row r="96" spans="2:15">
      <c r="B96" s="15"/>
      <c r="C96" s="15"/>
      <c r="D96" s="15"/>
      <c r="E96" s="15"/>
      <c r="F96" s="15"/>
      <c r="G96" s="15"/>
      <c r="H96" s="15"/>
      <c r="I96" s="15"/>
      <c r="J96" s="15"/>
      <c r="K96" s="15"/>
      <c r="L96" s="15"/>
      <c r="M96" s="15"/>
      <c r="N96" s="15"/>
      <c r="O96" s="15"/>
    </row>
    <row r="97" spans="2:15">
      <c r="B97" s="15"/>
      <c r="C97" s="15"/>
      <c r="D97" s="15"/>
      <c r="E97" s="15"/>
      <c r="F97" s="15"/>
      <c r="G97" s="15"/>
      <c r="H97" s="15"/>
      <c r="I97" s="15"/>
      <c r="J97" s="15"/>
      <c r="K97" s="15"/>
      <c r="L97" s="15"/>
      <c r="M97" s="15"/>
      <c r="N97" s="15"/>
      <c r="O97" s="15"/>
    </row>
    <row r="98" spans="2:15">
      <c r="B98" s="15"/>
      <c r="C98" s="15"/>
      <c r="D98" s="15"/>
      <c r="E98" s="15"/>
      <c r="F98" s="15"/>
      <c r="G98" s="15"/>
      <c r="H98" s="15"/>
      <c r="I98" s="15"/>
      <c r="J98" s="15"/>
      <c r="K98" s="15"/>
      <c r="L98" s="15"/>
      <c r="M98" s="15"/>
      <c r="N98" s="15"/>
      <c r="O98" s="15"/>
    </row>
    <row r="99" spans="2:15">
      <c r="B99" s="15"/>
      <c r="C99" s="15"/>
      <c r="D99" s="15"/>
      <c r="E99" s="15"/>
      <c r="F99" s="15"/>
      <c r="G99" s="15"/>
      <c r="H99" s="15"/>
      <c r="I99" s="15"/>
      <c r="J99" s="15"/>
      <c r="K99" s="15"/>
      <c r="L99" s="15"/>
      <c r="M99" s="15"/>
      <c r="N99" s="15"/>
      <c r="O99" s="15"/>
    </row>
    <row r="100" spans="2:15">
      <c r="B100" s="15"/>
      <c r="C100" s="15"/>
      <c r="D100" s="15"/>
      <c r="E100" s="15"/>
      <c r="F100" s="15"/>
      <c r="G100" s="15"/>
      <c r="H100" s="15"/>
      <c r="I100" s="15"/>
      <c r="J100" s="15"/>
      <c r="K100" s="15"/>
      <c r="L100" s="15"/>
      <c r="M100" s="15"/>
      <c r="N100" s="15"/>
      <c r="O100" s="15"/>
    </row>
    <row r="101" spans="2:15">
      <c r="B101" s="15"/>
      <c r="C101" s="15"/>
      <c r="D101" s="15"/>
      <c r="E101" s="15"/>
      <c r="F101" s="15"/>
      <c r="G101" s="15"/>
      <c r="H101" s="15"/>
      <c r="I101" s="15"/>
      <c r="J101" s="15"/>
      <c r="K101" s="15"/>
      <c r="L101" s="15"/>
      <c r="M101" s="15"/>
      <c r="N101" s="15"/>
      <c r="O101" s="15"/>
    </row>
    <row r="102" spans="2:15">
      <c r="B102" s="15"/>
      <c r="C102" s="15"/>
      <c r="D102" s="15"/>
      <c r="E102" s="15"/>
      <c r="F102" s="15"/>
      <c r="G102" s="15"/>
      <c r="H102" s="15"/>
      <c r="I102" s="15"/>
      <c r="J102" s="15"/>
      <c r="K102" s="15"/>
      <c r="L102" s="15"/>
      <c r="M102" s="15"/>
      <c r="N102" s="15"/>
      <c r="O102" s="15"/>
    </row>
    <row r="103" spans="2:15">
      <c r="B103" s="15"/>
      <c r="C103" s="15"/>
      <c r="D103" s="15"/>
      <c r="E103" s="15"/>
      <c r="F103" s="15"/>
      <c r="G103" s="15"/>
      <c r="H103" s="15"/>
      <c r="I103" s="15"/>
      <c r="J103" s="15"/>
      <c r="K103" s="15"/>
      <c r="L103" s="15"/>
      <c r="M103" s="15"/>
      <c r="N103" s="15"/>
      <c r="O103" s="15"/>
    </row>
    <row r="104" spans="2:15">
      <c r="B104" s="15"/>
      <c r="C104" s="15"/>
      <c r="D104" s="15"/>
      <c r="E104" s="15"/>
      <c r="F104" s="15"/>
      <c r="G104" s="15"/>
      <c r="H104" s="15"/>
      <c r="I104" s="15"/>
      <c r="J104" s="15"/>
      <c r="K104" s="15"/>
      <c r="L104" s="15"/>
      <c r="M104" s="15"/>
      <c r="N104" s="15"/>
      <c r="O104" s="15"/>
    </row>
    <row r="105" spans="2:15">
      <c r="B105" s="15"/>
      <c r="C105" s="15"/>
      <c r="D105" s="15"/>
      <c r="E105" s="15"/>
      <c r="G105" s="15"/>
      <c r="H105" s="15"/>
      <c r="I105" s="15"/>
      <c r="J105" s="15"/>
      <c r="K105" s="15"/>
      <c r="L105" s="15"/>
      <c r="M105" s="15"/>
      <c r="N105" s="15"/>
      <c r="O105" s="15"/>
    </row>
    <row r="106" spans="2:15">
      <c r="B106" s="15" t="s">
        <v>138</v>
      </c>
      <c r="C106" s="15"/>
      <c r="D106" s="15"/>
      <c r="E106" s="15"/>
      <c r="F106" s="15"/>
      <c r="G106" s="15"/>
      <c r="H106" s="15"/>
      <c r="I106" s="15"/>
      <c r="J106" s="15"/>
      <c r="K106" s="15"/>
      <c r="L106" s="15"/>
      <c r="M106" s="15"/>
      <c r="N106" s="15"/>
      <c r="O106" s="15"/>
    </row>
    <row r="107" spans="2:15">
      <c r="B107" s="33" t="s">
        <v>144</v>
      </c>
      <c r="C107" s="15"/>
      <c r="D107" s="15"/>
      <c r="E107" s="15"/>
      <c r="F107" s="15"/>
      <c r="G107" s="15"/>
      <c r="H107" s="15"/>
      <c r="I107" s="15"/>
      <c r="J107" s="15"/>
      <c r="K107" s="15"/>
      <c r="L107" s="15"/>
      <c r="M107" s="15"/>
      <c r="N107" s="15"/>
      <c r="O107" s="15"/>
    </row>
    <row r="108" spans="2:15">
      <c r="B108" s="42" t="s">
        <v>199</v>
      </c>
      <c r="C108" s="15"/>
      <c r="D108" s="15"/>
      <c r="E108" s="15"/>
      <c r="F108" s="15"/>
      <c r="G108" s="15"/>
      <c r="H108" s="15"/>
      <c r="I108" s="15"/>
      <c r="J108" s="15"/>
      <c r="K108" s="15"/>
      <c r="L108" s="15"/>
      <c r="M108" s="15"/>
      <c r="N108" s="15"/>
      <c r="O108" s="15"/>
    </row>
    <row r="109" spans="2:15">
      <c r="B109" s="33"/>
      <c r="C109" s="15"/>
      <c r="D109" s="15"/>
      <c r="E109" s="15"/>
      <c r="F109" s="15"/>
      <c r="G109" s="15"/>
      <c r="H109" s="15"/>
      <c r="I109" s="15"/>
      <c r="J109" s="15"/>
      <c r="K109" s="15"/>
      <c r="L109" s="15"/>
      <c r="M109" s="15"/>
      <c r="N109" s="15"/>
      <c r="O109" s="15"/>
    </row>
    <row r="110" spans="2:15" ht="18">
      <c r="B110" s="28" t="s">
        <v>153</v>
      </c>
    </row>
    <row r="111" spans="2:15" ht="18">
      <c r="B111" s="28" t="s">
        <v>179</v>
      </c>
    </row>
    <row r="112" spans="2:15" ht="13.5" thickBot="1"/>
    <row r="113" spans="2:15" ht="13.5" thickBot="1">
      <c r="B113" s="15" t="s">
        <v>183</v>
      </c>
      <c r="C113" s="30">
        <v>0.25</v>
      </c>
    </row>
    <row r="114" spans="2:15" ht="13.5" thickBot="1">
      <c r="B114" s="15" t="s">
        <v>180</v>
      </c>
      <c r="C114" s="30">
        <f>C115</f>
        <v>8.6177696241052412E-2</v>
      </c>
      <c r="D114" s="15" t="s">
        <v>190</v>
      </c>
    </row>
    <row r="115" spans="2:15" ht="13.5" thickBot="1">
      <c r="B115" s="15" t="s">
        <v>142</v>
      </c>
      <c r="C115" s="30">
        <f>LN((C3)^2+1)</f>
        <v>8.6177696241052412E-2</v>
      </c>
      <c r="D115" s="15" t="s">
        <v>189</v>
      </c>
    </row>
    <row r="116" spans="2:15" ht="13.5" thickBot="1">
      <c r="B116" s="15" t="s">
        <v>181</v>
      </c>
      <c r="C116" s="30">
        <f>0.1356^2</f>
        <v>1.8387359999999998E-2</v>
      </c>
      <c r="D116" s="15" t="s">
        <v>191</v>
      </c>
    </row>
    <row r="117" spans="2:15">
      <c r="B117" s="15" t="s">
        <v>182</v>
      </c>
      <c r="C117" s="1">
        <f>(LN(1.25)^2+0.05)/C113^2</f>
        <v>1.596688711889878</v>
      </c>
    </row>
    <row r="118" spans="2:15">
      <c r="B118" s="15" t="s">
        <v>192</v>
      </c>
      <c r="C118" s="1">
        <f>SQRT((C117*C115)-(C114-C115)-C116)</f>
        <v>0.3452703213494655</v>
      </c>
    </row>
    <row r="119" spans="2:15" ht="18">
      <c r="B119" s="36" t="s">
        <v>132</v>
      </c>
      <c r="C119" s="36" t="str">
        <f>FIXED(100*EXP(-$C$118),2)&amp;" - "&amp;FIXED(100*EXP($C$118),2)&amp;"% (Individual BE)"</f>
        <v>70.80 - 141.24% (Individual BE)</v>
      </c>
      <c r="D119" s="15"/>
    </row>
    <row r="125" spans="2:15">
      <c r="B125" s="15"/>
      <c r="C125" s="15"/>
      <c r="D125" s="15"/>
      <c r="E125" s="15"/>
      <c r="F125" s="15"/>
      <c r="G125" s="15"/>
      <c r="H125" s="15"/>
      <c r="I125" s="15"/>
      <c r="J125" s="15"/>
      <c r="K125" s="15"/>
      <c r="L125" s="15"/>
      <c r="M125" s="15"/>
      <c r="N125" s="15"/>
      <c r="O125" s="15"/>
    </row>
    <row r="126" spans="2:15">
      <c r="B126" s="15"/>
      <c r="C126" s="15"/>
      <c r="D126" s="15"/>
      <c r="E126" s="15"/>
      <c r="F126" s="15"/>
      <c r="G126" s="15"/>
      <c r="H126" s="15"/>
      <c r="I126" s="15"/>
      <c r="J126" s="15"/>
      <c r="K126" s="15"/>
      <c r="L126" s="15"/>
      <c r="M126" s="15"/>
      <c r="N126" s="15"/>
      <c r="O126" s="15"/>
    </row>
    <row r="127" spans="2:15">
      <c r="B127" s="15"/>
      <c r="C127" s="15"/>
      <c r="D127" s="15"/>
      <c r="E127" s="15"/>
      <c r="F127" s="15"/>
      <c r="G127" s="15"/>
      <c r="H127" s="15"/>
      <c r="I127" s="15"/>
      <c r="J127" s="15"/>
      <c r="K127" s="15"/>
      <c r="L127" s="15"/>
      <c r="M127" s="15"/>
      <c r="N127" s="15"/>
      <c r="O127" s="15"/>
    </row>
    <row r="128" spans="2:15">
      <c r="B128" s="15"/>
      <c r="C128" s="15"/>
      <c r="D128" s="15"/>
      <c r="E128" s="15"/>
      <c r="F128" s="15"/>
      <c r="G128" s="15"/>
      <c r="H128" s="15"/>
      <c r="I128" s="15"/>
      <c r="J128" s="15"/>
      <c r="K128" s="15"/>
      <c r="L128" s="15"/>
      <c r="M128" s="15"/>
      <c r="N128" s="15"/>
      <c r="O128" s="15"/>
    </row>
    <row r="129" spans="2:15">
      <c r="B129" s="15"/>
      <c r="C129" s="15"/>
      <c r="D129" s="15"/>
      <c r="E129" s="15"/>
      <c r="F129" s="15"/>
      <c r="G129" s="15"/>
      <c r="H129" s="15"/>
      <c r="I129" s="15"/>
      <c r="J129" s="15"/>
      <c r="K129" s="15"/>
      <c r="L129" s="15"/>
      <c r="M129" s="15"/>
      <c r="N129" s="15"/>
      <c r="O129" s="15"/>
    </row>
    <row r="130" spans="2:15">
      <c r="B130" s="15"/>
      <c r="C130" s="15"/>
      <c r="D130" s="15"/>
      <c r="E130" s="15"/>
      <c r="F130" s="15"/>
      <c r="G130" s="15"/>
      <c r="H130" s="15"/>
      <c r="I130" s="15"/>
      <c r="J130" s="15"/>
      <c r="K130" s="15"/>
      <c r="L130" s="15"/>
      <c r="M130" s="15"/>
      <c r="N130" s="15"/>
      <c r="O130" s="15"/>
    </row>
    <row r="131" spans="2:15">
      <c r="B131" s="15"/>
      <c r="C131" s="15"/>
      <c r="D131" s="15"/>
      <c r="E131" s="15"/>
      <c r="F131" s="15"/>
      <c r="G131" s="15"/>
      <c r="H131" s="15"/>
      <c r="I131" s="15"/>
      <c r="J131" s="15"/>
      <c r="K131" s="15"/>
      <c r="L131" s="15"/>
      <c r="M131" s="15"/>
      <c r="N131" s="15"/>
      <c r="O131" s="15"/>
    </row>
    <row r="132" spans="2:15">
      <c r="B132" s="15"/>
      <c r="C132" s="15"/>
      <c r="D132" s="15"/>
      <c r="E132" s="15"/>
      <c r="F132" s="15"/>
      <c r="G132" s="15"/>
      <c r="H132" s="15"/>
      <c r="I132" s="15"/>
      <c r="J132" s="15"/>
      <c r="K132" s="15"/>
      <c r="L132" s="15"/>
      <c r="M132" s="15"/>
      <c r="N132" s="15"/>
      <c r="O132" s="15"/>
    </row>
    <row r="133" spans="2:15">
      <c r="B133" s="15"/>
      <c r="C133" s="15"/>
      <c r="D133" s="15"/>
      <c r="E133" s="15"/>
      <c r="F133" s="15"/>
      <c r="G133" s="15"/>
      <c r="H133" s="15"/>
      <c r="I133" s="15"/>
      <c r="J133" s="15"/>
      <c r="K133" s="15"/>
      <c r="L133" s="15"/>
      <c r="M133" s="15"/>
      <c r="N133" s="15"/>
      <c r="O133" s="15"/>
    </row>
    <row r="134" spans="2:15">
      <c r="B134" s="15"/>
      <c r="C134" s="15"/>
      <c r="D134" s="15"/>
      <c r="E134" s="15"/>
      <c r="F134" s="15"/>
      <c r="G134" s="15"/>
      <c r="H134" s="15"/>
      <c r="I134" s="15"/>
      <c r="J134" s="15"/>
      <c r="K134" s="15"/>
      <c r="L134" s="15"/>
      <c r="M134" s="15"/>
      <c r="N134" s="15"/>
      <c r="O134" s="15"/>
    </row>
    <row r="135" spans="2:15">
      <c r="B135" s="15"/>
      <c r="C135" s="15"/>
      <c r="D135" s="15"/>
      <c r="E135" s="15"/>
      <c r="F135" s="15"/>
      <c r="G135" s="15"/>
      <c r="H135" s="15"/>
      <c r="I135" s="15"/>
      <c r="J135" s="15"/>
      <c r="K135" s="15"/>
      <c r="L135" s="15"/>
      <c r="M135" s="15"/>
      <c r="N135" s="15"/>
      <c r="O135" s="15"/>
    </row>
    <row r="136" spans="2:15">
      <c r="C136" s="15"/>
      <c r="D136" s="15"/>
      <c r="E136" s="15"/>
      <c r="F136" s="15"/>
      <c r="G136" s="15"/>
      <c r="H136" s="15"/>
      <c r="I136" s="15"/>
      <c r="J136" s="15"/>
      <c r="K136" s="15"/>
      <c r="L136" s="15"/>
      <c r="M136" s="15"/>
      <c r="N136" s="15"/>
      <c r="O136" s="15"/>
    </row>
    <row r="137" spans="2:15">
      <c r="C137" s="15"/>
      <c r="D137" s="15"/>
      <c r="E137" s="15"/>
      <c r="F137" s="15"/>
      <c r="G137" s="15"/>
      <c r="H137" s="15"/>
      <c r="I137" s="15"/>
      <c r="J137" s="15"/>
      <c r="K137" s="15"/>
      <c r="L137" s="15"/>
      <c r="M137" s="15"/>
      <c r="N137" s="15"/>
      <c r="O137" s="15"/>
    </row>
    <row r="138" spans="2:15">
      <c r="C138" s="15"/>
      <c r="D138" s="15"/>
      <c r="E138" s="15"/>
      <c r="F138" s="15"/>
      <c r="G138" s="15"/>
      <c r="H138" s="15"/>
      <c r="I138" s="15"/>
      <c r="J138" s="15"/>
      <c r="K138" s="15"/>
      <c r="L138" s="15"/>
      <c r="M138" s="15"/>
      <c r="N138" s="15"/>
      <c r="O138" s="15"/>
    </row>
    <row r="139" spans="2:15">
      <c r="C139" s="15"/>
      <c r="D139" s="15"/>
      <c r="E139" s="15"/>
      <c r="F139" s="15"/>
      <c r="G139" s="15"/>
      <c r="H139" s="15"/>
      <c r="I139" s="15"/>
      <c r="J139" s="15"/>
      <c r="K139" s="15"/>
      <c r="L139" s="15"/>
      <c r="M139" s="15"/>
      <c r="N139" s="15"/>
      <c r="O139" s="15"/>
    </row>
    <row r="140" spans="2:15">
      <c r="C140" s="15"/>
      <c r="D140" s="15"/>
      <c r="E140" s="15"/>
      <c r="F140" s="15"/>
      <c r="G140" s="15"/>
      <c r="H140" s="15"/>
      <c r="I140" s="15"/>
      <c r="J140" s="15"/>
      <c r="K140" s="15"/>
      <c r="L140" s="15"/>
      <c r="M140" s="15"/>
      <c r="N140" s="15"/>
      <c r="O140" s="15"/>
    </row>
    <row r="141" spans="2:15">
      <c r="C141" s="15"/>
      <c r="D141" s="15"/>
      <c r="E141" s="15"/>
      <c r="F141" s="15"/>
      <c r="G141" s="15"/>
      <c r="H141" s="15"/>
      <c r="I141" s="15"/>
      <c r="J141" s="15"/>
      <c r="K141" s="15"/>
      <c r="L141" s="15"/>
      <c r="M141" s="15"/>
      <c r="N141" s="15"/>
      <c r="O141" s="15"/>
    </row>
    <row r="142" spans="2:15">
      <c r="C142" s="15"/>
      <c r="D142" s="15"/>
      <c r="E142" s="15"/>
      <c r="F142" s="15"/>
      <c r="G142" s="15"/>
      <c r="H142" s="15"/>
      <c r="I142" s="15"/>
      <c r="J142" s="15"/>
      <c r="K142" s="15"/>
      <c r="L142" s="15"/>
      <c r="M142" s="15"/>
      <c r="N142" s="15"/>
      <c r="O142" s="15"/>
    </row>
    <row r="143" spans="2:15">
      <c r="B143" s="15" t="s">
        <v>138</v>
      </c>
      <c r="C143" s="15"/>
      <c r="D143" s="15"/>
      <c r="E143" s="15"/>
      <c r="F143" s="15"/>
      <c r="G143" s="15"/>
      <c r="H143" s="15"/>
      <c r="I143" s="15"/>
      <c r="J143" s="15"/>
      <c r="K143" s="15"/>
      <c r="L143" s="15"/>
      <c r="M143" s="15"/>
      <c r="N143" s="15"/>
      <c r="O143" s="15"/>
    </row>
    <row r="144" spans="2:15">
      <c r="B144" s="33" t="s">
        <v>178</v>
      </c>
      <c r="C144" s="15"/>
      <c r="D144" s="15"/>
      <c r="E144" s="15"/>
      <c r="F144" s="15"/>
      <c r="G144" s="15"/>
      <c r="H144" s="15"/>
      <c r="I144" s="15"/>
      <c r="J144" s="15"/>
      <c r="K144" s="15"/>
      <c r="L144" s="15"/>
      <c r="M144" s="15"/>
      <c r="N144" s="15"/>
      <c r="O144" s="15"/>
    </row>
    <row r="145" spans="2:15">
      <c r="B145" s="33" t="s">
        <v>144</v>
      </c>
      <c r="C145" s="15"/>
      <c r="D145" s="15"/>
      <c r="E145" s="15"/>
      <c r="F145" s="15"/>
      <c r="G145" s="15"/>
      <c r="H145" s="15"/>
      <c r="I145" s="15"/>
      <c r="J145" s="15"/>
      <c r="K145" s="15"/>
      <c r="L145" s="15"/>
      <c r="M145" s="15"/>
      <c r="N145" s="15"/>
      <c r="O145" s="15"/>
    </row>
    <row r="146" spans="2:15">
      <c r="B146" s="33"/>
      <c r="C146" s="15"/>
      <c r="D146" s="15"/>
      <c r="E146" s="15"/>
      <c r="F146" s="15"/>
      <c r="G146" s="15"/>
      <c r="H146" s="15"/>
      <c r="I146" s="15"/>
      <c r="J146" s="15"/>
      <c r="K146" s="15"/>
      <c r="L146" s="15"/>
      <c r="M146" s="15"/>
      <c r="N146" s="15"/>
      <c r="O146" s="15"/>
    </row>
    <row r="147" spans="2:15">
      <c r="B147" s="15"/>
      <c r="C147" s="15"/>
      <c r="D147" s="15"/>
      <c r="E147" s="15"/>
      <c r="F147" s="15"/>
      <c r="G147" s="15"/>
      <c r="H147" s="15"/>
      <c r="I147" s="15"/>
      <c r="J147" s="15"/>
      <c r="K147" s="15"/>
      <c r="L147" s="15"/>
      <c r="M147" s="15"/>
      <c r="N147" s="15"/>
      <c r="O147" s="15"/>
    </row>
    <row r="148" spans="2:15" ht="18">
      <c r="B148" s="28" t="s">
        <v>170</v>
      </c>
      <c r="C148" s="15"/>
      <c r="D148" s="15"/>
      <c r="E148" s="15"/>
      <c r="F148" s="15"/>
      <c r="G148" s="15"/>
      <c r="H148" s="15"/>
      <c r="I148" s="15"/>
      <c r="J148" s="15"/>
      <c r="K148" s="15"/>
      <c r="L148" s="15"/>
      <c r="M148" s="15"/>
      <c r="N148" s="15"/>
      <c r="O148" s="15"/>
    </row>
    <row r="149" spans="2:15" ht="18">
      <c r="B149" s="28" t="s">
        <v>171</v>
      </c>
      <c r="C149" s="15"/>
      <c r="D149" s="15"/>
      <c r="E149" s="15"/>
      <c r="F149" s="15"/>
      <c r="G149" s="15"/>
      <c r="H149" s="15"/>
      <c r="I149" s="15"/>
      <c r="J149" s="15"/>
      <c r="K149" s="15"/>
      <c r="L149" s="15"/>
      <c r="M149" s="15"/>
      <c r="N149" s="15"/>
      <c r="O149" s="15"/>
    </row>
    <row r="150" spans="2:15" ht="13.5" thickBot="1">
      <c r="B150" s="15"/>
      <c r="C150" s="15"/>
      <c r="D150" s="15"/>
      <c r="E150" s="15"/>
      <c r="F150" s="15"/>
      <c r="G150" s="15"/>
      <c r="H150" s="15"/>
      <c r="I150" s="15"/>
      <c r="J150" s="15"/>
      <c r="K150" s="15"/>
      <c r="L150" s="15"/>
      <c r="M150" s="15"/>
      <c r="N150" s="15"/>
      <c r="O150" s="15"/>
    </row>
    <row r="151" spans="2:15" ht="13.5" thickBot="1">
      <c r="B151" s="15" t="s">
        <v>174</v>
      </c>
      <c r="C151" s="30">
        <v>24</v>
      </c>
      <c r="D151" s="15"/>
      <c r="E151" s="15"/>
      <c r="F151" s="15"/>
      <c r="G151" s="15"/>
      <c r="H151" s="15"/>
      <c r="I151" s="15"/>
      <c r="J151" s="15"/>
      <c r="K151" s="15"/>
      <c r="L151" s="15"/>
      <c r="M151" s="15"/>
      <c r="N151" s="15"/>
      <c r="O151" s="15"/>
    </row>
    <row r="152" spans="2:15" ht="13.5" thickBot="1">
      <c r="B152" s="15" t="s">
        <v>173</v>
      </c>
      <c r="C152" s="29">
        <v>0.05</v>
      </c>
      <c r="D152" s="15" t="s">
        <v>177</v>
      </c>
      <c r="E152" s="15"/>
      <c r="F152" s="15"/>
      <c r="G152" s="15"/>
      <c r="H152" s="15"/>
      <c r="I152" s="15"/>
      <c r="J152" s="15"/>
      <c r="K152" s="15"/>
      <c r="L152" s="15"/>
      <c r="M152" s="15"/>
      <c r="N152" s="15"/>
      <c r="O152" s="15"/>
    </row>
    <row r="153" spans="2:15" ht="13.5" thickBot="1">
      <c r="B153" s="15" t="s">
        <v>172</v>
      </c>
      <c r="C153" s="29">
        <v>0.1</v>
      </c>
      <c r="D153" s="15" t="str">
        <f>" (producer risk, corresponding to a power of "&amp;ROUND(100*(1-C153),2)&amp;"% to determine bioequivalence)"</f>
        <v xml:space="preserve"> (producer risk, corresponding to a power of 90% to determine bioequivalence)</v>
      </c>
      <c r="E153" s="15"/>
      <c r="F153" s="15"/>
      <c r="G153" s="15"/>
      <c r="H153" s="15"/>
      <c r="I153" s="15"/>
      <c r="J153" s="15"/>
      <c r="K153" s="15"/>
      <c r="L153" s="15"/>
      <c r="M153" s="15"/>
      <c r="N153" s="15"/>
      <c r="O153" s="15"/>
    </row>
    <row r="154" spans="2:15">
      <c r="B154" s="15" t="s">
        <v>165</v>
      </c>
      <c r="C154" s="15">
        <f>C37</f>
        <v>0.29356037920852401</v>
      </c>
      <c r="D154" s="15"/>
      <c r="E154" s="15"/>
      <c r="F154" s="15"/>
      <c r="G154" s="15"/>
      <c r="H154" s="15"/>
      <c r="I154" s="15"/>
      <c r="J154" s="15"/>
      <c r="K154" s="15"/>
      <c r="L154" s="15"/>
      <c r="M154" s="15"/>
      <c r="N154" s="15"/>
      <c r="O154" s="15"/>
    </row>
    <row r="155" spans="2:15">
      <c r="B155" s="15" t="s">
        <v>175</v>
      </c>
      <c r="C155" s="15">
        <f>TINV(($C$152*2),$C$151-2)</f>
        <v>1.7171443743802424</v>
      </c>
      <c r="D155" s="15"/>
      <c r="E155" s="15"/>
      <c r="F155" s="15"/>
      <c r="G155" s="15"/>
      <c r="H155" s="15"/>
      <c r="I155" s="15"/>
      <c r="J155" s="15"/>
      <c r="K155" s="15"/>
      <c r="L155" s="15"/>
      <c r="M155" s="15"/>
      <c r="N155" s="15"/>
      <c r="O155" s="15"/>
    </row>
    <row r="156" spans="2:15">
      <c r="B156" s="15" t="s">
        <v>176</v>
      </c>
      <c r="C156" s="15">
        <f>TINV($C$153,$C$151-2)</f>
        <v>1.7171443743802424</v>
      </c>
      <c r="D156" s="15"/>
      <c r="E156" s="15"/>
      <c r="F156" s="15"/>
      <c r="G156" s="15"/>
      <c r="H156" s="15"/>
      <c r="I156" s="15"/>
      <c r="J156" s="15"/>
      <c r="K156" s="15"/>
      <c r="L156" s="15"/>
      <c r="M156" s="15"/>
      <c r="N156" s="15"/>
      <c r="O156" s="15"/>
    </row>
    <row r="157" spans="2:15">
      <c r="B157" s="15"/>
      <c r="C157" s="15"/>
      <c r="D157" s="15"/>
      <c r="E157" s="15"/>
      <c r="F157" s="15"/>
      <c r="G157" s="15"/>
      <c r="H157" s="15"/>
      <c r="I157" s="15"/>
      <c r="J157" s="15"/>
      <c r="K157" s="15"/>
      <c r="L157" s="15"/>
      <c r="M157" s="15"/>
      <c r="N157" s="15"/>
      <c r="O157" s="15"/>
    </row>
    <row r="158" spans="2:15" ht="18">
      <c r="B158" s="36" t="s">
        <v>132</v>
      </c>
      <c r="C158" s="36" t="str">
        <f>FIXED(100*EXP(-($C$155+$C$156)*(1/SQRT($C$151/2))*$C$154),2)&amp;" - "&amp;FIXED(100*EXP(($C$155+$C$156)*(1/SQRT($C$151/2))*$C$154),2)&amp;"%"</f>
        <v>74.75 - 133.78%</v>
      </c>
      <c r="D158" s="15"/>
      <c r="E158" s="15"/>
      <c r="F158" s="15"/>
      <c r="G158" s="15"/>
      <c r="H158" s="15"/>
      <c r="I158" s="15"/>
      <c r="J158" s="15"/>
      <c r="K158" s="15"/>
      <c r="L158" s="15"/>
      <c r="M158" s="15"/>
      <c r="N158" s="15"/>
      <c r="O158" s="15"/>
    </row>
    <row r="159" spans="2:15">
      <c r="B159" s="15"/>
      <c r="C159" s="15"/>
      <c r="D159" s="15"/>
      <c r="E159" s="15"/>
      <c r="F159" s="15"/>
      <c r="G159" s="15"/>
      <c r="H159" s="15"/>
      <c r="I159" s="15"/>
      <c r="J159" s="15"/>
      <c r="K159" s="15"/>
      <c r="L159" s="15"/>
      <c r="M159" s="15"/>
      <c r="N159" s="15"/>
      <c r="O159" s="15"/>
    </row>
    <row r="160" spans="2:15">
      <c r="B160" s="15"/>
      <c r="C160" s="15"/>
      <c r="D160" s="15"/>
      <c r="E160" s="15"/>
      <c r="F160" s="15"/>
      <c r="G160" s="15"/>
      <c r="H160" s="15"/>
      <c r="I160" s="15"/>
      <c r="J160" s="15"/>
      <c r="K160" s="15"/>
      <c r="L160" s="15"/>
      <c r="M160" s="15"/>
      <c r="N160" s="15"/>
      <c r="O160" s="15"/>
    </row>
    <row r="161" spans="2:15">
      <c r="B161" s="15"/>
      <c r="C161" s="15"/>
      <c r="D161" s="15"/>
      <c r="E161" s="15"/>
      <c r="F161" s="15"/>
      <c r="G161" s="15"/>
      <c r="H161" s="15"/>
      <c r="I161" s="15"/>
      <c r="J161" s="15"/>
      <c r="K161" s="15"/>
      <c r="L161" s="15"/>
      <c r="M161" s="15"/>
      <c r="N161" s="15"/>
      <c r="O161" s="15"/>
    </row>
    <row r="162" spans="2:15">
      <c r="B162" s="15"/>
      <c r="C162" s="15"/>
      <c r="D162" s="15"/>
      <c r="E162" s="15"/>
      <c r="F162" s="15"/>
      <c r="G162" s="15"/>
      <c r="H162" s="15"/>
      <c r="I162" s="15"/>
      <c r="J162" s="15"/>
      <c r="K162" s="15"/>
      <c r="L162" s="15"/>
      <c r="M162" s="15"/>
      <c r="N162" s="15"/>
      <c r="O162" s="15"/>
    </row>
    <row r="163" spans="2:15">
      <c r="B163" s="15"/>
      <c r="C163" s="15"/>
      <c r="D163" s="15"/>
      <c r="E163" s="15"/>
      <c r="F163" s="15"/>
      <c r="G163" s="15"/>
      <c r="H163" s="15"/>
      <c r="I163" s="15"/>
      <c r="J163" s="15"/>
      <c r="K163" s="15"/>
      <c r="L163" s="15"/>
      <c r="M163" s="15"/>
      <c r="N163" s="15"/>
      <c r="O163" s="15"/>
    </row>
    <row r="164" spans="2:15">
      <c r="B164" s="15"/>
      <c r="C164" s="15"/>
      <c r="D164" s="15"/>
      <c r="E164" s="15"/>
      <c r="F164" s="15"/>
      <c r="G164" s="15"/>
      <c r="H164" s="15"/>
      <c r="I164" s="15"/>
      <c r="J164" s="15"/>
      <c r="K164" s="15"/>
      <c r="L164" s="15"/>
      <c r="M164" s="15"/>
      <c r="N164" s="15"/>
      <c r="O164" s="15"/>
    </row>
    <row r="165" spans="2:15">
      <c r="B165" s="15"/>
      <c r="C165" s="15"/>
      <c r="D165" s="15"/>
      <c r="E165" s="15"/>
      <c r="F165" s="15"/>
      <c r="G165" s="15"/>
      <c r="H165" s="15"/>
      <c r="I165" s="15"/>
      <c r="J165" s="15"/>
      <c r="K165" s="15"/>
      <c r="L165" s="15"/>
      <c r="M165" s="15"/>
      <c r="N165" s="15"/>
      <c r="O165" s="15"/>
    </row>
    <row r="166" spans="2:15">
      <c r="B166" s="15"/>
      <c r="C166" s="15"/>
      <c r="D166" s="15"/>
      <c r="E166" s="15"/>
      <c r="F166" s="15"/>
      <c r="G166" s="15"/>
      <c r="H166" s="15"/>
      <c r="I166" s="15"/>
      <c r="J166" s="15"/>
      <c r="K166" s="15"/>
      <c r="L166" s="15"/>
      <c r="M166" s="15"/>
      <c r="N166" s="15"/>
      <c r="O166" s="15"/>
    </row>
    <row r="167" spans="2:15">
      <c r="B167" s="15"/>
      <c r="C167" s="15"/>
      <c r="D167" s="15"/>
      <c r="E167" s="15"/>
      <c r="F167" s="15"/>
      <c r="G167" s="15"/>
      <c r="H167" s="15"/>
      <c r="I167" s="15"/>
      <c r="J167" s="15"/>
      <c r="K167" s="15"/>
      <c r="L167" s="15"/>
      <c r="M167" s="15"/>
      <c r="N167" s="15"/>
      <c r="O167" s="15"/>
    </row>
    <row r="168" spans="2:15">
      <c r="B168" s="15"/>
      <c r="C168" s="15"/>
      <c r="D168" s="15"/>
      <c r="E168" s="15"/>
      <c r="F168" s="15"/>
      <c r="G168" s="15"/>
      <c r="H168" s="15"/>
      <c r="I168" s="15"/>
      <c r="J168" s="15"/>
      <c r="K168" s="15"/>
      <c r="L168" s="15"/>
      <c r="M168" s="15"/>
      <c r="N168" s="15"/>
      <c r="O168" s="15"/>
    </row>
    <row r="169" spans="2:15">
      <c r="B169" s="15"/>
      <c r="C169" s="15"/>
      <c r="D169" s="15"/>
      <c r="E169" s="15"/>
      <c r="F169" s="15"/>
      <c r="G169" s="15"/>
      <c r="H169" s="15"/>
      <c r="I169" s="15"/>
      <c r="J169" s="15"/>
      <c r="K169" s="15"/>
      <c r="L169" s="15"/>
      <c r="M169" s="15"/>
      <c r="N169" s="15"/>
      <c r="O169" s="15"/>
    </row>
    <row r="170" spans="2:15">
      <c r="B170" s="15"/>
      <c r="C170" s="15"/>
      <c r="D170" s="15"/>
      <c r="E170" s="15"/>
      <c r="F170" s="15"/>
      <c r="G170" s="15"/>
      <c r="H170" s="15"/>
      <c r="I170" s="15"/>
      <c r="J170" s="15"/>
      <c r="K170" s="15"/>
      <c r="L170" s="15"/>
      <c r="M170" s="15"/>
      <c r="N170" s="15"/>
      <c r="O170" s="15"/>
    </row>
    <row r="171" spans="2:15">
      <c r="B171" s="15"/>
      <c r="C171" s="15"/>
      <c r="D171" s="15"/>
      <c r="E171" s="15"/>
      <c r="F171" s="15"/>
      <c r="G171" s="15"/>
      <c r="H171" s="15"/>
      <c r="I171" s="15"/>
      <c r="J171" s="15"/>
      <c r="K171" s="15"/>
      <c r="L171" s="15"/>
      <c r="M171" s="15"/>
      <c r="N171" s="15"/>
      <c r="O171" s="15"/>
    </row>
    <row r="172" spans="2:15">
      <c r="B172" s="15"/>
      <c r="C172" s="15"/>
      <c r="D172" s="15"/>
      <c r="E172" s="15"/>
      <c r="F172" s="15"/>
      <c r="G172" s="15"/>
      <c r="H172" s="15"/>
      <c r="I172" s="15"/>
      <c r="J172" s="15"/>
      <c r="K172" s="15"/>
      <c r="L172" s="15"/>
      <c r="M172" s="15"/>
      <c r="N172" s="15"/>
      <c r="O172" s="15"/>
    </row>
    <row r="173" spans="2:15">
      <c r="B173" s="15"/>
      <c r="C173" s="15"/>
      <c r="D173" s="15"/>
      <c r="E173" s="15"/>
      <c r="F173" s="15"/>
      <c r="G173" s="15"/>
      <c r="H173" s="15"/>
      <c r="I173" s="15"/>
      <c r="J173" s="15"/>
      <c r="K173" s="15"/>
      <c r="L173" s="15"/>
      <c r="M173" s="15"/>
      <c r="N173" s="15"/>
      <c r="O173" s="15"/>
    </row>
    <row r="174" spans="2:15">
      <c r="B174" s="15"/>
      <c r="C174" s="15"/>
      <c r="D174" s="15"/>
      <c r="E174" s="15"/>
      <c r="F174" s="15"/>
      <c r="G174" s="15"/>
      <c r="H174" s="15"/>
      <c r="I174" s="15"/>
      <c r="J174" s="15"/>
      <c r="K174" s="15"/>
      <c r="L174" s="15"/>
      <c r="M174" s="15"/>
      <c r="N174" s="15"/>
      <c r="O174" s="15"/>
    </row>
    <row r="175" spans="2:15">
      <c r="B175" s="15"/>
      <c r="C175" s="15"/>
      <c r="D175" s="15"/>
      <c r="E175" s="15"/>
      <c r="F175" s="15"/>
      <c r="G175" s="15"/>
      <c r="H175" s="15"/>
      <c r="I175" s="15"/>
      <c r="J175" s="15"/>
      <c r="K175" s="15"/>
      <c r="L175" s="15"/>
      <c r="M175" s="15"/>
      <c r="N175" s="15"/>
      <c r="O175" s="15"/>
    </row>
    <row r="176" spans="2:15">
      <c r="B176" s="15" t="s">
        <v>138</v>
      </c>
      <c r="C176" s="15"/>
      <c r="D176" s="15"/>
      <c r="E176" s="15"/>
      <c r="F176" s="15"/>
      <c r="G176" s="15"/>
      <c r="H176" s="15"/>
      <c r="I176" s="15"/>
      <c r="J176" s="15"/>
      <c r="K176" s="15"/>
      <c r="L176" s="15"/>
      <c r="M176" s="15"/>
      <c r="N176" s="15"/>
      <c r="O176" s="15"/>
    </row>
    <row r="177" spans="2:15">
      <c r="B177" s="33" t="s">
        <v>144</v>
      </c>
      <c r="C177" s="15"/>
      <c r="D177" s="15"/>
      <c r="E177" s="15"/>
      <c r="F177" s="15"/>
      <c r="G177" s="15"/>
      <c r="H177" s="15"/>
      <c r="I177" s="15"/>
      <c r="J177" s="15"/>
      <c r="K177" s="15"/>
      <c r="L177" s="15"/>
      <c r="M177" s="15"/>
      <c r="N177" s="15"/>
      <c r="O177" s="15"/>
    </row>
    <row r="178" spans="2:15">
      <c r="B178" s="42" t="s">
        <v>199</v>
      </c>
      <c r="C178" s="15"/>
      <c r="D178" s="15"/>
      <c r="E178" s="15"/>
      <c r="F178" s="15"/>
      <c r="G178" s="15"/>
      <c r="H178" s="15"/>
      <c r="I178" s="15"/>
      <c r="J178" s="15"/>
      <c r="K178" s="15"/>
      <c r="L178" s="15"/>
      <c r="M178" s="15"/>
      <c r="N178" s="15"/>
      <c r="O178" s="15"/>
    </row>
    <row r="179" spans="2:15">
      <c r="B179" s="15"/>
      <c r="C179" s="15"/>
      <c r="D179" s="15"/>
      <c r="E179" s="15"/>
      <c r="F179" s="15"/>
      <c r="G179" s="15"/>
      <c r="H179" s="15"/>
      <c r="I179" s="15"/>
      <c r="J179" s="15"/>
      <c r="K179" s="15"/>
      <c r="L179" s="15"/>
      <c r="M179" s="15"/>
      <c r="N179" s="15"/>
      <c r="O179" s="15"/>
    </row>
    <row r="180" spans="2:15">
      <c r="B180" s="15"/>
      <c r="C180" s="15"/>
      <c r="D180" s="15"/>
      <c r="E180" s="15"/>
      <c r="F180" s="15"/>
      <c r="G180" s="15"/>
      <c r="H180" s="15"/>
      <c r="I180" s="15"/>
      <c r="J180" s="15"/>
      <c r="K180" s="15"/>
      <c r="L180" s="15"/>
      <c r="M180" s="15"/>
      <c r="N180" s="15"/>
      <c r="O180" s="15"/>
    </row>
    <row r="181" spans="2:15">
      <c r="B181" s="15"/>
      <c r="C181" s="15"/>
      <c r="D181" s="15"/>
      <c r="E181" s="15"/>
      <c r="F181" s="15"/>
      <c r="G181" s="15"/>
      <c r="H181" s="15"/>
      <c r="I181" s="15"/>
      <c r="J181" s="15"/>
      <c r="K181" s="15"/>
      <c r="L181" s="15"/>
      <c r="M181" s="15"/>
      <c r="N181" s="15"/>
      <c r="O181" s="15"/>
    </row>
    <row r="182" spans="2:15">
      <c r="B182" s="15"/>
      <c r="C182" s="15"/>
      <c r="D182" s="15"/>
      <c r="E182" s="15"/>
      <c r="F182" s="15"/>
      <c r="G182" s="15"/>
      <c r="H182" s="15"/>
      <c r="I182" s="15"/>
      <c r="J182" s="15"/>
      <c r="K182" s="15"/>
      <c r="L182" s="15"/>
      <c r="M182" s="15"/>
      <c r="N182" s="15"/>
      <c r="O182" s="15"/>
    </row>
    <row r="183" spans="2:15">
      <c r="B183" s="15"/>
      <c r="C183" s="15"/>
      <c r="D183" s="15"/>
      <c r="E183" s="15"/>
      <c r="F183" s="15"/>
      <c r="G183" s="15"/>
      <c r="H183" s="15"/>
      <c r="I183" s="15"/>
      <c r="J183" s="15"/>
      <c r="K183" s="15"/>
      <c r="L183" s="15"/>
      <c r="M183" s="15"/>
      <c r="N183" s="15"/>
      <c r="O183" s="15"/>
    </row>
    <row r="184" spans="2:15">
      <c r="B184" s="15"/>
      <c r="C184" s="15"/>
      <c r="D184" s="15"/>
      <c r="E184" s="15"/>
      <c r="F184" s="15"/>
      <c r="G184" s="15"/>
      <c r="H184" s="15"/>
      <c r="I184" s="15"/>
      <c r="J184" s="15"/>
      <c r="K184" s="15"/>
      <c r="L184" s="15"/>
      <c r="M184" s="15"/>
      <c r="N184" s="15"/>
      <c r="O184" s="15"/>
    </row>
    <row r="185" spans="2:15">
      <c r="B185" s="15"/>
      <c r="C185" s="15"/>
      <c r="D185" s="15"/>
      <c r="E185" s="15"/>
      <c r="F185" s="15"/>
      <c r="G185" s="15"/>
      <c r="H185" s="15"/>
      <c r="I185" s="15"/>
      <c r="J185" s="15"/>
      <c r="K185" s="15"/>
      <c r="L185" s="15"/>
      <c r="M185" s="15"/>
      <c r="N185" s="15"/>
      <c r="O185" s="15"/>
    </row>
    <row r="186" spans="2:15">
      <c r="B186" s="15"/>
      <c r="C186" s="15"/>
      <c r="D186" s="15"/>
      <c r="E186" s="15"/>
      <c r="F186" s="15"/>
      <c r="G186" s="15"/>
      <c r="H186" s="15"/>
      <c r="I186" s="15"/>
      <c r="J186" s="15"/>
      <c r="K186" s="15"/>
      <c r="L186" s="15"/>
      <c r="M186" s="15"/>
      <c r="N186" s="15"/>
      <c r="O186" s="15"/>
    </row>
    <row r="187" spans="2:15">
      <c r="B187" s="15"/>
      <c r="C187" s="15"/>
      <c r="D187" s="15"/>
      <c r="E187" s="15"/>
      <c r="F187" s="15"/>
      <c r="G187" s="15"/>
      <c r="H187" s="15"/>
      <c r="I187" s="15"/>
      <c r="J187" s="15"/>
      <c r="K187" s="15"/>
      <c r="L187" s="15"/>
      <c r="M187" s="15"/>
      <c r="N187" s="15"/>
      <c r="O187" s="15"/>
    </row>
    <row r="188" spans="2:15">
      <c r="B188" s="15"/>
      <c r="C188" s="15"/>
      <c r="D188" s="15"/>
      <c r="E188" s="15"/>
      <c r="F188" s="15"/>
      <c r="G188" s="15"/>
      <c r="H188" s="15"/>
      <c r="I188" s="15"/>
      <c r="J188" s="15"/>
      <c r="K188" s="15"/>
      <c r="L188" s="15"/>
      <c r="M188" s="15"/>
      <c r="N188" s="15"/>
      <c r="O188" s="15"/>
    </row>
    <row r="189" spans="2:15">
      <c r="B189" s="15"/>
      <c r="C189" s="15"/>
      <c r="D189" s="15"/>
      <c r="E189" s="15"/>
      <c r="F189" s="15"/>
      <c r="G189" s="15"/>
      <c r="H189" s="15"/>
      <c r="I189" s="15"/>
      <c r="J189" s="15"/>
      <c r="K189" s="15"/>
      <c r="L189" s="15"/>
      <c r="M189" s="15"/>
      <c r="N189" s="15"/>
      <c r="O189" s="15"/>
    </row>
  </sheetData>
  <hyperlinks>
    <hyperlink ref="B44" r:id="rId1" xr:uid="{00000000-0004-0000-0A00-000000000000}"/>
    <hyperlink ref="B43" r:id="rId2" xr:uid="{00000000-0004-0000-0A00-000001000000}"/>
    <hyperlink ref="B45" r:id="rId3" xr:uid="{00000000-0004-0000-0A00-000002000000}"/>
    <hyperlink ref="B22" r:id="rId4" xr:uid="{00000000-0004-0000-0A00-000003000000}"/>
    <hyperlink ref="B23" r:id="rId5" xr:uid="{00000000-0004-0000-0A00-000004000000}"/>
    <hyperlink ref="B77" r:id="rId6" xr:uid="{00000000-0004-0000-0A00-000005000000}"/>
    <hyperlink ref="B107" r:id="rId7" xr:uid="{00000000-0004-0000-0A00-000006000000}"/>
    <hyperlink ref="B177" r:id="rId8" xr:uid="{00000000-0004-0000-0A00-000007000000}"/>
    <hyperlink ref="B144" r:id="rId9" xr:uid="{00000000-0004-0000-0A00-000008000000}"/>
    <hyperlink ref="B145" r:id="rId10" xr:uid="{00000000-0004-0000-0A00-000009000000}"/>
    <hyperlink ref="B108" r:id="rId11" xr:uid="{00000000-0004-0000-0A00-00000A000000}"/>
    <hyperlink ref="B178" r:id="rId12" xr:uid="{00000000-0004-0000-0A00-00000B000000}"/>
  </hyperlinks>
  <pageMargins left="0.75" right="0.75" top="1" bottom="1" header="0.5" footer="0.5"/>
  <pageSetup orientation="portrait" horizontalDpi="4294967293" verticalDpi="0"/>
  <headerFooter alignWithMargins="0"/>
  <drawing r:id="rId13"/>
  <legacyDrawing r:id="rId14"/>
  <oleObjects>
    <mc:AlternateContent xmlns:mc="http://schemas.openxmlformats.org/markup-compatibility/2006">
      <mc:Choice Requires="x14">
        <oleObject progId="Equation.3" shapeId="29697" r:id="rId15">
          <objectPr defaultSize="0" autoPict="0" r:id="rId16">
            <anchor moveWithCells="1" sizeWithCells="1">
              <from>
                <xdr:col>1</xdr:col>
                <xdr:colOff>28575</xdr:colOff>
                <xdr:row>30</xdr:row>
                <xdr:rowOff>38100</xdr:rowOff>
              </from>
              <to>
                <xdr:col>5</xdr:col>
                <xdr:colOff>114300</xdr:colOff>
                <xdr:row>33</xdr:row>
                <xdr:rowOff>142875</xdr:rowOff>
              </to>
            </anchor>
          </objectPr>
        </oleObject>
      </mc:Choice>
      <mc:Fallback>
        <oleObject progId="Equation.3" shapeId="29697" r:id="rId15"/>
      </mc:Fallback>
    </mc:AlternateContent>
  </oleObjects>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B1:G53"/>
  <sheetViews>
    <sheetView workbookViewId="0">
      <selection activeCell="C3" sqref="C3"/>
    </sheetView>
  </sheetViews>
  <sheetFormatPr defaultColWidth="9.140625" defaultRowHeight="12.75"/>
  <cols>
    <col min="1" max="1" width="5.140625" style="1" customWidth="1"/>
    <col min="2" max="2" width="21.42578125" style="1" customWidth="1"/>
    <col min="3" max="16384" width="9.140625" style="1"/>
  </cols>
  <sheetData>
    <row r="1" spans="2:6" ht="26.25">
      <c r="B1" s="17" t="s">
        <v>77</v>
      </c>
      <c r="F1" s="9" t="s">
        <v>122</v>
      </c>
    </row>
    <row r="2" spans="2:6" ht="13.5" thickBot="1">
      <c r="C2" s="14"/>
    </row>
    <row r="3" spans="2:6" ht="16.5" thickBot="1">
      <c r="B3" s="1" t="s">
        <v>22</v>
      </c>
      <c r="C3" s="3">
        <v>1</v>
      </c>
      <c r="D3" s="1" t="s">
        <v>23</v>
      </c>
    </row>
    <row r="4" spans="2:6" ht="13.5" thickBot="1">
      <c r="B4" s="8" t="s">
        <v>59</v>
      </c>
      <c r="C4" s="2">
        <v>0.05</v>
      </c>
      <c r="D4" s="1" t="s">
        <v>20</v>
      </c>
    </row>
    <row r="5" spans="2:6" ht="13.5" thickBot="1">
      <c r="B5" s="8" t="s">
        <v>18</v>
      </c>
      <c r="C5" s="3">
        <v>25</v>
      </c>
      <c r="D5" s="1" t="s">
        <v>19</v>
      </c>
    </row>
    <row r="6" spans="2:6" ht="13.5" thickBot="1">
      <c r="B6" s="1" t="s">
        <v>38</v>
      </c>
      <c r="C6" s="3">
        <v>5</v>
      </c>
      <c r="D6" s="1" t="s">
        <v>39</v>
      </c>
    </row>
    <row r="7" spans="2:6" ht="13.5" thickBot="1">
      <c r="C7" s="4"/>
    </row>
    <row r="8" spans="2:6" ht="13.5" thickBot="1">
      <c r="B8" s="12" t="s">
        <v>17</v>
      </c>
      <c r="C8" s="11">
        <f>C6/C5</f>
        <v>0.2</v>
      </c>
    </row>
    <row r="10" spans="2:6">
      <c r="B10" s="8" t="s">
        <v>18</v>
      </c>
      <c r="C10" s="1">
        <f>C5</f>
        <v>25</v>
      </c>
    </row>
    <row r="11" spans="2:6">
      <c r="B11" s="1" t="s">
        <v>16</v>
      </c>
      <c r="C11" s="7">
        <v>3</v>
      </c>
    </row>
    <row r="12" spans="2:6">
      <c r="B12" s="1" t="s">
        <v>15</v>
      </c>
      <c r="C12" s="1">
        <f>C11*(C3+1)-2</f>
        <v>4</v>
      </c>
    </row>
    <row r="13" spans="2:6">
      <c r="B13" s="1" t="s">
        <v>14</v>
      </c>
      <c r="C13" s="1">
        <f>TINV(C4,C12)</f>
        <v>2.7764451051977934</v>
      </c>
    </row>
    <row r="14" spans="2:6">
      <c r="B14" s="1" t="s">
        <v>40</v>
      </c>
      <c r="C14" s="7">
        <f>(C3+1)*C13^2*C10^2/(C3*C6^2)</f>
        <v>385.43237110883928</v>
      </c>
    </row>
    <row r="18" spans="2:5">
      <c r="E18" s="5"/>
    </row>
    <row r="19" spans="2:5" ht="14.25">
      <c r="C19" s="16" t="s">
        <v>63</v>
      </c>
      <c r="D19" s="16" t="s">
        <v>64</v>
      </c>
      <c r="E19" s="16" t="s">
        <v>66</v>
      </c>
    </row>
    <row r="20" spans="2:5">
      <c r="B20" s="1" t="s">
        <v>11</v>
      </c>
      <c r="C20" s="1">
        <f>CEILING(C11,1)</f>
        <v>3</v>
      </c>
      <c r="D20" s="1">
        <f>C20*C3</f>
        <v>3</v>
      </c>
      <c r="E20" s="1">
        <f>C20+D20</f>
        <v>6</v>
      </c>
    </row>
    <row r="26" spans="2:5" ht="18">
      <c r="B26" s="28" t="s">
        <v>123</v>
      </c>
    </row>
    <row r="27" spans="2:5" ht="20.25" customHeight="1"/>
    <row r="50" spans="2:7">
      <c r="G50" s="6"/>
    </row>
    <row r="51" spans="2:7">
      <c r="G51" s="6"/>
    </row>
    <row r="52" spans="2:7">
      <c r="G52" s="6"/>
    </row>
    <row r="53" spans="2:7">
      <c r="B53" s="9" t="s">
        <v>125</v>
      </c>
      <c r="G53"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SS_Precision">
                <anchor moveWithCells="1" sizeWithCells="1">
                  <from>
                    <xdr:col>1</xdr:col>
                    <xdr:colOff>104775</xdr:colOff>
                    <xdr:row>21</xdr:row>
                    <xdr:rowOff>76200</xdr:rowOff>
                  </from>
                  <to>
                    <xdr:col>2</xdr:col>
                    <xdr:colOff>523875</xdr:colOff>
                    <xdr:row>23</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B1:G53"/>
  <sheetViews>
    <sheetView workbookViewId="0">
      <selection activeCell="C4" sqref="C4"/>
    </sheetView>
  </sheetViews>
  <sheetFormatPr defaultColWidth="9.140625" defaultRowHeight="12.75"/>
  <cols>
    <col min="1" max="1" width="5.140625" style="1" customWidth="1"/>
    <col min="2" max="2" width="21.42578125" style="1" customWidth="1"/>
    <col min="3" max="16384" width="9.140625" style="1"/>
  </cols>
  <sheetData>
    <row r="1" spans="2:7" ht="26.25">
      <c r="B1" s="17" t="s">
        <v>78</v>
      </c>
      <c r="G1" s="9" t="s">
        <v>122</v>
      </c>
    </row>
    <row r="2" spans="2:7">
      <c r="C2" s="14"/>
    </row>
    <row r="3" spans="2:7" ht="13.5" thickBot="1">
      <c r="C3" s="10"/>
    </row>
    <row r="4" spans="2:7" ht="13.5" thickBot="1">
      <c r="B4" s="8" t="s">
        <v>59</v>
      </c>
      <c r="C4" s="2">
        <v>0.05</v>
      </c>
      <c r="D4" s="1" t="s">
        <v>20</v>
      </c>
    </row>
    <row r="5" spans="2:7" ht="16.5" thickBot="1">
      <c r="B5" s="8" t="s">
        <v>26</v>
      </c>
      <c r="C5" s="3">
        <v>10</v>
      </c>
      <c r="D5" s="1" t="s">
        <v>19</v>
      </c>
    </row>
    <row r="6" spans="2:7" ht="13.5" thickBot="1">
      <c r="B6" s="1" t="s">
        <v>38</v>
      </c>
      <c r="C6" s="3">
        <v>5</v>
      </c>
      <c r="D6" s="1" t="s">
        <v>39</v>
      </c>
    </row>
    <row r="7" spans="2:7" ht="13.5" thickBot="1">
      <c r="C7" s="4"/>
    </row>
    <row r="8" spans="2:7" ht="13.5" thickBot="1">
      <c r="B8" s="12" t="s">
        <v>17</v>
      </c>
      <c r="C8" s="11">
        <f>C6/C5</f>
        <v>0.5</v>
      </c>
    </row>
    <row r="10" spans="2:7" ht="15.75">
      <c r="B10" s="8" t="s">
        <v>26</v>
      </c>
      <c r="C10" s="1">
        <f>C5</f>
        <v>10</v>
      </c>
    </row>
    <row r="11" spans="2:7">
      <c r="B11" s="1" t="s">
        <v>0</v>
      </c>
      <c r="C11" s="7">
        <v>3</v>
      </c>
    </row>
    <row r="12" spans="2:7">
      <c r="B12" s="1" t="s">
        <v>2</v>
      </c>
      <c r="C12" s="1">
        <f>C11-2</f>
        <v>1</v>
      </c>
    </row>
    <row r="13" spans="2:7">
      <c r="B13" s="1" t="s">
        <v>13</v>
      </c>
      <c r="C13" s="1">
        <f>TINV(C4,C12)</f>
        <v>12.706204736174707</v>
      </c>
    </row>
    <row r="14" spans="2:7">
      <c r="B14" s="1" t="s">
        <v>41</v>
      </c>
      <c r="C14" s="7">
        <f>2*C13^2*C10^2/(C6^2)</f>
        <v>1291.5811103807084</v>
      </c>
    </row>
    <row r="18" spans="2:5">
      <c r="E18" s="5"/>
    </row>
    <row r="19" spans="2:5">
      <c r="C19" s="9"/>
      <c r="D19" s="9"/>
    </row>
    <row r="20" spans="2:5">
      <c r="B20" s="1" t="s">
        <v>11</v>
      </c>
      <c r="C20" s="1">
        <f>CEILING(C11,1)</f>
        <v>3</v>
      </c>
    </row>
    <row r="26" spans="2:5" ht="18">
      <c r="B26" s="28" t="s">
        <v>123</v>
      </c>
    </row>
    <row r="27" spans="2:5" ht="20.25" customHeight="1"/>
    <row r="35" spans="2:2">
      <c r="B35" s="9" t="s">
        <v>125</v>
      </c>
    </row>
    <row r="50" spans="7:7">
      <c r="G50" s="6"/>
    </row>
    <row r="51" spans="7:7">
      <c r="G51" s="6"/>
    </row>
    <row r="52" spans="7:7">
      <c r="G52" s="6"/>
    </row>
    <row r="53" spans="7:7">
      <c r="G53"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SS_Precision">
                <anchor moveWithCells="1" sizeWithCells="1">
                  <from>
                    <xdr:col>1</xdr:col>
                    <xdr:colOff>104775</xdr:colOff>
                    <xdr:row>21</xdr:row>
                    <xdr:rowOff>76200</xdr:rowOff>
                  </from>
                  <to>
                    <xdr:col>2</xdr:col>
                    <xdr:colOff>523875</xdr:colOff>
                    <xdr:row>23</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B1:G51"/>
  <sheetViews>
    <sheetView workbookViewId="0">
      <selection activeCell="C3" sqref="C3"/>
    </sheetView>
  </sheetViews>
  <sheetFormatPr defaultColWidth="9.140625" defaultRowHeight="12.75"/>
  <cols>
    <col min="1" max="1" width="5.140625" style="1" customWidth="1"/>
    <col min="2" max="2" width="21.42578125" style="1" customWidth="1"/>
    <col min="3" max="3" width="9.140625" style="1"/>
    <col min="4" max="5" width="12.42578125" style="1" bestFit="1" customWidth="1"/>
    <col min="6" max="6" width="9.140625" style="1"/>
    <col min="7" max="7" width="12.42578125" style="1" bestFit="1" customWidth="1"/>
    <col min="8" max="16384" width="9.140625" style="1"/>
  </cols>
  <sheetData>
    <row r="1" spans="2:5" ht="26.25">
      <c r="B1" s="17" t="s">
        <v>116</v>
      </c>
    </row>
    <row r="2" spans="2:5" ht="13.5" thickBot="1">
      <c r="C2" s="14"/>
      <c r="E2" s="9" t="s">
        <v>122</v>
      </c>
    </row>
    <row r="3" spans="2:5" ht="13.5" thickBot="1">
      <c r="B3" s="1" t="s">
        <v>1</v>
      </c>
      <c r="C3" s="2">
        <v>0.8</v>
      </c>
    </row>
    <row r="4" spans="2:5" ht="13.5" thickBot="1">
      <c r="B4" s="8" t="s">
        <v>59</v>
      </c>
      <c r="C4" s="2">
        <v>0.05</v>
      </c>
      <c r="D4" s="1" t="s">
        <v>20</v>
      </c>
    </row>
    <row r="5" spans="2:5" ht="16.5" thickBot="1">
      <c r="B5" s="1" t="s">
        <v>82</v>
      </c>
      <c r="C5" s="18">
        <v>0.1</v>
      </c>
      <c r="D5" s="1" t="s">
        <v>83</v>
      </c>
    </row>
    <row r="6" spans="2:5" ht="16.5" thickBot="1">
      <c r="B6" s="1" t="s">
        <v>85</v>
      </c>
      <c r="C6" s="18">
        <v>0.3</v>
      </c>
      <c r="D6" s="1" t="s">
        <v>87</v>
      </c>
    </row>
    <row r="7" spans="2:5" ht="13.5" thickBot="1">
      <c r="C7" s="4"/>
    </row>
    <row r="8" spans="2:5" ht="13.5" thickBot="1">
      <c r="B8" s="12" t="s">
        <v>17</v>
      </c>
      <c r="C8" s="19">
        <f>C6-C5</f>
        <v>0.19999999999999998</v>
      </c>
      <c r="D8" s="1" t="s">
        <v>84</v>
      </c>
    </row>
    <row r="10" spans="2:5" ht="15.75">
      <c r="B10" s="1" t="s">
        <v>111</v>
      </c>
      <c r="C10" s="1">
        <v>5</v>
      </c>
      <c r="D10" s="1" t="s">
        <v>86</v>
      </c>
    </row>
    <row r="11" spans="2:5">
      <c r="B11" s="1" t="s">
        <v>0</v>
      </c>
      <c r="C11" s="7">
        <v>3</v>
      </c>
    </row>
    <row r="18" spans="2:5">
      <c r="B18" s="1" t="s">
        <v>58</v>
      </c>
      <c r="C18" s="1">
        <v>0.80651155791193363</v>
      </c>
      <c r="E18" s="5"/>
    </row>
    <row r="19" spans="2:5">
      <c r="C19" s="16"/>
      <c r="D19" s="16"/>
      <c r="E19" s="16"/>
    </row>
    <row r="20" spans="2:5">
      <c r="B20" s="1" t="s">
        <v>11</v>
      </c>
      <c r="C20" s="1">
        <f>CEILING(C11,1)</f>
        <v>3</v>
      </c>
      <c r="D20" s="1" t="s">
        <v>129</v>
      </c>
    </row>
    <row r="21" spans="2:5">
      <c r="B21" s="1" t="s">
        <v>112</v>
      </c>
      <c r="C21" s="1">
        <f>C10</f>
        <v>5</v>
      </c>
      <c r="D21" s="1" t="s">
        <v>114</v>
      </c>
    </row>
    <row r="23" spans="2:5">
      <c r="D23" s="9" t="s">
        <v>121</v>
      </c>
    </row>
    <row r="25" spans="2:5" ht="20.25" customHeight="1">
      <c r="B25" s="1" t="s">
        <v>113</v>
      </c>
    </row>
    <row r="26" spans="2:5">
      <c r="B26" s="1" t="s">
        <v>88</v>
      </c>
    </row>
    <row r="28" spans="2:5" ht="15.75">
      <c r="B28" s="1" t="s">
        <v>115</v>
      </c>
    </row>
    <row r="29" spans="2:5">
      <c r="D29" s="9"/>
    </row>
    <row r="30" spans="2:5" ht="18">
      <c r="B30" s="28" t="s">
        <v>123</v>
      </c>
    </row>
    <row r="39" spans="2:7">
      <c r="B39" s="9" t="s">
        <v>128</v>
      </c>
    </row>
    <row r="48" spans="2:7">
      <c r="G48" s="6"/>
    </row>
    <row r="49" spans="7:7">
      <c r="G49" s="6"/>
    </row>
    <row r="50" spans="7:7">
      <c r="G50" s="6"/>
    </row>
    <row r="51" spans="7:7">
      <c r="G51"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7649" r:id="rId3" name="Button 1">
              <controlPr defaultSize="0" print="0" autoFill="0" autoPict="0" macro="[0]!SS_Proportion">
                <anchor moveWithCells="1" sizeWithCells="1">
                  <from>
                    <xdr:col>1</xdr:col>
                    <xdr:colOff>104775</xdr:colOff>
                    <xdr:row>21</xdr:row>
                    <xdr:rowOff>76200</xdr:rowOff>
                  </from>
                  <to>
                    <xdr:col>2</xdr:col>
                    <xdr:colOff>523875</xdr:colOff>
                    <xdr:row>23</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B1:D61"/>
  <sheetViews>
    <sheetView workbookViewId="0">
      <selection activeCell="C15" sqref="C15"/>
    </sheetView>
  </sheetViews>
  <sheetFormatPr defaultColWidth="9.140625" defaultRowHeight="12.75"/>
  <cols>
    <col min="1" max="1" width="5.140625" style="1" customWidth="1"/>
    <col min="2" max="2" width="10.42578125" style="1" customWidth="1"/>
    <col min="3" max="16384" width="9.140625" style="1"/>
  </cols>
  <sheetData>
    <row r="1" spans="2:4" ht="26.25">
      <c r="B1" s="17" t="s">
        <v>79</v>
      </c>
    </row>
    <row r="3" spans="2:4">
      <c r="B3" s="1" t="s">
        <v>42</v>
      </c>
    </row>
    <row r="4" spans="2:4">
      <c r="B4" s="1" t="s">
        <v>43</v>
      </c>
    </row>
    <row r="5" spans="2:4">
      <c r="B5" s="1" t="s">
        <v>44</v>
      </c>
    </row>
    <row r="13" spans="2:4">
      <c r="B13" s="1" t="s">
        <v>45</v>
      </c>
    </row>
    <row r="14" spans="2:4" ht="13.5" thickBot="1"/>
    <row r="15" spans="2:4" ht="15" thickBot="1">
      <c r="B15" s="8" t="s">
        <v>46</v>
      </c>
      <c r="C15" s="3">
        <v>20</v>
      </c>
    </row>
    <row r="16" spans="2:4" ht="13.5" thickBot="1">
      <c r="B16" s="15" t="s">
        <v>12</v>
      </c>
      <c r="C16" s="3">
        <v>3</v>
      </c>
      <c r="D16" s="1" t="s">
        <v>49</v>
      </c>
    </row>
    <row r="17" spans="2:4" ht="13.5" thickBot="1">
      <c r="B17" s="12" t="s">
        <v>47</v>
      </c>
      <c r="C17" s="3">
        <v>0.5</v>
      </c>
      <c r="D17" s="1" t="s">
        <v>48</v>
      </c>
    </row>
    <row r="19" spans="2:4">
      <c r="B19" s="1" t="s">
        <v>50</v>
      </c>
    </row>
    <row r="20" spans="2:4">
      <c r="C20" s="1">
        <f>1-((C16*C17^2)/(1+(C16-1)*C17))</f>
        <v>0.625</v>
      </c>
    </row>
    <row r="22" spans="2:4" ht="14.25">
      <c r="B22" s="8" t="s">
        <v>51</v>
      </c>
      <c r="C22" s="1">
        <f>C15*C20</f>
        <v>12.5</v>
      </c>
    </row>
    <row r="24" spans="2:4">
      <c r="B24" s="9" t="s">
        <v>52</v>
      </c>
    </row>
    <row r="33" spans="2:4" ht="13.5" thickBot="1"/>
    <row r="34" spans="2:4" ht="15" thickBot="1">
      <c r="B34" s="8" t="s">
        <v>46</v>
      </c>
      <c r="C34" s="3">
        <v>20</v>
      </c>
    </row>
    <row r="35" spans="2:4" ht="13.5" thickBot="1">
      <c r="B35" s="15" t="s">
        <v>47</v>
      </c>
      <c r="C35" s="3">
        <v>5</v>
      </c>
      <c r="D35" s="1" t="s">
        <v>53</v>
      </c>
    </row>
    <row r="36" spans="2:4" ht="13.5" thickBot="1">
      <c r="B36" s="12" t="s">
        <v>47</v>
      </c>
      <c r="C36" s="3">
        <v>0.5</v>
      </c>
      <c r="D36" s="1" t="s">
        <v>54</v>
      </c>
    </row>
    <row r="38" spans="2:4">
      <c r="B38" s="1" t="s">
        <v>50</v>
      </c>
    </row>
    <row r="39" spans="2:4">
      <c r="C39" s="1">
        <f>(1+(C35-1)*C36)/C35</f>
        <v>0.6</v>
      </c>
    </row>
    <row r="41" spans="2:4" ht="14.25">
      <c r="B41" s="8" t="s">
        <v>51</v>
      </c>
      <c r="C41" s="1">
        <f>C34*C39</f>
        <v>12</v>
      </c>
    </row>
    <row r="44" spans="2:4">
      <c r="B44" s="9" t="s">
        <v>55</v>
      </c>
    </row>
    <row r="50" spans="2:4" ht="13.5" thickBot="1"/>
    <row r="51" spans="2:4" ht="15" thickBot="1">
      <c r="B51" s="8" t="s">
        <v>46</v>
      </c>
      <c r="C51" s="3">
        <v>20</v>
      </c>
    </row>
    <row r="52" spans="2:4" ht="13.5" thickBot="1">
      <c r="B52" s="15" t="s">
        <v>47</v>
      </c>
      <c r="C52" s="3">
        <v>5</v>
      </c>
      <c r="D52" s="1" t="s">
        <v>53</v>
      </c>
    </row>
    <row r="53" spans="2:4" ht="13.5" thickBot="1">
      <c r="B53" s="12" t="s">
        <v>47</v>
      </c>
      <c r="C53" s="3">
        <v>0.5</v>
      </c>
      <c r="D53" s="1" t="s">
        <v>54</v>
      </c>
    </row>
    <row r="54" spans="2:4" ht="13.5" thickBot="1">
      <c r="B54" s="1" t="s">
        <v>12</v>
      </c>
      <c r="C54" s="3">
        <v>4</v>
      </c>
      <c r="D54" s="1" t="s">
        <v>49</v>
      </c>
    </row>
    <row r="56" spans="2:4">
      <c r="B56" s="1" t="s">
        <v>50</v>
      </c>
    </row>
    <row r="57" spans="2:4">
      <c r="C57" s="1">
        <f>((1+(C52-1)*C53)/C52)-(C54*(C53^2)/(1+(C54-1)*C53))</f>
        <v>0.19999999999999996</v>
      </c>
    </row>
    <row r="59" spans="2:4" ht="14.25">
      <c r="B59" s="8" t="s">
        <v>51</v>
      </c>
      <c r="C59" s="1">
        <f>C51*C57</f>
        <v>3.9999999999999991</v>
      </c>
    </row>
    <row r="61" spans="2:4">
      <c r="B61" s="9" t="s">
        <v>125</v>
      </c>
    </row>
  </sheetData>
  <phoneticPr fontId="4" type="noConversion"/>
  <pageMargins left="0.75" right="0.75" top="1" bottom="1" header="0.5" footer="0.5"/>
  <headerFooter alignWithMargins="0"/>
  <drawing r:id="rId1"/>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B1:G32"/>
  <sheetViews>
    <sheetView workbookViewId="0">
      <selection activeCell="C4" sqref="C4"/>
    </sheetView>
  </sheetViews>
  <sheetFormatPr defaultColWidth="9.140625" defaultRowHeight="12.75"/>
  <cols>
    <col min="1" max="1" width="5.28515625" style="1" customWidth="1"/>
    <col min="2" max="2" width="9.140625" style="1"/>
    <col min="3" max="3" width="10.140625" style="1" customWidth="1"/>
    <col min="4" max="6" width="9.140625" style="1"/>
    <col min="7" max="7" width="9.140625" style="1" customWidth="1"/>
    <col min="8" max="16384" width="9.140625" style="1"/>
  </cols>
  <sheetData>
    <row r="1" spans="2:4" ht="7.5" customHeight="1"/>
    <row r="2" spans="2:4" ht="18.75" customHeight="1">
      <c r="B2" s="20" t="s">
        <v>90</v>
      </c>
    </row>
    <row r="3" spans="2:4" ht="18.75" customHeight="1" thickBot="1">
      <c r="B3" s="21" t="s">
        <v>91</v>
      </c>
    </row>
    <row r="4" spans="2:4">
      <c r="B4" s="1" t="s">
        <v>92</v>
      </c>
      <c r="C4" s="22">
        <v>1.0308417465824675</v>
      </c>
      <c r="D4" s="1" t="s">
        <v>93</v>
      </c>
    </row>
    <row r="5" spans="2:4">
      <c r="B5" s="1" t="s">
        <v>94</v>
      </c>
      <c r="C5" s="23">
        <v>0.92586500000000005</v>
      </c>
      <c r="D5" s="1" t="s">
        <v>95</v>
      </c>
    </row>
    <row r="6" spans="2:4">
      <c r="B6" s="1" t="s">
        <v>96</v>
      </c>
      <c r="C6" s="23">
        <v>1.147721</v>
      </c>
      <c r="D6" s="1" t="s">
        <v>97</v>
      </c>
    </row>
    <row r="7" spans="2:4" ht="13.5" thickBot="1">
      <c r="B7" s="1" t="s">
        <v>98</v>
      </c>
      <c r="C7" s="24">
        <v>100</v>
      </c>
      <c r="D7" s="1" t="s">
        <v>99</v>
      </c>
    </row>
    <row r="8" spans="2:4" ht="13.5" thickBot="1">
      <c r="B8" s="1" t="s">
        <v>100</v>
      </c>
      <c r="C8" s="2">
        <v>0.9</v>
      </c>
    </row>
    <row r="9" spans="2:4">
      <c r="B9" s="1" t="s">
        <v>101</v>
      </c>
      <c r="C9" s="25">
        <f>C7-2</f>
        <v>98</v>
      </c>
    </row>
    <row r="10" spans="2:4">
      <c r="B10" s="1" t="s">
        <v>102</v>
      </c>
      <c r="C10" s="25">
        <f>TINV(1-$C$8,$C$9)</f>
        <v>1.6605512170657302</v>
      </c>
    </row>
    <row r="11" spans="2:4">
      <c r="B11" s="1" t="s">
        <v>103</v>
      </c>
      <c r="C11" s="25">
        <f>(LN($C$4)-LN($C$5))/$C$10</f>
        <v>6.4678849035277458E-2</v>
      </c>
    </row>
    <row r="12" spans="2:4">
      <c r="B12" s="1" t="s">
        <v>104</v>
      </c>
      <c r="C12" s="25">
        <f>(LN($C$6)-LN($C$4))/$C$10</f>
        <v>6.4678847430235303E-2</v>
      </c>
    </row>
    <row r="13" spans="2:4">
      <c r="B13" s="1" t="s">
        <v>105</v>
      </c>
      <c r="C13" s="25">
        <f>(C11^2)*($C$9+2)/2</f>
        <v>0.20916767562641059</v>
      </c>
    </row>
    <row r="14" spans="2:4">
      <c r="B14" s="1" t="s">
        <v>106</v>
      </c>
      <c r="C14" s="25">
        <f>(C12^2)*($C$9+2)/2</f>
        <v>0.20916766524518279</v>
      </c>
    </row>
    <row r="15" spans="2:4">
      <c r="B15" s="1" t="s">
        <v>107</v>
      </c>
      <c r="C15" s="25">
        <f>SQRT(EXP($C$13)-1)*100</f>
        <v>48.233978360024921</v>
      </c>
    </row>
    <row r="16" spans="2:4">
      <c r="B16" s="1" t="s">
        <v>108</v>
      </c>
      <c r="C16" s="25">
        <f>SQRT(EXP($C$14)-1)*100</f>
        <v>48.23397703352871</v>
      </c>
    </row>
    <row r="18" spans="2:7" ht="20.25">
      <c r="B18" s="20" t="s">
        <v>109</v>
      </c>
      <c r="C18" s="26">
        <f>(C15+C16)/2</f>
        <v>48.233977696776819</v>
      </c>
      <c r="D18" s="20" t="s">
        <v>110</v>
      </c>
    </row>
    <row r="19" spans="2:7">
      <c r="G19" s="35"/>
    </row>
    <row r="20" spans="2:7">
      <c r="B20" s="21"/>
    </row>
    <row r="21" spans="2:7">
      <c r="C21" s="10"/>
    </row>
    <row r="22" spans="2:7">
      <c r="C22" s="10"/>
    </row>
    <row r="23" spans="2:7">
      <c r="C23" s="10"/>
    </row>
    <row r="24" spans="2:7">
      <c r="C24" s="10"/>
    </row>
    <row r="25" spans="2:7">
      <c r="C25" s="10"/>
    </row>
    <row r="26" spans="2:7">
      <c r="C26" s="14"/>
    </row>
    <row r="27" spans="2:7">
      <c r="C27" s="25"/>
    </row>
    <row r="28" spans="2:7">
      <c r="C28" s="25"/>
    </row>
    <row r="29" spans="2:7">
      <c r="C29" s="25"/>
    </row>
    <row r="30" spans="2:7">
      <c r="C30" s="25"/>
    </row>
    <row r="32" spans="2:7" ht="20.25">
      <c r="B32" s="20"/>
      <c r="C32" s="27"/>
    </row>
  </sheetData>
  <phoneticPr fontId="0" type="noConversion"/>
  <pageMargins left="0.7" right="0.74803149606299213" top="0.98425196850393704" bottom="0.47244094488188981" header="0.51181102362204722" footer="0.51181102362204722"/>
  <pageSetup orientation="portrait"/>
  <headerFooter alignWithMargins="0">
    <oddHeader>&amp;LAllied Research International Inc.
Mississauga, Canada&amp;RStudy Design</oddHeader>
    <oddFooter>&amp;L&amp;F&amp;R&amp;D - &amp;T</oddFooter>
  </headerFooter>
  <legacy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Intro</vt:lpstr>
      <vt:lpstr>Superiority, Parallel</vt:lpstr>
      <vt:lpstr>Superiority, Crossover</vt:lpstr>
      <vt:lpstr>Equivalence, Parallel</vt:lpstr>
      <vt:lpstr>Equivalence, Crossover</vt:lpstr>
      <vt:lpstr>Non-inferiority, Parallel</vt:lpstr>
      <vt:lpstr>Non-inferiority, Crossover</vt:lpstr>
      <vt:lpstr>Bioequivalence, Parallel</vt:lpstr>
      <vt:lpstr>Bioequivalence, Crossover</vt:lpstr>
      <vt:lpstr>Bioequivalence, Replicate</vt:lpstr>
      <vt:lpstr>Dropouts - 2 rates</vt:lpstr>
      <vt:lpstr>Dropouts - 3 rates</vt:lpstr>
      <vt:lpstr>Scaled BE - HVD</vt:lpstr>
      <vt:lpstr>Given Precision, Parallel</vt:lpstr>
      <vt:lpstr>Given Precision, Crossover</vt:lpstr>
      <vt:lpstr>Difference Between Proportions</vt:lpstr>
      <vt:lpstr>Variance Correction</vt:lpstr>
      <vt:lpstr>ISV</vt:lpstr>
    </vt:vector>
  </TitlesOfParts>
  <Manager>David Dubins</Manager>
  <Company>University of Toronto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FARTSSIE - Free Analysis Research Tool for Sample Size Iterative Estimation</dc:title>
  <dc:subject>Sample Size Estimation for Clinical Trials</dc:subject>
  <dc:creator>David Dubins</dc:creator>
  <cp:keywords>sample size; Clinical Trial; drug submission templates; standard deviation; standard error; statistics</cp:keywords>
  <dc:description>This program is free to use and distribute. Please do not remove my name or this tag information.</dc:description>
  <cp:lastModifiedBy>David Dubins</cp:lastModifiedBy>
  <dcterms:created xsi:type="dcterms:W3CDTF">2007-02-09T04:12:48Z</dcterms:created>
  <dcterms:modified xsi:type="dcterms:W3CDTF">2023-01-26T20:56:42Z</dcterms:modified>
  <cp:category>Sample Size Estimation</cp:category>
</cp:coreProperties>
</file>