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Programs/Excel Programs/"/>
    </mc:Choice>
  </mc:AlternateContent>
  <xr:revisionPtr revIDLastSave="15357" documentId="8_{55DE66DA-FCF7-44A0-A6F8-1743237A19B3}" xr6:coauthVersionLast="46" xr6:coauthVersionMax="46" xr10:uidLastSave="{D29FBFAE-87EB-4173-AA3E-E05E847A9526}"/>
  <bookViews>
    <workbookView xWindow="-120" yWindow="-120" windowWidth="20730" windowHeight="111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13"/>
  <c r="C17" i="12"/>
  <c r="C16" i="11"/>
  <c r="C17" i="7"/>
  <c r="C17" i="14"/>
  <c r="C17" i="8"/>
  <c r="C17" i="1"/>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
  <c r="C17" i="1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<sst xmlns="http://schemas.openxmlformats.org/spreadsheetml/2006/main" count="989" uniqueCount="242">
  <si>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</si>
  <si>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</si>
  <si>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</si>
  <si>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</si>
  <si>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</si>
  <si>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</si>
  <si>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</si>
  <si>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</si>
  <si>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</si>
  <si>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</si>
  <si>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</si>
  <si>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</si>
  <si>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</si>
  <si>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</si>
  <si>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</si>
  <si>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</si>
  <si>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</si>
  <si>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</si>
  <si>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</si>
  <si>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</si>
  <si>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</si>
  <si>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</si>
  <si>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</si>
  <si>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</si>
  <si>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</si>
  <si>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</si>
  <si>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</si>
  <si>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</si>
  <si>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</si>
  <si>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</si>
  <si>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</si>
  <si>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</si>
  <si>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</si>
  <si>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</si>
  <si>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</si>
  <si>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</si>
  <si>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</si>
  <si>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</si>
  <si>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</si>
  <si>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</si>
  <si>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</si>
  <si>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</si>
  <si>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</si>
  <si>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</si>
  <si>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</si>
  <si>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</si>
  <si>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</si>
  <si>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</si>
  <si>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</si>
  <si>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</si>
  <si>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</si>
  <si>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</si>
  <si>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</si>
  <si>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</si>
  <si>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</si>
  <si>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</si>
  <si>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</si>
  <si>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</si>
  <si>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</si>
  <si>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</si>
  <si>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</si>
  <si>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</si>
  <si>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</si>
  <si>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</si>
  <si>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</si>
  <si>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</si>
  <si>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</si>
  <si>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</si>
  <si>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</si>
  <si>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</si>
  <si>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</si>
  <si>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</si>
  <si>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</si>
  <si>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</si>
  <si>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</si>
  <si>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</si>
  <si>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</si>
  <si>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</si>
  <si>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</si>
  <si>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</si>
  <si>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for Sample Size Iterative Estimation</t>
  </si>
  <si>
    <t>Free Analysis Research Tool</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</si>
  <si>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</si>
  <si>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</si>
  <si>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</si>
  <si>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</si>
  <si>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</si>
  <si>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</si>
  <si>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</si>
  <si>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</si>
  <si>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</si>
  <si>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</si>
  <si>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</si>
  <si>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</si>
  <si>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</si>
  <si>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</si>
  <si>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</si>
  <si>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</si>
  <si>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</si>
  <si>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</si>
  <si>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</si>
  <si>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</si>
  <si>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</si>
  <si>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</si>
  <si>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</si>
  <si>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</si>
  <si>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</si>
  <si>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</si>
  <si>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</si>
  <si>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</si>
  <si>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</si>
  <si>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</si>
  <si>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</si>
  <si>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</si>
  <si>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</si>
  <si>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</si>
  <si>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</si>
  <si>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</si>
  <si>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</si>
  <si>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</si>
  <si>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</si>
  <si>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</si>
  <si>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</si>
  <si>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</si>
  <si>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</si>
  <si>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</si>
  <si>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</si>
  <si>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</si>
  <si>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</si>
  <si>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Dave's note:</t>
    </r>
    <r>
      <rPr>
        <sz val="10"/>
        <rFont val="Arial"/>
        <family val="2"/>
      </rPr>
      <t xml:space="preserve"> in industry for BE studies, the tendency is to use a Test/Reference ratio of 1.05 and a power of 80%.</t>
    </r>
  </si>
  <si>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</si>
  <si>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</si>
  <si>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</si>
  <si>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</si>
  <si>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</si>
  <si>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</si>
  <si>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</si>
  <si>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</si>
  <si>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</si>
  <si>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</si>
  <si>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</si>
  <si>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</si>
  <si>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</si>
  <si>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</si>
  <si>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</si>
  <si>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</si>
  <si>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</si>
  <si>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</si>
  <si>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</si>
  <si>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</si>
  <si>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</si>
  <si>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</si>
  <si>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</si>
  <si>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</si>
  <si>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</si>
  <si>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</si>
  <si>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</si>
  <si>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</si>
  <si>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</si>
  <si>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</si>
  <si>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</si>
  <si>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</si>
  <si>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</si>
  <si>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</si>
  <si>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</si>
  <si>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</si>
  <si>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</si>
  <si>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</si>
  <si>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</si>
  <si>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</si>
  <si>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</si>
  <si>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</si>
  <si>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</si>
  <si>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</si>
  <si>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</si>
  <si>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</si>
  <si>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</si>
  <si>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</si>
  <si>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</si>
  <si>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</si>
  <si>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</si>
  <si>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</si>
  <si>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</si>
  <si>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</si>
  <si>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</si>
  <si>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</si>
  <si>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</si>
  <si>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</si>
  <si>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</si>
  <si>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</si>
  <si>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</si>
  <si>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</si>
  <si>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</si>
  <si>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</si>
  <si>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</si>
  <si>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</si>
  <si>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</si>
  <si>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</si>
  <si>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</si>
  <si>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</si>
  <si>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</si>
  <si>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</si>
  <si>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</si>
  <si>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</si>
  <si>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</si>
  <si>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</si>
  <si>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</si>
  <si>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</si>
  <si>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</si>
  <si>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</si>
  <si>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</si>
  <si>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</si>
  <si>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</si>
  <si>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</si>
  <si>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</si>
  <si>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</si>
  <si>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</si>
  <si>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</si>
  <si>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</si>
  <si>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</si>
  <si>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</si>
  <si>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</si>
  <si>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</si>
  <si>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</si>
  <si>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</si>
  <si>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</si>
  <si>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</si>
  <si>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</si>
  <si>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</si>
  <si>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</si>
  <si>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</si>
  <si>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</si>
  <si>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</si>
  <si>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</si>
  <si>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</si>
  <si>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</si>
  <si>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</si>
  <si>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</si>
  <si>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</si>
  <si>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inter-subject CV (ISV)</t>
  </si>
  <si>
    <t>Version 2.7</t>
  </si>
  <si>
    <t>3 period replicate (ABB/BAA)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</si>
</sst>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0.0"/>
    <numFmt numFmtId="167" formatCode="0.00000"/>
    <numFmt numFmtId="168" formatCode="0.00000000000000%"/>
  </numFmts>
  <fonts count="40">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59999389629810485"/>
        <bgColor indexed="64"/>
      </patternFill>
    </fill>
  </fills>
  <borders count="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164" fontId="37" fillId="0" borderId="0" applyFont="0" applyFill="0" applyBorder="0" applyAlignment="0" applyProtection="0"/>
  </cellStyleXfs>
  <cellXfs count="70">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5"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6"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5" fontId="0" fillId="2" borderId="0" xfId="0" applyNumberFormat="1" applyFill="1"/>
    <xf numFmtId="0" fontId="17" fillId="2" borderId="0" xfId="1" applyFill="1" applyAlignment="1" applyProtection="1"/>
    <xf numFmtId="165" fontId="27" fillId="2" borderId="1" xfId="0" applyNumberFormat="1" applyFont="1" applyFill="1" applyBorder="1"/>
    <xf numFmtId="167"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0" fillId="4" borderId="0" xfId="0" applyFill="1"/>
    <xf numFmtId="0" fontId="14" fillId="4" borderId="0" xfId="0" applyFont="1" applyFill="1"/>
    <xf numFmtId="0" fontId="16" fillId="4" borderId="0" xfId="0" applyFont="1" applyFill="1"/>
    <xf numFmtId="0" fontId="5" fillId="4" borderId="0" xfId="0" applyFont="1" applyFill="1"/>
    <xf numFmtId="0" fontId="25" fillId="4" borderId="0" xfId="1" applyFont="1" applyFill="1" applyAlignment="1" applyProtection="1"/>
    <xf numFmtId="0" fontId="24" fillId="4" borderId="0" xfId="0" applyFont="1" applyFill="1"/>
    <xf numFmtId="0" fontId="3" fillId="4" borderId="0" xfId="0" applyFont="1" applyFill="1"/>
    <xf numFmtId="0" fontId="2" fillId="4" borderId="0" xfId="0" applyFont="1" applyFill="1"/>
    <xf numFmtId="0" fontId="26" fillId="4" borderId="0" xfId="1" applyFont="1" applyFill="1" applyAlignment="1" applyProtection="1"/>
    <xf numFmtId="0" fontId="17" fillId="4" borderId="0" xfId="1" applyFill="1" applyAlignment="1" applyProtection="1"/>
    <xf numFmtId="0" fontId="1" fillId="2" borderId="0" xfId="0" applyFont="1" applyFill="1"/>
    <xf numFmtId="0" fontId="1" fillId="4" borderId="0" xfId="0" applyFont="1" applyFill="1"/>
    <xf numFmtId="0" fontId="31" fillId="4" borderId="0" xfId="0" applyFont="1" applyFill="1" applyAlignment="1">
      <alignment horizontal="right" vertical="top"/>
    </xf>
    <xf numFmtId="10" fontId="27" fillId="2" borderId="1" xfId="0" applyNumberFormat="1" applyFont="1" applyFill="1" applyBorder="1"/>
    <xf numFmtId="168"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8" fontId="38" fillId="2" borderId="0" xfId="0" applyNumberFormat="1" applyFont="1" applyFill="1" applyBorder="1"/>
    <xf numFmtId="0" fontId="39" fillId="2" borderId="0" xfId="0" applyFont="1" applyFill="1" applyBorder="1"/>
    <xf numFmtId="165" fontId="38" fillId="2" borderId="0" xfId="0" applyNumberFormat="1" applyFont="1" applyFill="1" applyBorder="1"/>
    <xf numFmtId="0" fontId="2" fillId="4"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13.636363636363637</c:v>
                </c:pt>
                <c:pt idx="2">
                  <c:v>27.272727272727273</c:v>
                </c:pt>
                <c:pt idx="3">
                  <c:v>40.909090909090907</c:v>
                </c:pt>
                <c:pt idx="4">
                  <c:v>54.545454545454547</c:v>
                </c:pt>
                <c:pt idx="5">
                  <c:v>68.181818181818187</c:v>
                </c:pt>
                <c:pt idx="6">
                  <c:v>81.818181818181827</c:v>
                </c:pt>
                <c:pt idx="7">
                  <c:v>95.454545454545467</c:v>
                </c:pt>
                <c:pt idx="8">
                  <c:v>109.09090909090911</c:v>
                </c:pt>
                <c:pt idx="9">
                  <c:v>122.72727272727275</c:v>
                </c:pt>
                <c:pt idx="10">
                  <c:v>136.36363636363637</c:v>
                </c:pt>
                <c:pt idx="11">
                  <c:v>150</c:v>
                </c:pt>
                <c:pt idx="12">
                  <c:v>163.63636363636363</c:v>
                </c:pt>
                <c:pt idx="13">
                  <c:v>177.27272727272725</c:v>
                </c:pt>
                <c:pt idx="14">
                  <c:v>190.90909090909088</c:v>
                </c:pt>
                <c:pt idx="15">
                  <c:v>204.5454545454545</c:v>
                </c:pt>
                <c:pt idx="16">
                  <c:v>218.18181818181813</c:v>
                </c:pt>
                <c:pt idx="17">
                  <c:v>231.81818181818176</c:v>
                </c:pt>
                <c:pt idx="18">
                  <c:v>245.45454545454538</c:v>
                </c:pt>
                <c:pt idx="19">
                  <c:v>259.09090909090901</c:v>
                </c:pt>
                <c:pt idx="20">
                  <c:v>272.72727272727263</c:v>
                </c:pt>
                <c:pt idx="21">
                  <c:v>286.36363636363626</c:v>
                </c:pt>
                <c:pt idx="22">
                  <c:v>299.99999999999989</c:v>
                </c:pt>
                <c:pt idx="23">
                  <c:v>313.63636363636351</c:v>
                </c:pt>
                <c:pt idx="24">
                  <c:v>327.27272727272714</c:v>
                </c:pt>
                <c:pt idx="25">
                  <c:v>340.90909090909076</c:v>
                </c:pt>
                <c:pt idx="26">
                  <c:v>354.54545454545439</c:v>
                </c:pt>
                <c:pt idx="27">
                  <c:v>368.18181818181802</c:v>
                </c:pt>
                <c:pt idx="28">
                  <c:v>381.81818181818164</c:v>
                </c:pt>
                <c:pt idx="29">
                  <c:v>395.45454545454527</c:v>
                </c:pt>
                <c:pt idx="30">
                  <c:v>409.09090909090889</c:v>
                </c:pt>
                <c:pt idx="31">
                  <c:v>422.72727272727252</c:v>
                </c:pt>
                <c:pt idx="32">
                  <c:v>436.36363636363615</c:v>
                </c:pt>
              </c:numCache>
            </c:numRef>
          </c:xVal>
          <c:yVal>
            <c:numRef>
              <c:f>'Equivalence, Parallel'!$V$15:$V$47</c:f>
              <c:numCache>
                <c:formatCode>General</c:formatCode>
                <c:ptCount val="33"/>
                <c:pt idx="0">
                  <c:v>2.6766045152977074E-6</c:v>
                </c:pt>
                <c:pt idx="1">
                  <c:v>7.6773008041889266E-6</c:v>
                </c:pt>
                <c:pt idx="2">
                  <c:v>2.0442312001763379E-5</c:v>
                </c:pt>
                <c:pt idx="3">
                  <c:v>5.0529915562078683E-5</c:v>
                </c:pt>
                <c:pt idx="4">
                  <c:v>1.1594826040966063E-4</c:v>
                </c:pt>
                <c:pt idx="5">
                  <c:v>2.4698865583042232E-4</c:v>
                </c:pt>
                <c:pt idx="6">
                  <c:v>4.8841262400539111E-4</c:v>
                </c:pt>
                <c:pt idx="7">
                  <c:v>8.9658993517185482E-4</c:v>
                </c:pt>
                <c:pt idx="8">
                  <c:v>1.5279105957013359E-3</c:v>
                </c:pt>
                <c:pt idx="9">
                  <c:v>2.4171251134299803E-3</c:v>
                </c:pt>
                <c:pt idx="10">
                  <c:v>3.5497471832925524E-3</c:v>
                </c:pt>
                <c:pt idx="11">
                  <c:v>4.8394144903828673E-3</c:v>
                </c:pt>
                <c:pt idx="12">
                  <c:v>6.124707072762004E-3</c:v>
                </c:pt>
                <c:pt idx="13">
                  <c:v>7.1957311562524644E-3</c:v>
                </c:pt>
                <c:pt idx="14">
                  <c:v>7.8480478138221281E-3</c:v>
                </c:pt>
                <c:pt idx="15">
                  <c:v>7.9459431986348347E-3</c:v>
                </c:pt>
                <c:pt idx="16">
                  <c:v>7.4683794750795797E-3</c:v>
                </c:pt>
                <c:pt idx="17">
                  <c:v>6.5163499887538065E-3</c:v>
                </c:pt>
                <c:pt idx="18">
                  <c:v>5.2781233048746073E-3</c:v>
                </c:pt>
                <c:pt idx="19">
                  <c:v>3.9687319392617123E-3</c:v>
                </c:pt>
                <c:pt idx="20">
                  <c:v>2.7702636624789691E-3</c:v>
                </c:pt>
                <c:pt idx="21">
                  <c:v>1.7950954628264918E-3</c:v>
                </c:pt>
                <c:pt idx="22">
                  <c:v>1.0798193302637659E-3</c:v>
                </c:pt>
                <c:pt idx="23">
                  <c:v>6.0299227833601656E-4</c:v>
                </c:pt>
                <c:pt idx="24">
                  <c:v>3.1258598953711429E-4</c:v>
                </c:pt>
                <c:pt idx="25">
                  <c:v>1.5042650697418773E-4</c:v>
                </c:pt>
                <c:pt idx="26">
                  <c:v>6.7201093196324609E-5</c:v>
                </c:pt>
                <c:pt idx="27">
                  <c:v>2.7869258234469958E-5</c:v>
                </c:pt>
                <c:pt idx="28">
                  <c:v>1.0729304876838009E-5</c:v>
                </c:pt>
                <c:pt idx="29">
                  <c:v>3.8345540796389581E-6</c:v>
                </c:pt>
                <c:pt idx="30">
                  <c:v>1.2721995943926068E-6</c:v>
                </c:pt>
                <c:pt idx="31">
                  <c:v>3.91825542077604E-7</c:v>
                </c:pt>
                <c:pt idx="32">
                  <c:v>1.1202819484543369E-7</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13.636363636363637</c:v>
                </c:pt>
                <c:pt idx="2">
                  <c:v>27.272727272727273</c:v>
                </c:pt>
                <c:pt idx="3">
                  <c:v>40.909090909090907</c:v>
                </c:pt>
                <c:pt idx="4">
                  <c:v>54.545454545454547</c:v>
                </c:pt>
                <c:pt idx="5">
                  <c:v>68.181818181818187</c:v>
                </c:pt>
                <c:pt idx="6">
                  <c:v>81.818181818181827</c:v>
                </c:pt>
                <c:pt idx="7">
                  <c:v>95.454545454545467</c:v>
                </c:pt>
                <c:pt idx="8">
                  <c:v>109.09090909090911</c:v>
                </c:pt>
                <c:pt idx="9">
                  <c:v>122.72727272727275</c:v>
                </c:pt>
                <c:pt idx="10">
                  <c:v>136.36363636363637</c:v>
                </c:pt>
                <c:pt idx="11">
                  <c:v>150</c:v>
                </c:pt>
                <c:pt idx="12">
                  <c:v>163.63636363636363</c:v>
                </c:pt>
                <c:pt idx="13">
                  <c:v>177.27272727272725</c:v>
                </c:pt>
                <c:pt idx="14">
                  <c:v>190.90909090909088</c:v>
                </c:pt>
                <c:pt idx="15">
                  <c:v>204.5454545454545</c:v>
                </c:pt>
                <c:pt idx="16">
                  <c:v>218.18181818181813</c:v>
                </c:pt>
                <c:pt idx="17">
                  <c:v>231.81818181818176</c:v>
                </c:pt>
                <c:pt idx="18">
                  <c:v>245.45454545454538</c:v>
                </c:pt>
                <c:pt idx="19">
                  <c:v>259.09090909090901</c:v>
                </c:pt>
                <c:pt idx="20">
                  <c:v>272.72727272727263</c:v>
                </c:pt>
                <c:pt idx="21">
                  <c:v>286.36363636363626</c:v>
                </c:pt>
                <c:pt idx="22">
                  <c:v>299.99999999999989</c:v>
                </c:pt>
                <c:pt idx="23">
                  <c:v>313.63636363636351</c:v>
                </c:pt>
                <c:pt idx="24">
                  <c:v>327.27272727272714</c:v>
                </c:pt>
                <c:pt idx="25">
                  <c:v>340.90909090909076</c:v>
                </c:pt>
                <c:pt idx="26">
                  <c:v>354.54545454545439</c:v>
                </c:pt>
                <c:pt idx="27">
                  <c:v>368.18181818181802</c:v>
                </c:pt>
                <c:pt idx="28">
                  <c:v>381.81818181818164</c:v>
                </c:pt>
                <c:pt idx="29">
                  <c:v>395.45454545454527</c:v>
                </c:pt>
                <c:pt idx="30">
                  <c:v>409.09090909090889</c:v>
                </c:pt>
                <c:pt idx="31">
                  <c:v>422.72727272727252</c:v>
                </c:pt>
                <c:pt idx="32">
                  <c:v>436.36363636363615</c:v>
                </c:pt>
              </c:numCache>
            </c:numRef>
          </c:xVal>
          <c:yVal>
            <c:numRef>
              <c:f>'Equivalence, Parallel'!$W$15:$W$47</c:f>
              <c:numCache>
                <c:formatCode>General</c:formatCode>
                <c:ptCount val="33"/>
                <c:pt idx="0">
                  <c:v>2.9734390294685954E-8</c:v>
                </c:pt>
                <c:pt idx="1">
                  <c:v>1.1202819484543129E-7</c:v>
                </c:pt>
                <c:pt idx="2">
                  <c:v>3.9182554207759776E-7</c:v>
                </c:pt>
                <c:pt idx="3">
                  <c:v>1.2721995943925888E-6</c:v>
                </c:pt>
                <c:pt idx="4">
                  <c:v>3.8345540796389064E-6</c:v>
                </c:pt>
                <c:pt idx="5">
                  <c:v>1.0729304876837877E-5</c:v>
                </c:pt>
                <c:pt idx="6">
                  <c:v>2.7869258234469612E-5</c:v>
                </c:pt>
                <c:pt idx="7">
                  <c:v>6.7201093196323945E-5</c:v>
                </c:pt>
                <c:pt idx="8">
                  <c:v>1.5042650697418678E-4</c:v>
                </c:pt>
                <c:pt idx="9">
                  <c:v>3.1258598953711245E-4</c:v>
                </c:pt>
                <c:pt idx="10">
                  <c:v>6.0299227833601353E-4</c:v>
                </c:pt>
                <c:pt idx="11">
                  <c:v>1.0798193302637611E-3</c:v>
                </c:pt>
                <c:pt idx="12">
                  <c:v>1.7950954628264844E-3</c:v>
                </c:pt>
                <c:pt idx="13">
                  <c:v>2.7702636624789595E-3</c:v>
                </c:pt>
                <c:pt idx="14">
                  <c:v>3.968731939261701E-3</c:v>
                </c:pt>
                <c:pt idx="15">
                  <c:v>5.2781233048745961E-3</c:v>
                </c:pt>
                <c:pt idx="16">
                  <c:v>6.5163499887537979E-3</c:v>
                </c:pt>
                <c:pt idx="17">
                  <c:v>7.4683794750795727E-3</c:v>
                </c:pt>
                <c:pt idx="18">
                  <c:v>7.9459431986348347E-3</c:v>
                </c:pt>
                <c:pt idx="19">
                  <c:v>7.8480478138221316E-3</c:v>
                </c:pt>
                <c:pt idx="20">
                  <c:v>7.1957311562524722E-3</c:v>
                </c:pt>
                <c:pt idx="21">
                  <c:v>6.1247070727620144E-3</c:v>
                </c:pt>
                <c:pt idx="22">
                  <c:v>4.8394144903828777E-3</c:v>
                </c:pt>
                <c:pt idx="23">
                  <c:v>3.5497471832925628E-3</c:v>
                </c:pt>
                <c:pt idx="24">
                  <c:v>2.4171251134299881E-3</c:v>
                </c:pt>
                <c:pt idx="25">
                  <c:v>1.527910595701343E-3</c:v>
                </c:pt>
                <c:pt idx="26">
                  <c:v>8.9658993517186035E-4</c:v>
                </c:pt>
                <c:pt idx="27">
                  <c:v>4.8841262400539458E-4</c:v>
                </c:pt>
                <c:pt idx="28">
                  <c:v>2.4698865583042465E-4</c:v>
                </c:pt>
                <c:pt idx="29">
                  <c:v>1.1594826040966186E-4</c:v>
                </c:pt>
                <c:pt idx="30">
                  <c:v>5.0529915562079266E-5</c:v>
                </c:pt>
                <c:pt idx="31">
                  <c:v>2.044231200176367E-5</c:v>
                </c:pt>
                <c:pt idx="32">
                  <c:v>7.6773008041890486E-6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7.9459431986348347E-3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7.9459431986348347E-3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200</c:v>
                </c:pt>
                <c:pt idx="1">
                  <c:v>200</c:v>
                </c:pt>
              </c:numCache>
            </c:numRef>
          </c:xVal>
          <c:yVal>
            <c:numRef>
              <c:f>'Equivalence, Parallel'!$AA$24:$AA$25</c:f>
              <c:numCache>
                <c:formatCode>General</c:formatCode>
                <c:ptCount val="2"/>
                <c:pt idx="0">
                  <c:v>0</c:v>
                </c:pt>
                <c:pt idx="1">
                  <c:v>7.9459431986348347E-3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300</c:v>
                </c:pt>
                <c:pt idx="1">
                  <c:v>300</c:v>
                </c:pt>
              </c:numCache>
            </c:numRef>
          </c:xVal>
          <c:yVal>
            <c:numRef>
              <c:f>'Equivalence, Parallel'!$AA$27:$AA$28</c:f>
              <c:numCache>
                <c:formatCode>General</c:formatCode>
                <c:ptCount val="2"/>
                <c:pt idx="0">
                  <c:v>0</c:v>
                </c:pt>
                <c:pt idx="1">
                  <c:v>7.9459431986348347E-3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198.38071000458228</c:v>
                </c:pt>
                <c:pt idx="1">
                  <c:v>198.38071000458228</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201.61929</c:v>
                </c:pt>
                <c:pt idx="1">
                  <c:v>201.61929</c:v>
                </c:pt>
              </c:strCache>
            </c:strRef>
          </c:tx>
          <c:spPr>
            <a:ln>
              <a:solidFill>
                <a:srgbClr val="FFFF00"/>
              </a:solidFill>
            </a:ln>
          </c:spPr>
          <c:marker>
            <c:symbol val="none"/>
          </c:marker>
          <c:xVal>
            <c:numRef>
              <c:f>'Equivalence, Parallel'!$AD$19:$AD$20</c:f>
              <c:numCache>
                <c:formatCode>General</c:formatCode>
                <c:ptCount val="2"/>
                <c:pt idx="0">
                  <c:v>201.61928999541772</c:v>
                </c:pt>
                <c:pt idx="1">
                  <c:v>201.61928999541772</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248.38071000458228</c:v>
                </c:pt>
                <c:pt idx="1">
                  <c:v>248.38071000458228</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251.61928999541772</c:v>
                </c:pt>
                <c:pt idx="1">
                  <c:v>251.61928999541772</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220</c:v>
                </c:pt>
                <c:pt idx="1">
                  <c:v>220</c:v>
                </c:pt>
              </c:numCache>
            </c:numRef>
          </c:xVal>
          <c:yVal>
            <c:numRef>
              <c:f>'Equivalence, Parallel'!$AA$32:$AA$33</c:f>
              <c:numCache>
                <c:formatCode>General</c:formatCode>
                <c:ptCount val="2"/>
                <c:pt idx="0">
                  <c:v>0</c:v>
                </c:pt>
                <c:pt idx="1">
                  <c:v>7.9459431986348347E-3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230</c:v>
                </c:pt>
                <c:pt idx="1">
                  <c:v>230</c:v>
                </c:pt>
              </c:strCache>
            </c:strRef>
          </c:tx>
          <c:spPr>
            <a:ln>
              <a:solidFill>
                <a:srgbClr val="FF0000"/>
              </a:solidFill>
            </a:ln>
          </c:spPr>
          <c:marker>
            <c:symbol val="none"/>
          </c:marker>
          <c:xVal>
            <c:numRef>
              <c:f>'Equivalence, Parallel'!$Z$35:$Z$36</c:f>
              <c:numCache>
                <c:formatCode>General</c:formatCode>
                <c:ptCount val="2"/>
                <c:pt idx="0">
                  <c:v>230</c:v>
                </c:pt>
                <c:pt idx="1">
                  <c:v>230</c:v>
                </c:pt>
              </c:numCache>
            </c:numRef>
          </c:xVal>
          <c:yVal>
            <c:numRef>
              <c:f>'Equivalence, Parallel'!$AA$35:$AA$36</c:f>
              <c:numCache>
                <c:formatCode>General</c:formatCode>
                <c:ptCount val="2"/>
                <c:pt idx="0">
                  <c:v>0</c:v>
                </c:pt>
                <c:pt idx="1">
                  <c:v>7.9459431986348347E-3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Parallel'!$V$15:$V$47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0.70377932293076018</c:v>
                </c:pt>
                <c:pt idx="1">
                  <c:v>0.70377932293076018</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1.1962206770692396</c:v>
                </c:pt>
                <c:pt idx="1">
                  <c:v>1.1962206770692396</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0.92707663373906846</c:v>
                </c:pt>
                <c:pt idx="1">
                  <c:v>0.92707663373906846</c:v>
                </c:pt>
              </c:numCache>
            </c:numRef>
          </c:xVal>
          <c:yVal>
            <c:numRef>
              <c:f>'Bioequivalence, Parallel'!$AE$16:$AE$17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0.97292336626093145</c:v>
                </c:pt>
                <c:pt idx="1">
                  <c:v>0.97292336626093145</c:v>
                </c:pt>
              </c:numCache>
            </c:numRef>
          </c:xVal>
          <c:yVal>
            <c:numRef>
              <c:f>'Bioequivalence, Parallel'!$AE$19:$AE$20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0.88348319192372515</c:v>
                </c:pt>
                <c:pt idx="1">
                  <c:v>0.88348319192372515</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1.0165168080762748</c:v>
                </c:pt>
                <c:pt idx="1">
                  <c:v>1.0165168080762748</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4.emf"/><Relationship Id="rId6" Type="http://schemas.openxmlformats.org/officeDocument/2006/relationships/chart" Target="../charts/chart8.xml"/><Relationship Id="rId5" Type="http://schemas.openxmlformats.org/officeDocument/2006/relationships/image" Target="../media/image36.emf"/><Relationship Id="rId4" Type="http://schemas.openxmlformats.org/officeDocument/2006/relationships/image" Target="../media/image35.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2.emf"/><Relationship Id="rId7" Type="http://schemas.openxmlformats.org/officeDocument/2006/relationships/image" Target="../media/image39.emf"/><Relationship Id="rId2" Type="http://schemas.openxmlformats.org/officeDocument/2006/relationships/image" Target="../media/image29.emf"/><Relationship Id="rId1" Type="http://schemas.openxmlformats.org/officeDocument/2006/relationships/image" Target="../media/image34.emf"/><Relationship Id="rId6" Type="http://schemas.openxmlformats.org/officeDocument/2006/relationships/image" Target="../media/image38.emf"/><Relationship Id="rId5" Type="http://schemas.openxmlformats.org/officeDocument/2006/relationships/image" Target="../media/image37.emf"/><Relationship Id="rId4" Type="http://schemas.openxmlformats.org/officeDocument/2006/relationships/chart" Target="../charts/chart9.xml"/><Relationship Id="rId9" Type="http://schemas.openxmlformats.org/officeDocument/2006/relationships/image" Target="../media/image41.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0.emf"/><Relationship Id="rId13" Type="http://schemas.openxmlformats.org/officeDocument/2006/relationships/image" Target="../media/image55.emf"/><Relationship Id="rId3" Type="http://schemas.openxmlformats.org/officeDocument/2006/relationships/image" Target="../media/image45.emf"/><Relationship Id="rId7" Type="http://schemas.openxmlformats.org/officeDocument/2006/relationships/image" Target="../media/image49.emf"/><Relationship Id="rId12" Type="http://schemas.openxmlformats.org/officeDocument/2006/relationships/image" Target="../media/image54.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11" Type="http://schemas.openxmlformats.org/officeDocument/2006/relationships/image" Target="../media/image53.emf"/><Relationship Id="rId5" Type="http://schemas.openxmlformats.org/officeDocument/2006/relationships/image" Target="../media/image47.emf"/><Relationship Id="rId10" Type="http://schemas.openxmlformats.org/officeDocument/2006/relationships/image" Target="../media/image52.emf"/><Relationship Id="rId4" Type="http://schemas.openxmlformats.org/officeDocument/2006/relationships/image" Target="../media/image46.emf"/><Relationship Id="rId9" Type="http://schemas.openxmlformats.org/officeDocument/2006/relationships/image" Target="../media/image51.emf"/></Relationships>
</file>

<file path=xl/drawings/_rels/drawing12.x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7.emf"/><Relationship Id="rId1" Type="http://schemas.openxmlformats.org/officeDocument/2006/relationships/image" Target="../media/image56.emf"/><Relationship Id="rId4" Type="http://schemas.openxmlformats.org/officeDocument/2006/relationships/image" Target="../media/image59.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4.png"/><Relationship Id="rId2" Type="http://schemas.openxmlformats.org/officeDocument/2006/relationships/image" Target="../media/image63.png"/><Relationship Id="rId1" Type="http://schemas.openxmlformats.org/officeDocument/2006/relationships/image" Target="../media/image62.png"/><Relationship Id="rId5" Type="http://schemas.openxmlformats.org/officeDocument/2006/relationships/image" Target="../media/image66.emf"/><Relationship Id="rId4" Type="http://schemas.openxmlformats.org/officeDocument/2006/relationships/image" Target="../media/image6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68580</xdr:rowOff>
    </xdr:from>
    <xdr:to>
      <xdr:col>1</xdr:col>
      <xdr:colOff>662940</xdr:colOff>
      <xdr:row>3</xdr:row>
      <xdr:rowOff>38100</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236220"/>
          <a:ext cx="662940" cy="487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http://individual.utoronto.ca/ddubins</a:t>
          </a:r>
        </a:p>
        <a:p>
          <a:pPr algn="l" rtl="1">
            <a:defRPr sz="1000"/>
          </a:pP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9525</xdr:rowOff>
        </xdr:from>
        <xdr:to>
          <xdr:col>13</xdr:col>
          <xdr:colOff>19050</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57150</xdr:rowOff>
        </xdr:from>
        <xdr:to>
          <xdr:col>12</xdr:col>
          <xdr:colOff>314325</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95250</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29</xdr:row>
      <xdr:rowOff>47626</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98672"/>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57150</xdr:rowOff>
        </xdr:from>
        <xdr:to>
          <xdr:col>11</xdr:col>
          <xdr:colOff>504825</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95250</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123825</xdr:rowOff>
        </xdr:from>
        <xdr:to>
          <xdr:col>11</xdr:col>
          <xdr:colOff>485775</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485775</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4" Type="http://schemas.openxmlformats.org/officeDocument/2006/relationships/hyperlink" Target="http://www.fda.gov/ohrms/dockets/ac/06/slides/2006-4241s2_3.ppt"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2.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4"/>
  <sheetViews>
    <sheetView tabSelected="1" zoomScale="154" zoomScaleNormal="154" workbookViewId="0">
      <selection activeCell="C9" sqref="C9"/>
    </sheetView>
  </sheetViews>
  <sheetFormatPr defaultColWidth="9.140625" defaultRowHeight="12.75"/>
  <cols>
    <col min="1" max="1" width="5.140625" style="44" customWidth="1"/>
    <col min="2" max="2" width="10.42578125" style="44" customWidth="1"/>
    <col min="3" max="16384" width="9.140625" style="44"/>
  </cols>
  <sheetData>
    <row r="2" spans="2:9" ht="20.25">
      <c r="C2" s="45" t="s">
        <v>81</v>
      </c>
      <c r="I2" s="56" t="s">
        <v>240</v>
      </c>
    </row>
    <row r="3" spans="2:9" ht="20.25">
      <c r="C3" s="45" t="s">
        <v>80</v>
      </c>
    </row>
    <row r="4" spans="2:9">
      <c r="B4" s="46" t="s">
        <v>82</v>
      </c>
    </row>
    <row r="6" spans="2:9">
      <c r="B6" s="55" t="s">
        <v>236</v>
      </c>
    </row>
    <row r="8" spans="2:9">
      <c r="B8" s="47"/>
    </row>
    <row r="9" spans="2:9">
      <c r="B9" s="48"/>
    </row>
    <row r="10" spans="2:9">
      <c r="B10" s="49"/>
    </row>
    <row r="11" spans="2:9">
      <c r="B11" s="49"/>
    </row>
    <row r="12" spans="2:9">
      <c r="B12" s="49"/>
    </row>
    <row r="28" spans="2:9">
      <c r="B28" s="50" t="s">
        <v>91</v>
      </c>
    </row>
    <row r="29" spans="2:9">
      <c r="B29" s="51" t="s">
        <v>199</v>
      </c>
    </row>
    <row r="30" spans="2:9" ht="22.5" customHeight="1">
      <c r="B30" s="69" t="s">
        <v>133</v>
      </c>
      <c r="C30" s="69"/>
      <c r="D30" s="69"/>
      <c r="E30" s="69"/>
      <c r="F30" s="69"/>
      <c r="G30" s="69"/>
      <c r="H30" s="69"/>
      <c r="I30" s="69"/>
    </row>
    <row r="31" spans="2:9">
      <c r="B31" s="52" t="s">
        <v>147</v>
      </c>
    </row>
    <row r="32" spans="2:9">
      <c r="B32" s="52" t="s">
        <v>150</v>
      </c>
    </row>
    <row r="33" spans="2:2">
      <c r="B33" s="52" t="s">
        <v>140</v>
      </c>
    </row>
    <row r="34" spans="2:2">
      <c r="B34" s="52" t="s">
        <v>139</v>
      </c>
    </row>
    <row r="35" spans="2:2">
      <c r="B35" s="52" t="s">
        <v>144</v>
      </c>
    </row>
    <row r="36" spans="2:2">
      <c r="B36" s="52" t="s">
        <v>181</v>
      </c>
    </row>
    <row r="37" spans="2:2">
      <c r="B37" s="52" t="s">
        <v>202</v>
      </c>
    </row>
    <row r="38" spans="2:2">
      <c r="B38" s="53"/>
    </row>
    <row r="39" spans="2:2">
      <c r="B39" s="51" t="s">
        <v>204</v>
      </c>
    </row>
    <row r="40" spans="2:2">
      <c r="B40" s="51" t="s">
        <v>205</v>
      </c>
    </row>
    <row r="41" spans="2:2">
      <c r="B41" s="51" t="s">
        <v>206</v>
      </c>
    </row>
    <row r="42" spans="2:2">
      <c r="B42" s="51" t="s">
        <v>134</v>
      </c>
    </row>
    <row r="43" spans="2:2">
      <c r="B43" s="51" t="s">
        <v>207</v>
      </c>
    </row>
    <row r="44" spans="2:2">
      <c r="B44" s="52" t="s">
        <v>198</v>
      </c>
    </row>
  </sheetData>
  <mergeCells count="1">
    <mergeCell ref="B30:I30"/>
  </mergeCells>
  <phoneticPr fontId="2" type="noConversion"/>
  <hyperlinks>
    <hyperlink ref="B44"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s>
  <pageMargins left="0.75" right="0.75" top="1" bottom="1" header="0.5" footer="0.5"/>
  <pageSetup orientation="portrait" horizontalDpi="4294967293"/>
  <headerFooter alignWithMargins="0"/>
  <drawing r:id="rId9"/>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64"/>
    <col min="22" max="23" width="12.28515625" style="64" bestFit="1" customWidth="1"/>
    <col min="24" max="30" width="9.140625" style="64"/>
    <col min="31" max="32" width="9.140625" style="63"/>
    <col min="33" max="16384" width="9.140625" style="1"/>
  </cols>
  <sheetData>
    <row r="1" spans="2:31" ht="27" thickBot="1">
      <c r="B1" s="17" t="s">
        <v>68</v>
      </c>
      <c r="E1" s="9" t="s">
        <v>124</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64" t="s">
        <v>56</v>
      </c>
    </row>
    <row r="6" spans="2:31" ht="16.5" thickBot="1">
      <c r="B6" s="1" t="s">
        <v>17</v>
      </c>
      <c r="C6" s="3">
        <v>8</v>
      </c>
      <c r="D6" s="1" t="s">
        <v>24</v>
      </c>
      <c r="U6" s="64">
        <v>2</v>
      </c>
    </row>
    <row r="7" spans="2:31" ht="13.5" thickBot="1">
      <c r="C7" s="4"/>
    </row>
    <row r="8" spans="2:31" ht="13.5" thickBot="1">
      <c r="B8" s="12" t="s">
        <v>120</v>
      </c>
      <c r="C8" s="11">
        <f>C6/C5</f>
        <v>0.2</v>
      </c>
    </row>
    <row r="10" spans="2:31">
      <c r="B10" s="8" t="s">
        <v>18</v>
      </c>
      <c r="C10" s="1">
        <f>C5</f>
        <v>40</v>
      </c>
      <c r="V10" s="64" t="s">
        <v>215</v>
      </c>
      <c r="W10" s="64" t="s">
        <v>213</v>
      </c>
      <c r="X10" s="64" t="s">
        <v>216</v>
      </c>
      <c r="Y10" s="64" t="s">
        <v>214</v>
      </c>
      <c r="AA10" s="64" t="s">
        <v>227</v>
      </c>
      <c r="AB10" s="64" t="s">
        <v>228</v>
      </c>
    </row>
    <row r="11" spans="2:31" ht="15.75">
      <c r="B11" s="1" t="s">
        <v>60</v>
      </c>
      <c r="C11" s="7">
        <v>527</v>
      </c>
      <c r="U11" s="64" t="s">
        <v>209</v>
      </c>
      <c r="V11" s="67">
        <f>4*C5</f>
        <v>160</v>
      </c>
      <c r="W11" s="64">
        <f>$C$5</f>
        <v>40</v>
      </c>
      <c r="X11" s="64">
        <f>W11/SQRT(C20)</f>
        <v>1.7424273674761284</v>
      </c>
      <c r="Y11" s="64">
        <f>TINV($C$4*2,$C$20-1)*X11</f>
        <v>2.8710945679140898</v>
      </c>
      <c r="AA11" s="64">
        <f>V12+4*W12</f>
        <v>328</v>
      </c>
      <c r="AB11" s="64">
        <f>AA11/33</f>
        <v>9.9393939393939394</v>
      </c>
    </row>
    <row r="12" spans="2:31" ht="15.75">
      <c r="B12" s="1" t="s">
        <v>61</v>
      </c>
      <c r="C12" s="1">
        <f>C11*(C3+1)-2</f>
        <v>1052</v>
      </c>
      <c r="U12" s="64" t="s">
        <v>210</v>
      </c>
      <c r="V12" s="67">
        <f>V11+C6</f>
        <v>168</v>
      </c>
      <c r="W12" s="64">
        <f>$C$5</f>
        <v>40</v>
      </c>
      <c r="X12" s="64">
        <f>W12/SQRT(D20)</f>
        <v>1.7424273674761284</v>
      </c>
      <c r="Y12" s="64">
        <f>TINV($C$4*2,$D$20-1)*X12</f>
        <v>2.8710945679140898</v>
      </c>
    </row>
    <row r="13" spans="2:31" ht="15.75">
      <c r="B13" s="1" t="s">
        <v>62</v>
      </c>
      <c r="C13" s="1">
        <f>TINV(C4,C12)</f>
        <v>1.9622215477763136</v>
      </c>
      <c r="Y13" s="64" t="b">
        <v>1</v>
      </c>
      <c r="AC13" s="64" t="b">
        <v>0</v>
      </c>
    </row>
    <row r="14" spans="2:31">
      <c r="B14" s="1" t="s">
        <v>4</v>
      </c>
      <c r="C14" s="1">
        <f>SQRT((C3*C11*C6^2)/((C3+1)*C10^2))</f>
        <v>3.246536616149585</v>
      </c>
      <c r="U14" s="64" t="s">
        <v>208</v>
      </c>
      <c r="V14" s="64" t="s">
        <v>211</v>
      </c>
      <c r="W14" s="64" t="s">
        <v>212</v>
      </c>
      <c r="Y14" s="67" t="s">
        <v>223</v>
      </c>
      <c r="AC14" s="67" t="s">
        <v>225</v>
      </c>
    </row>
    <row r="15" spans="2:31">
      <c r="U15" s="64">
        <v>0</v>
      </c>
      <c r="V15" s="64">
        <f>_xlfn.NORM.DIST($U15,$V$11,$C$5,FALSE)</f>
        <v>3.3457556441221339E-6</v>
      </c>
      <c r="W15" s="64">
        <f>_xlfn.NORM.DIST($U15,$V$12,$C$5,FALSE)</f>
        <v>1.4735766939134965E-6</v>
      </c>
      <c r="Y15" s="64" t="s">
        <v>220</v>
      </c>
      <c r="Z15" s="64" t="s">
        <v>217</v>
      </c>
      <c r="AA15" s="64" t="s">
        <v>218</v>
      </c>
      <c r="AC15" s="64" t="s">
        <v>220</v>
      </c>
      <c r="AD15" s="64" t="s">
        <v>217</v>
      </c>
      <c r="AE15" s="63" t="s">
        <v>218</v>
      </c>
    </row>
    <row r="16" spans="2:31">
      <c r="U16" s="64">
        <f>U15+$AB$11</f>
        <v>9.9393939393939394</v>
      </c>
      <c r="V16" s="64">
        <f t="shared" ref="V16:V47" si="0">_xlfn.NORM.DIST($U16,$V$11,$C$5,FALSE)</f>
        <v>8.7649394011783917E-6</v>
      </c>
      <c r="W16" s="64">
        <f t="shared" ref="W16:W47" si="1">_xlfn.NORM.DIST($U16,$V$12,$C$5,FALSE)</f>
        <v>4.0570518897450162E-6</v>
      </c>
      <c r="Y16" s="64" t="s">
        <v>219</v>
      </c>
      <c r="Z16" s="64">
        <f>$V$11-$W$11</f>
        <v>120</v>
      </c>
      <c r="AA16" s="64">
        <v>0</v>
      </c>
      <c r="AC16" s="64" t="s">
        <v>219</v>
      </c>
      <c r="AD16" s="64">
        <f>$V$11-$Y$11</f>
        <v>157.1289054320859</v>
      </c>
      <c r="AE16" s="63">
        <v>0</v>
      </c>
    </row>
    <row r="17" spans="2:31">
      <c r="B17" s="1" t="s">
        <v>6</v>
      </c>
      <c r="C17" s="1">
        <f>NCt(C13,C12,C14)</f>
        <v>9.9639668978869542E-2</v>
      </c>
      <c r="U17" s="64">
        <f t="shared" ref="U17:U47" si="2">U16+$AB$11</f>
        <v>19.878787878787879</v>
      </c>
      <c r="V17" s="64">
        <f t="shared" si="0"/>
        <v>2.1586797882267536E-5</v>
      </c>
      <c r="W17" s="64">
        <f t="shared" si="1"/>
        <v>1.0501056362603924E-5</v>
      </c>
      <c r="Y17" s="64" t="s">
        <v>221</v>
      </c>
      <c r="Z17" s="64">
        <f>Z16</f>
        <v>120</v>
      </c>
      <c r="AA17" s="64">
        <f>IF(Y13,MAX($V$15:$V$47),0)</f>
        <v>9.9706267351264838E-3</v>
      </c>
      <c r="AC17" s="64" t="s">
        <v>221</v>
      </c>
      <c r="AD17" s="64">
        <f>AD16</f>
        <v>157.1289054320859</v>
      </c>
      <c r="AE17" s="63">
        <f>IF(AC13,MAX($V$15:$V$47),0)</f>
        <v>0</v>
      </c>
    </row>
    <row r="18" spans="2:31">
      <c r="B18" s="1" t="s">
        <v>58</v>
      </c>
      <c r="C18" s="1">
        <f>1-C17</f>
        <v>0.90036033102113044</v>
      </c>
      <c r="E18" s="5"/>
      <c r="U18" s="64">
        <f t="shared" si="2"/>
        <v>29.81818181818182</v>
      </c>
      <c r="V18" s="64">
        <f t="shared" si="0"/>
        <v>4.9981828671086098E-5</v>
      </c>
      <c r="W18" s="64">
        <f t="shared" si="1"/>
        <v>2.5552890002204227E-5</v>
      </c>
      <c r="Y18" s="64" t="s">
        <v>222</v>
      </c>
      <c r="Z18" s="64" t="s">
        <v>217</v>
      </c>
      <c r="AA18" s="64" t="s">
        <v>218</v>
      </c>
      <c r="AC18" s="64" t="s">
        <v>222</v>
      </c>
      <c r="AD18" s="64" t="s">
        <v>217</v>
      </c>
      <c r="AE18" s="63" t="s">
        <v>218</v>
      </c>
    </row>
    <row r="19" spans="2:31" ht="14.25">
      <c r="C19" s="16" t="s">
        <v>63</v>
      </c>
      <c r="D19" s="16" t="s">
        <v>64</v>
      </c>
      <c r="E19" s="16" t="s">
        <v>66</v>
      </c>
      <c r="U19" s="64">
        <f t="shared" si="2"/>
        <v>39.757575757575758</v>
      </c>
      <c r="V19" s="64">
        <f t="shared" si="0"/>
        <v>1.0879793853904708E-4</v>
      </c>
      <c r="W19" s="64">
        <f t="shared" si="1"/>
        <v>5.8456346720510549E-5</v>
      </c>
      <c r="Y19" s="64" t="s">
        <v>219</v>
      </c>
      <c r="Z19" s="64">
        <f>$V$11+$W$11</f>
        <v>200</v>
      </c>
      <c r="AA19" s="64">
        <v>0</v>
      </c>
      <c r="AC19" s="64" t="s">
        <v>219</v>
      </c>
      <c r="AD19" s="64">
        <f>$V$11+$Y$11</f>
        <v>162.8710945679141</v>
      </c>
      <c r="AE19" s="63">
        <v>0</v>
      </c>
    </row>
    <row r="20" spans="2:31">
      <c r="B20" s="1" t="s">
        <v>11</v>
      </c>
      <c r="C20" s="1">
        <f>CEILING(C11,1)</f>
        <v>527</v>
      </c>
      <c r="D20" s="1">
        <f>C20*C3</f>
        <v>527</v>
      </c>
      <c r="E20" s="1">
        <f>C20+D20</f>
        <v>1054</v>
      </c>
      <c r="U20" s="64">
        <f t="shared" si="2"/>
        <v>49.696969696969695</v>
      </c>
      <c r="V20" s="64">
        <f t="shared" si="0"/>
        <v>2.2264543783540088E-4</v>
      </c>
      <c r="W20" s="64">
        <f t="shared" si="1"/>
        <v>1.2572102811928031E-4</v>
      </c>
      <c r="Y20" s="64" t="s">
        <v>221</v>
      </c>
      <c r="Z20" s="64">
        <f>Z19</f>
        <v>200</v>
      </c>
      <c r="AA20" s="64">
        <f>AA17</f>
        <v>9.9706267351264838E-3</v>
      </c>
      <c r="AC20" s="64" t="s">
        <v>221</v>
      </c>
      <c r="AD20" s="64">
        <f>AD19</f>
        <v>162.8710945679141</v>
      </c>
      <c r="AE20" s="63">
        <f>AE17</f>
        <v>0</v>
      </c>
    </row>
    <row r="21" spans="2:31">
      <c r="U21" s="64">
        <f t="shared" si="2"/>
        <v>59.636363636363633</v>
      </c>
      <c r="V21" s="64">
        <f t="shared" si="0"/>
        <v>4.2834287111349645E-4</v>
      </c>
      <c r="W21" s="64">
        <f t="shared" si="1"/>
        <v>2.5419604341562314E-4</v>
      </c>
    </row>
    <row r="22" spans="2:31">
      <c r="U22" s="64">
        <f t="shared" si="2"/>
        <v>69.575757575757578</v>
      </c>
      <c r="V22" s="64">
        <f t="shared" si="0"/>
        <v>7.7473628189698312E-4</v>
      </c>
      <c r="W22" s="64">
        <f t="shared" si="1"/>
        <v>4.8318590587977155E-4</v>
      </c>
      <c r="Y22" s="67" t="s">
        <v>224</v>
      </c>
      <c r="AC22" s="67" t="s">
        <v>226</v>
      </c>
    </row>
    <row r="23" spans="2:31">
      <c r="U23" s="64">
        <f t="shared" si="2"/>
        <v>79.515151515151516</v>
      </c>
      <c r="V23" s="64">
        <f t="shared" si="0"/>
        <v>1.3173490285471054E-3</v>
      </c>
      <c r="W23" s="64">
        <f t="shared" si="1"/>
        <v>8.6346420391826431E-4</v>
      </c>
      <c r="Y23" s="64" t="s">
        <v>220</v>
      </c>
      <c r="Z23" s="64" t="s">
        <v>217</v>
      </c>
      <c r="AA23" s="64" t="s">
        <v>218</v>
      </c>
      <c r="AC23" s="64" t="s">
        <v>220</v>
      </c>
      <c r="AD23" s="64" t="s">
        <v>217</v>
      </c>
      <c r="AE23" s="63" t="s">
        <v>218</v>
      </c>
    </row>
    <row r="24" spans="2:31">
      <c r="U24" s="64">
        <f t="shared" si="2"/>
        <v>89.454545454545453</v>
      </c>
      <c r="V24" s="64">
        <f t="shared" si="0"/>
        <v>2.1058742047565713E-3</v>
      </c>
      <c r="W24" s="64">
        <f t="shared" si="1"/>
        <v>1.4506379241390895E-3</v>
      </c>
      <c r="Y24" s="64" t="s">
        <v>219</v>
      </c>
      <c r="Z24" s="64">
        <f>$V$12-$W$12</f>
        <v>128</v>
      </c>
      <c r="AA24" s="64">
        <v>0</v>
      </c>
      <c r="AC24" s="64" t="s">
        <v>219</v>
      </c>
      <c r="AD24" s="64">
        <f>$V$12-$Y$12</f>
        <v>165.1289054320859</v>
      </c>
      <c r="AE24" s="63">
        <v>0</v>
      </c>
    </row>
    <row r="25" spans="2:31" ht="20.25" customHeight="1">
      <c r="B25" s="54" t="s">
        <v>232</v>
      </c>
      <c r="C25" s="1">
        <f>16*C5^2/C6^2</f>
        <v>400</v>
      </c>
      <c r="D25" s="54" t="s">
        <v>233</v>
      </c>
      <c r="U25" s="64">
        <f t="shared" si="2"/>
        <v>99.393939393939391</v>
      </c>
      <c r="V25" s="64">
        <f t="shared" si="0"/>
        <v>3.164817002251043E-3</v>
      </c>
      <c r="W25" s="64">
        <f t="shared" si="1"/>
        <v>2.2911753328812823E-3</v>
      </c>
      <c r="Y25" s="64" t="s">
        <v>221</v>
      </c>
      <c r="Z25" s="64">
        <f>Z24</f>
        <v>128</v>
      </c>
      <c r="AA25" s="64">
        <f>IF(Y13,MAX($W$15:$W$47),0)</f>
        <v>9.9706267351264838E-3</v>
      </c>
      <c r="AC25" s="64" t="s">
        <v>221</v>
      </c>
      <c r="AD25" s="64">
        <f>AD24</f>
        <v>165.1289054320859</v>
      </c>
      <c r="AE25" s="63">
        <f>IF(AC13,MAX($W$15:$W$47),0)</f>
        <v>0</v>
      </c>
    </row>
    <row r="26" spans="2:31">
      <c r="U26" s="64">
        <f t="shared" si="2"/>
        <v>109.33333333333333</v>
      </c>
      <c r="V26" s="64">
        <f t="shared" si="0"/>
        <v>4.4714604123635123E-3</v>
      </c>
      <c r="W26" s="64">
        <f t="shared" si="1"/>
        <v>3.4020620603069508E-3</v>
      </c>
      <c r="Y26" s="64" t="s">
        <v>222</v>
      </c>
      <c r="Z26" s="64" t="s">
        <v>217</v>
      </c>
      <c r="AA26" s="64" t="s">
        <v>218</v>
      </c>
      <c r="AC26" s="64" t="s">
        <v>222</v>
      </c>
      <c r="AD26" s="64" t="s">
        <v>217</v>
      </c>
      <c r="AE26" s="63" t="s">
        <v>218</v>
      </c>
    </row>
    <row r="27" spans="2:31">
      <c r="U27" s="64">
        <f t="shared" si="2"/>
        <v>119.27272727272727</v>
      </c>
      <c r="V27" s="64">
        <f t="shared" si="0"/>
        <v>5.9392934840752573E-3</v>
      </c>
      <c r="W27" s="64">
        <f t="shared" si="1"/>
        <v>4.749093798530557E-3</v>
      </c>
      <c r="Y27" s="64" t="s">
        <v>219</v>
      </c>
      <c r="Z27" s="64">
        <f>$V$12+$W$12</f>
        <v>208</v>
      </c>
      <c r="AA27" s="64">
        <v>0</v>
      </c>
      <c r="AC27" s="64" t="s">
        <v>219</v>
      </c>
      <c r="AD27" s="64">
        <f>$V$12+$Y$12</f>
        <v>170.8710945679141</v>
      </c>
      <c r="AE27" s="63">
        <v>0</v>
      </c>
    </row>
    <row r="28" spans="2:31">
      <c r="U28" s="64">
        <f t="shared" si="2"/>
        <v>129.21212121212122</v>
      </c>
      <c r="V28" s="64">
        <f t="shared" si="0"/>
        <v>7.4165988722577278E-3</v>
      </c>
      <c r="W28" s="64">
        <f t="shared" si="1"/>
        <v>6.2325227407400525E-3</v>
      </c>
      <c r="Y28" s="64" t="s">
        <v>221</v>
      </c>
      <c r="Z28" s="64">
        <f>Z27</f>
        <v>208</v>
      </c>
      <c r="AA28" s="64">
        <f>AA25</f>
        <v>9.9706267351264838E-3</v>
      </c>
      <c r="AC28" s="64" t="s">
        <v>221</v>
      </c>
      <c r="AD28" s="64">
        <f>AD27</f>
        <v>170.8710945679141</v>
      </c>
      <c r="AE28" s="63">
        <f>AE25</f>
        <v>0</v>
      </c>
    </row>
    <row r="29" spans="2:31">
      <c r="U29" s="64">
        <f t="shared" si="2"/>
        <v>139.15151515151516</v>
      </c>
      <c r="V29" s="64">
        <f t="shared" si="0"/>
        <v>8.7068167558675656E-3</v>
      </c>
      <c r="W29" s="64">
        <f t="shared" si="1"/>
        <v>7.6895620381677134E-3</v>
      </c>
      <c r="Y29" s="64" t="b">
        <v>1</v>
      </c>
    </row>
    <row r="30" spans="2:31">
      <c r="U30" s="64">
        <f t="shared" si="2"/>
        <v>149.09090909090909</v>
      </c>
      <c r="V30" s="64">
        <f t="shared" si="0"/>
        <v>9.6094521114314744E-3</v>
      </c>
      <c r="W30" s="64">
        <f t="shared" si="1"/>
        <v>8.9191598458717939E-3</v>
      </c>
      <c r="Y30" s="67" t="s">
        <v>229</v>
      </c>
    </row>
    <row r="31" spans="2:31">
      <c r="U31" s="64">
        <f t="shared" si="2"/>
        <v>159.03030303030303</v>
      </c>
      <c r="V31" s="64">
        <f t="shared" si="0"/>
        <v>9.9706267351264838E-3</v>
      </c>
      <c r="W31" s="64">
        <f t="shared" si="1"/>
        <v>9.7259245972099086E-3</v>
      </c>
      <c r="Y31" s="64" t="s">
        <v>220</v>
      </c>
      <c r="Z31" s="64" t="s">
        <v>217</v>
      </c>
      <c r="AA31" s="64" t="s">
        <v>218</v>
      </c>
    </row>
    <row r="32" spans="2:31">
      <c r="U32" s="64">
        <f t="shared" si="2"/>
        <v>168.96969696969697</v>
      </c>
      <c r="V32" s="64">
        <f t="shared" si="0"/>
        <v>9.7259245972099086E-3</v>
      </c>
      <c r="W32" s="64">
        <f t="shared" si="1"/>
        <v>9.9706267351264838E-3</v>
      </c>
      <c r="Y32" s="64" t="s">
        <v>219</v>
      </c>
      <c r="Z32" s="64">
        <f>$V$12-$C$6</f>
        <v>160</v>
      </c>
      <c r="AA32" s="64">
        <v>0</v>
      </c>
    </row>
    <row r="33" spans="2:27">
      <c r="U33" s="64">
        <f t="shared" si="2"/>
        <v>178.90909090909091</v>
      </c>
      <c r="V33" s="64">
        <f t="shared" si="0"/>
        <v>8.9191598458717939E-3</v>
      </c>
      <c r="W33" s="64">
        <f t="shared" si="1"/>
        <v>9.6094521114314744E-3</v>
      </c>
      <c r="Y33" s="64" t="s">
        <v>221</v>
      </c>
      <c r="Z33" s="64">
        <f>Z32</f>
        <v>160</v>
      </c>
      <c r="AA33" s="64">
        <f>IF($Y$29,MAX($V$15:$W$47),0)</f>
        <v>9.9706267351264838E-3</v>
      </c>
    </row>
    <row r="34" spans="2:27">
      <c r="U34" s="64">
        <f t="shared" si="2"/>
        <v>188.84848484848484</v>
      </c>
      <c r="V34" s="64">
        <f t="shared" si="0"/>
        <v>7.6895620381677134E-3</v>
      </c>
      <c r="W34" s="64">
        <f t="shared" si="1"/>
        <v>8.7068167558675656E-3</v>
      </c>
      <c r="Y34" s="64" t="s">
        <v>222</v>
      </c>
      <c r="Z34" s="64" t="s">
        <v>217</v>
      </c>
      <c r="AA34" s="64" t="s">
        <v>218</v>
      </c>
    </row>
    <row r="35" spans="2:27">
      <c r="U35" s="64">
        <f t="shared" si="2"/>
        <v>198.78787878787878</v>
      </c>
      <c r="V35" s="64">
        <f t="shared" si="0"/>
        <v>6.2325227407400525E-3</v>
      </c>
      <c r="W35" s="64">
        <f t="shared" si="1"/>
        <v>7.4165988722577278E-3</v>
      </c>
      <c r="Y35" s="64" t="s">
        <v>219</v>
      </c>
      <c r="Z35" s="64">
        <f>$V$12</f>
        <v>168</v>
      </c>
      <c r="AA35" s="64">
        <v>0</v>
      </c>
    </row>
    <row r="36" spans="2:27">
      <c r="D36" s="9" t="s">
        <v>83</v>
      </c>
      <c r="U36" s="64">
        <f t="shared" si="2"/>
        <v>208.72727272727272</v>
      </c>
      <c r="V36" s="64">
        <f t="shared" si="0"/>
        <v>4.7490937985305588E-3</v>
      </c>
      <c r="W36" s="64">
        <f t="shared" si="1"/>
        <v>5.939293484075259E-3</v>
      </c>
      <c r="Y36" s="64" t="s">
        <v>221</v>
      </c>
      <c r="Z36" s="64">
        <f>Z35</f>
        <v>168</v>
      </c>
      <c r="AA36" s="64">
        <f>AA33</f>
        <v>9.9706267351264838E-3</v>
      </c>
    </row>
    <row r="37" spans="2:27" ht="18">
      <c r="B37" s="28" t="s">
        <v>125</v>
      </c>
      <c r="U37" s="64">
        <f t="shared" si="2"/>
        <v>218.66666666666666</v>
      </c>
      <c r="V37" s="64">
        <f t="shared" si="0"/>
        <v>3.402062060306953E-3</v>
      </c>
      <c r="W37" s="64">
        <f t="shared" si="1"/>
        <v>4.4714604123635149E-3</v>
      </c>
    </row>
    <row r="38" spans="2:27">
      <c r="U38" s="64">
        <f t="shared" si="2"/>
        <v>228.60606060606059</v>
      </c>
      <c r="V38" s="64">
        <f t="shared" si="0"/>
        <v>2.2911753328812845E-3</v>
      </c>
      <c r="W38" s="64">
        <f t="shared" si="1"/>
        <v>3.164817002251043E-3</v>
      </c>
    </row>
    <row r="39" spans="2:27">
      <c r="U39" s="64">
        <f t="shared" si="2"/>
        <v>238.54545454545453</v>
      </c>
      <c r="V39" s="64">
        <f t="shared" si="0"/>
        <v>1.4506379241390902E-3</v>
      </c>
      <c r="W39" s="64">
        <f t="shared" si="1"/>
        <v>2.105874204756573E-3</v>
      </c>
    </row>
    <row r="40" spans="2:27">
      <c r="U40" s="64">
        <f t="shared" si="2"/>
        <v>248.48484848484847</v>
      </c>
      <c r="V40" s="64">
        <f t="shared" si="0"/>
        <v>8.6346420391826431E-4</v>
      </c>
      <c r="W40" s="64">
        <f t="shared" si="1"/>
        <v>1.3173490285471065E-3</v>
      </c>
    </row>
    <row r="41" spans="2:27">
      <c r="U41" s="64">
        <f t="shared" si="2"/>
        <v>258.42424242424244</v>
      </c>
      <c r="V41" s="64">
        <f t="shared" si="0"/>
        <v>4.8318590587977084E-4</v>
      </c>
      <c r="W41" s="64">
        <f t="shared" si="1"/>
        <v>7.7473628189698312E-4</v>
      </c>
    </row>
    <row r="42" spans="2:27">
      <c r="U42" s="64">
        <f t="shared" si="2"/>
        <v>268.36363636363637</v>
      </c>
      <c r="V42" s="64">
        <f t="shared" si="0"/>
        <v>2.5419604341562314E-4</v>
      </c>
      <c r="W42" s="64">
        <f t="shared" si="1"/>
        <v>4.2834287111349645E-4</v>
      </c>
    </row>
    <row r="43" spans="2:27">
      <c r="U43" s="64">
        <f t="shared" si="2"/>
        <v>278.30303030303031</v>
      </c>
      <c r="V43" s="64">
        <f t="shared" si="0"/>
        <v>1.2572102811928031E-4</v>
      </c>
      <c r="W43" s="64">
        <f t="shared" si="1"/>
        <v>2.2264543783540088E-4</v>
      </c>
    </row>
    <row r="44" spans="2:27">
      <c r="U44" s="64">
        <f t="shared" si="2"/>
        <v>288.24242424242425</v>
      </c>
      <c r="V44" s="64">
        <f t="shared" si="0"/>
        <v>5.8456346720510549E-5</v>
      </c>
      <c r="W44" s="64">
        <f t="shared" si="1"/>
        <v>1.0879793853904708E-4</v>
      </c>
    </row>
    <row r="45" spans="2:27">
      <c r="U45" s="64">
        <f t="shared" si="2"/>
        <v>298.18181818181819</v>
      </c>
      <c r="V45" s="64">
        <f t="shared" si="0"/>
        <v>2.5552890002204227E-5</v>
      </c>
      <c r="W45" s="64">
        <f t="shared" si="1"/>
        <v>4.9981828671086098E-5</v>
      </c>
    </row>
    <row r="46" spans="2:27">
      <c r="U46" s="64">
        <f t="shared" si="2"/>
        <v>308.12121212121212</v>
      </c>
      <c r="V46" s="64">
        <f t="shared" si="0"/>
        <v>1.0501056362603924E-5</v>
      </c>
      <c r="W46" s="64">
        <f t="shared" si="1"/>
        <v>2.1586797882267536E-5</v>
      </c>
    </row>
    <row r="47" spans="2:27">
      <c r="U47" s="64">
        <f t="shared" si="2"/>
        <v>318.06060606060606</v>
      </c>
      <c r="V47" s="64">
        <f t="shared" si="0"/>
        <v>4.0570518897450162E-6</v>
      </c>
      <c r="W47" s="64">
        <f t="shared" si="1"/>
        <v>8.7649394011783917E-6</v>
      </c>
    </row>
    <row r="48" spans="2:27">
      <c r="G48" s="6"/>
    </row>
    <row r="49" spans="7:7">
      <c r="G49" s="6"/>
    </row>
    <row r="50" spans="7:7">
      <c r="G50" s="6"/>
    </row>
    <row r="51" spans="7:7">
      <c r="G51" s="6"/>
    </row>
    <row r="66" spans="2:2">
      <c r="B66"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9525</xdr:rowOff>
                  </from>
                  <to>
                    <xdr:col>13</xdr:col>
                    <xdr:colOff>19050</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124</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119</v>
      </c>
      <c r="U5" s="1" t="s">
        <v>56</v>
      </c>
    </row>
    <row r="6" spans="2:31" ht="16.5" thickBot="1">
      <c r="B6" s="1" t="s">
        <v>17</v>
      </c>
      <c r="C6" s="3">
        <v>10</v>
      </c>
      <c r="D6" s="1" t="s">
        <v>24</v>
      </c>
      <c r="U6" s="1">
        <v>1</v>
      </c>
    </row>
    <row r="7" spans="2:31" ht="13.5" thickBot="1">
      <c r="C7" s="4"/>
    </row>
    <row r="8" spans="2:31" ht="16.5" thickBot="1">
      <c r="B8" s="12" t="s">
        <v>121</v>
      </c>
      <c r="C8" s="11">
        <f>C6/C5</f>
        <v>0.5</v>
      </c>
    </row>
    <row r="10" spans="2:31" ht="16.5" thickBot="1">
      <c r="B10" s="8" t="s">
        <v>26</v>
      </c>
      <c r="C10" s="1">
        <f>C5</f>
        <v>20</v>
      </c>
      <c r="V10" s="54" t="s">
        <v>215</v>
      </c>
      <c r="W10" s="54" t="s">
        <v>213</v>
      </c>
      <c r="X10" s="54" t="s">
        <v>216</v>
      </c>
      <c r="Y10" s="54" t="s">
        <v>214</v>
      </c>
      <c r="AA10" s="54" t="s">
        <v>227</v>
      </c>
      <c r="AB10" s="54" t="s">
        <v>228</v>
      </c>
    </row>
    <row r="11" spans="2:31" ht="13.5" thickBot="1">
      <c r="B11" s="1" t="s">
        <v>0</v>
      </c>
      <c r="C11" s="7">
        <v>87</v>
      </c>
      <c r="U11" s="54" t="s">
        <v>209</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54" t="s">
        <v>210</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54" t="s">
        <v>208</v>
      </c>
      <c r="V14" s="54" t="s">
        <v>211</v>
      </c>
      <c r="W14" s="54" t="s">
        <v>212</v>
      </c>
      <c r="Y14" s="9" t="s">
        <v>223</v>
      </c>
      <c r="AC14" s="9" t="s">
        <v>225</v>
      </c>
    </row>
    <row r="15" spans="2:31">
      <c r="U15" s="1">
        <v>0</v>
      </c>
      <c r="V15" s="1">
        <f>_xlfn.NORM.DIST($U15,$V$11,$C$5,FALSE)</f>
        <v>6.6915112882442679E-6</v>
      </c>
      <c r="W15" s="1">
        <f>_xlfn.NORM.DIST($U15,$V$12,$C$5,FALSE)</f>
        <v>7.9918705534527388E-7</v>
      </c>
      <c r="Y15" s="54" t="s">
        <v>220</v>
      </c>
      <c r="Z15" s="54" t="s">
        <v>217</v>
      </c>
      <c r="AA15" s="54" t="s">
        <v>218</v>
      </c>
      <c r="AC15" s="54" t="s">
        <v>220</v>
      </c>
      <c r="AD15" s="54" t="s">
        <v>217</v>
      </c>
      <c r="AE15" s="54" t="s">
        <v>218</v>
      </c>
    </row>
    <row r="16" spans="2:31">
      <c r="U16" s="1">
        <f>U15+$AB$11</f>
        <v>5.1515151515151514</v>
      </c>
      <c r="V16" s="1">
        <f t="shared" ref="V16:V47" si="0">_xlfn.NORM.DIST($U16,$V$11,$C$5,FALSE)</f>
        <v>1.8137291925126829E-5</v>
      </c>
      <c r="W16" s="1">
        <f t="shared" ref="W16:W47" si="1">_xlfn.NORM.DIST($U16,$V$12,$C$5,FALSE)</f>
        <v>2.4639309576665516E-6</v>
      </c>
      <c r="Y16" s="54" t="s">
        <v>219</v>
      </c>
      <c r="Z16" s="1">
        <f>$V$11-$W$11</f>
        <v>60</v>
      </c>
      <c r="AA16" s="1">
        <v>0</v>
      </c>
      <c r="AC16" s="54" t="s">
        <v>219</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54" t="s">
        <v>221</v>
      </c>
      <c r="Z17" s="1">
        <f>Z16</f>
        <v>60</v>
      </c>
      <c r="AA17" s="1">
        <f>IF(Y13,MAX($V$15:$V$47),0)</f>
        <v>1.980111566953164E-2</v>
      </c>
      <c r="AC17" s="54" t="s">
        <v>221</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54" t="s">
        <v>222</v>
      </c>
      <c r="Z18" s="54" t="s">
        <v>217</v>
      </c>
      <c r="AA18" s="54" t="s">
        <v>218</v>
      </c>
      <c r="AC18" s="54" t="s">
        <v>222</v>
      </c>
      <c r="AD18" s="54" t="s">
        <v>217</v>
      </c>
      <c r="AE18" s="54" t="s">
        <v>218</v>
      </c>
    </row>
    <row r="19" spans="2:31">
      <c r="C19" s="9"/>
      <c r="D19" s="9"/>
      <c r="U19" s="1">
        <f t="shared" si="2"/>
        <v>20.606060606060606</v>
      </c>
      <c r="V19" s="1">
        <f t="shared" si="0"/>
        <v>2.4256984882431001E-4</v>
      </c>
      <c r="W19" s="1">
        <f t="shared" si="1"/>
        <v>4.8494055355597541E-5</v>
      </c>
      <c r="Y19" s="54" t="s">
        <v>219</v>
      </c>
      <c r="Z19" s="1">
        <f>$V$11+$W$11</f>
        <v>100</v>
      </c>
      <c r="AA19" s="1">
        <v>0</v>
      </c>
      <c r="AC19" s="54" t="s">
        <v>219</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54" t="s">
        <v>221</v>
      </c>
      <c r="Z20" s="1">
        <f>Z19</f>
        <v>100</v>
      </c>
      <c r="AA20" s="1">
        <f>AA17</f>
        <v>1.980111566953164E-2</v>
      </c>
      <c r="AC20" s="54" t="s">
        <v>221</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224</v>
      </c>
      <c r="AC22" s="9" t="s">
        <v>226</v>
      </c>
    </row>
    <row r="23" spans="2:31">
      <c r="U23" s="1">
        <f t="shared" si="2"/>
        <v>41.212121212121211</v>
      </c>
      <c r="V23" s="1">
        <f t="shared" si="0"/>
        <v>3.0418322453447957E-3</v>
      </c>
      <c r="W23" s="1">
        <f t="shared" si="1"/>
        <v>1.0179217781743333E-3</v>
      </c>
      <c r="Y23" s="54" t="s">
        <v>220</v>
      </c>
      <c r="Z23" s="54" t="s">
        <v>217</v>
      </c>
      <c r="AA23" s="54" t="s">
        <v>218</v>
      </c>
      <c r="AC23" s="54" t="s">
        <v>220</v>
      </c>
      <c r="AD23" s="54" t="s">
        <v>217</v>
      </c>
      <c r="AE23" s="54" t="s">
        <v>218</v>
      </c>
    </row>
    <row r="24" spans="2:31">
      <c r="U24" s="1">
        <f t="shared" si="2"/>
        <v>46.36363636363636</v>
      </c>
      <c r="V24" s="1">
        <f t="shared" si="0"/>
        <v>4.8492704641696274E-3</v>
      </c>
      <c r="W24" s="1">
        <f t="shared" si="1"/>
        <v>1.8458118041464293E-3</v>
      </c>
      <c r="Y24" s="54" t="s">
        <v>219</v>
      </c>
      <c r="Z24" s="1">
        <f>$V$12-$W$12</f>
        <v>70</v>
      </c>
      <c r="AA24" s="1">
        <v>0</v>
      </c>
      <c r="AC24" s="54" t="s">
        <v>219</v>
      </c>
      <c r="AD24" s="1">
        <f>$V$12-$Y$12</f>
        <v>86.43419981060768</v>
      </c>
      <c r="AE24" s="1">
        <v>0</v>
      </c>
    </row>
    <row r="25" spans="2:31">
      <c r="U25" s="1">
        <f t="shared" si="2"/>
        <v>51.515151515151508</v>
      </c>
      <c r="V25" s="1">
        <f t="shared" si="0"/>
        <v>7.2344275216876253E-3</v>
      </c>
      <c r="W25" s="1">
        <f t="shared" si="1"/>
        <v>3.1321824144568463E-3</v>
      </c>
      <c r="Y25" s="54" t="s">
        <v>221</v>
      </c>
      <c r="Z25" s="1">
        <f>Z24</f>
        <v>70</v>
      </c>
      <c r="AA25" s="1">
        <f>IF(Y13,MAX($W$15:$W$47),0)</f>
        <v>1.980111566953164E-2</v>
      </c>
      <c r="AC25" s="54" t="s">
        <v>221</v>
      </c>
      <c r="AD25" s="1">
        <f>AD24</f>
        <v>86.43419981060768</v>
      </c>
      <c r="AE25" s="1">
        <f>IF(AC13,MAX($W$15:$W$47),0)</f>
        <v>0</v>
      </c>
    </row>
    <row r="26" spans="2:31">
      <c r="U26" s="1">
        <f t="shared" si="2"/>
        <v>56.666666666666657</v>
      </c>
      <c r="V26" s="1">
        <f t="shared" si="0"/>
        <v>1.0099934277702938E-2</v>
      </c>
      <c r="W26" s="1">
        <f t="shared" si="1"/>
        <v>4.97385693963743E-3</v>
      </c>
      <c r="Y26" s="54" t="s">
        <v>222</v>
      </c>
      <c r="Z26" s="54" t="s">
        <v>217</v>
      </c>
      <c r="AA26" s="54" t="s">
        <v>218</v>
      </c>
      <c r="AC26" s="54" t="s">
        <v>222</v>
      </c>
      <c r="AD26" s="54" t="s">
        <v>217</v>
      </c>
      <c r="AE26" s="54" t="s">
        <v>218</v>
      </c>
    </row>
    <row r="27" spans="2:31" ht="20.25" customHeight="1">
      <c r="U27" s="1">
        <f t="shared" si="2"/>
        <v>61.818181818181806</v>
      </c>
      <c r="V27" s="1">
        <f t="shared" si="0"/>
        <v>1.3195308262186492E-2</v>
      </c>
      <c r="W27" s="1">
        <f t="shared" si="1"/>
        <v>7.391390501822824E-3</v>
      </c>
      <c r="Y27" s="54" t="s">
        <v>219</v>
      </c>
      <c r="Z27" s="1">
        <f>$V$12+$W$12</f>
        <v>110</v>
      </c>
      <c r="AA27" s="1">
        <v>0</v>
      </c>
      <c r="AC27" s="54" t="s">
        <v>219</v>
      </c>
      <c r="AD27" s="1">
        <f>$V$12+$Y$12</f>
        <v>93.56580018939232</v>
      </c>
      <c r="AE27" s="1">
        <v>0</v>
      </c>
    </row>
    <row r="28" spans="2:31">
      <c r="U28" s="1">
        <f t="shared" si="2"/>
        <v>66.969696969696955</v>
      </c>
      <c r="V28" s="1">
        <f t="shared" si="0"/>
        <v>1.6132703352552596E-2</v>
      </c>
      <c r="W28" s="1">
        <f t="shared" si="1"/>
        <v>1.0278875841821104E-2</v>
      </c>
      <c r="Y28" s="54" t="s">
        <v>221</v>
      </c>
      <c r="Z28" s="1">
        <f>Z27</f>
        <v>110</v>
      </c>
      <c r="AA28" s="1">
        <f>AA25</f>
        <v>1.980111566953164E-2</v>
      </c>
      <c r="AC28" s="54" t="s">
        <v>221</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229</v>
      </c>
    </row>
    <row r="31" spans="2:31">
      <c r="U31" s="1">
        <f t="shared" si="2"/>
        <v>82.424242424242422</v>
      </c>
      <c r="V31" s="1">
        <f t="shared" si="0"/>
        <v>1.980111566953164E-2</v>
      </c>
      <c r="W31" s="1">
        <f t="shared" si="1"/>
        <v>1.8566230084060359E-2</v>
      </c>
      <c r="Y31" s="54" t="s">
        <v>220</v>
      </c>
      <c r="Z31" s="54" t="s">
        <v>217</v>
      </c>
      <c r="AA31" s="54" t="s">
        <v>218</v>
      </c>
    </row>
    <row r="32" spans="2:31">
      <c r="U32" s="1">
        <f t="shared" si="2"/>
        <v>87.575757575757578</v>
      </c>
      <c r="V32" s="1">
        <f t="shared" si="0"/>
        <v>1.8566230084060359E-2</v>
      </c>
      <c r="W32" s="1">
        <f t="shared" si="1"/>
        <v>1.980111566953164E-2</v>
      </c>
      <c r="Y32" s="54" t="s">
        <v>219</v>
      </c>
      <c r="Z32" s="1">
        <f>V11</f>
        <v>80</v>
      </c>
      <c r="AA32" s="1">
        <v>0</v>
      </c>
    </row>
    <row r="33" spans="2:27">
      <c r="U33" s="1">
        <f t="shared" si="2"/>
        <v>92.727272727272734</v>
      </c>
      <c r="V33" s="1">
        <f t="shared" si="0"/>
        <v>1.62908749718845E-2</v>
      </c>
      <c r="W33" s="1">
        <f t="shared" si="1"/>
        <v>1.9762514802646215E-2</v>
      </c>
      <c r="Y33" s="54" t="s">
        <v>221</v>
      </c>
      <c r="Z33" s="1">
        <f>Z32</f>
        <v>80</v>
      </c>
      <c r="AA33" s="1">
        <f>IF($Y$29,MAX($V$15:$W$47),0)</f>
        <v>1.980111566953164E-2</v>
      </c>
    </row>
    <row r="34" spans="2:27" ht="18">
      <c r="B34" s="28" t="s">
        <v>125</v>
      </c>
      <c r="D34" s="9" t="s">
        <v>83</v>
      </c>
      <c r="U34" s="1">
        <f t="shared" si="2"/>
        <v>97.87878787878789</v>
      </c>
      <c r="V34" s="1">
        <f t="shared" si="0"/>
        <v>1.3376783801223832E-2</v>
      </c>
      <c r="W34" s="1">
        <f t="shared" si="1"/>
        <v>1.8457860980984869E-2</v>
      </c>
      <c r="Y34" s="54" t="s">
        <v>222</v>
      </c>
      <c r="Z34" s="54" t="s">
        <v>217</v>
      </c>
      <c r="AA34" s="54" t="s">
        <v>218</v>
      </c>
    </row>
    <row r="35" spans="2:27">
      <c r="U35" s="1">
        <f t="shared" si="2"/>
        <v>103.03030303030305</v>
      </c>
      <c r="V35" s="1">
        <f t="shared" si="0"/>
        <v>1.0278875841821104E-2</v>
      </c>
      <c r="W35" s="1">
        <f t="shared" si="1"/>
        <v>1.6132703352552596E-2</v>
      </c>
      <c r="Y35" s="54" t="s">
        <v>219</v>
      </c>
      <c r="Z35" s="1">
        <f>V12</f>
        <v>90</v>
      </c>
      <c r="AA35" s="1">
        <v>0</v>
      </c>
    </row>
    <row r="36" spans="2:27">
      <c r="U36" s="1">
        <f t="shared" si="2"/>
        <v>108.1818181818182</v>
      </c>
      <c r="V36" s="1">
        <f t="shared" si="0"/>
        <v>7.3913905018228197E-3</v>
      </c>
      <c r="W36" s="1">
        <f t="shared" si="1"/>
        <v>1.3195308262186491E-2</v>
      </c>
      <c r="Y36" s="54" t="s">
        <v>221</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127</v>
      </c>
      <c r="U45" s="1">
        <f t="shared" si="2"/>
        <v>154.54545454545459</v>
      </c>
      <c r="V45" s="1">
        <f t="shared" si="0"/>
        <v>1.919325201047218E-5</v>
      </c>
      <c r="W45" s="1">
        <f t="shared" si="1"/>
        <v>1.092015353404756E-4</v>
      </c>
    </row>
    <row r="46" spans="2:27">
      <c r="B46" s="9" t="s">
        <v>126</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124</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50</v>
      </c>
      <c r="D7" s="1" t="s">
        <v>57</v>
      </c>
      <c r="AC7" s="60" t="s">
        <v>234</v>
      </c>
    </row>
    <row r="8" spans="2:31" ht="13.5" thickBot="1">
      <c r="B8" s="12" t="s">
        <v>120</v>
      </c>
      <c r="C8" s="11">
        <f>C6/C5</f>
        <v>0.2</v>
      </c>
    </row>
    <row r="10" spans="2:31" ht="13.5" thickBot="1">
      <c r="B10" s="8" t="s">
        <v>18</v>
      </c>
      <c r="C10" s="1">
        <f>C5</f>
        <v>50</v>
      </c>
      <c r="V10" s="54" t="s">
        <v>215</v>
      </c>
      <c r="W10" s="54" t="s">
        <v>213</v>
      </c>
      <c r="X10" s="54" t="s">
        <v>216</v>
      </c>
      <c r="Y10" s="54" t="s">
        <v>214</v>
      </c>
      <c r="AA10" s="54" t="s">
        <v>227</v>
      </c>
      <c r="AB10" s="54" t="s">
        <v>228</v>
      </c>
    </row>
    <row r="11" spans="2:31" ht="13.5" thickBot="1">
      <c r="B11" s="1" t="s">
        <v>16</v>
      </c>
      <c r="C11" s="7">
        <v>3665</v>
      </c>
      <c r="U11" s="54" t="s">
        <v>209</v>
      </c>
      <c r="V11" s="30">
        <f>4*C5</f>
        <v>200</v>
      </c>
      <c r="W11" s="1">
        <f>$C$5</f>
        <v>50</v>
      </c>
      <c r="X11" s="1">
        <f>W11/SQRT(C20)</f>
        <v>0.82591055212361864</v>
      </c>
      <c r="Y11" s="1">
        <f>TINV($C$4*2,$C$20-2)*X11</f>
        <v>1.6192899954177171</v>
      </c>
      <c r="AA11" s="1">
        <f>V12+4*W12</f>
        <v>450</v>
      </c>
      <c r="AB11" s="1">
        <f>AA11/33</f>
        <v>13.636363636363637</v>
      </c>
    </row>
    <row r="12" spans="2:31" ht="13.5" thickBot="1">
      <c r="B12" s="1" t="s">
        <v>15</v>
      </c>
      <c r="C12" s="1">
        <f>C11*(C3+1)-2</f>
        <v>7328</v>
      </c>
      <c r="U12" s="54" t="s">
        <v>210</v>
      </c>
      <c r="V12" s="30">
        <f>V11+C7</f>
        <v>250</v>
      </c>
      <c r="W12" s="1">
        <f>$C$5</f>
        <v>50</v>
      </c>
      <c r="X12" s="1">
        <f>W12/SQRT(C20)</f>
        <v>0.82591055212361864</v>
      </c>
      <c r="Y12" s="1">
        <f>TINV($C$4*2,$C$20-2)*X12</f>
        <v>1.6192899954177171</v>
      </c>
    </row>
    <row r="13" spans="2:31">
      <c r="B13" s="1" t="s">
        <v>27</v>
      </c>
      <c r="C13" s="1">
        <f>TINV(C4*2,C12)</f>
        <v>1.9602877640765892</v>
      </c>
      <c r="Y13" s="1" t="b">
        <v>1</v>
      </c>
      <c r="AC13" s="1" t="b">
        <v>0</v>
      </c>
    </row>
    <row r="14" spans="2:31">
      <c r="B14" s="1" t="s">
        <v>3</v>
      </c>
      <c r="C14" s="1">
        <f>(C7-C6)*SQRT(C3*C11)/SQRT((C3+1)*C10^2)</f>
        <v>34.246167668806386</v>
      </c>
      <c r="U14" s="54" t="s">
        <v>208</v>
      </c>
      <c r="V14" s="54" t="s">
        <v>211</v>
      </c>
      <c r="W14" s="54" t="s">
        <v>212</v>
      </c>
      <c r="Y14" s="9" t="s">
        <v>223</v>
      </c>
      <c r="AC14" s="9" t="s">
        <v>225</v>
      </c>
    </row>
    <row r="15" spans="2:31">
      <c r="B15" s="1" t="s">
        <v>4</v>
      </c>
      <c r="C15" s="1">
        <f>(C7+C6)*SQRT(C3*C11)/SQRT((C3+1)*C10^2)</f>
        <v>51.369251503209576</v>
      </c>
      <c r="U15" s="1">
        <v>0</v>
      </c>
      <c r="V15" s="1">
        <f>_xlfn.NORM.DIST($U15,$V$11,$C$5,FALSE)</f>
        <v>2.6766045152977074E-6</v>
      </c>
      <c r="W15" s="1">
        <f>_xlfn.NORM.DIST($U15,$V$12,$C$5,FALSE)</f>
        <v>2.9734390294685954E-8</v>
      </c>
      <c r="Y15" s="54" t="s">
        <v>220</v>
      </c>
      <c r="Z15" s="54" t="s">
        <v>217</v>
      </c>
      <c r="AA15" s="54" t="s">
        <v>218</v>
      </c>
      <c r="AC15" s="54" t="s">
        <v>220</v>
      </c>
      <c r="AD15" s="54" t="s">
        <v>217</v>
      </c>
      <c r="AE15" s="54" t="s">
        <v>218</v>
      </c>
    </row>
    <row r="16" spans="2:31">
      <c r="B16" s="1" t="s">
        <v>7</v>
      </c>
      <c r="C16" s="1">
        <f>NCt(-C13,C12,C14)</f>
        <v>0</v>
      </c>
      <c r="U16" s="1">
        <f>U15+$AB$11</f>
        <v>13.636363636363637</v>
      </c>
      <c r="V16" s="1">
        <f t="shared" ref="V16:V47" si="0">_xlfn.NORM.DIST($U16,$V$11,$C$5,FALSE)</f>
        <v>7.6773008041889266E-6</v>
      </c>
      <c r="W16" s="1">
        <f t="shared" ref="W16:W47" si="1">_xlfn.NORM.DIST($U16,$V$12,$C$5,FALSE)</f>
        <v>1.1202819484543129E-7</v>
      </c>
      <c r="Y16" s="54" t="s">
        <v>219</v>
      </c>
      <c r="Z16" s="1">
        <f>$V$11-$W$11</f>
        <v>150</v>
      </c>
      <c r="AA16" s="1">
        <v>0</v>
      </c>
      <c r="AC16" s="54" t="s">
        <v>219</v>
      </c>
      <c r="AD16" s="1">
        <f>$V$11-$Y$11</f>
        <v>198.38071000458228</v>
      </c>
      <c r="AE16" s="1">
        <v>0</v>
      </c>
    </row>
    <row r="17" spans="2:31">
      <c r="B17" s="1" t="s">
        <v>6</v>
      </c>
      <c r="C17" s="1">
        <f>NCt(C13,C12,C15)</f>
        <v>0</v>
      </c>
      <c r="U17" s="1">
        <f t="shared" ref="U17:U47" si="2">U16+$AB$11</f>
        <v>27.272727272727273</v>
      </c>
      <c r="V17" s="1">
        <f t="shared" si="0"/>
        <v>2.0442312001763379E-5</v>
      </c>
      <c r="W17" s="1">
        <f t="shared" si="1"/>
        <v>3.9182554207759776E-7</v>
      </c>
      <c r="Y17" s="54" t="s">
        <v>221</v>
      </c>
      <c r="Z17" s="1">
        <f>Z16</f>
        <v>150</v>
      </c>
      <c r="AA17" s="1">
        <f>IF(Y13,MAX($V$15:$V$47),0)</f>
        <v>7.9459431986348347E-3</v>
      </c>
      <c r="AC17" s="54" t="s">
        <v>221</v>
      </c>
      <c r="AD17" s="1">
        <f>AD16</f>
        <v>198.38071000458228</v>
      </c>
      <c r="AE17" s="1">
        <f>IF(AC13,MAX($V$15:$V$47),0)</f>
        <v>0</v>
      </c>
    </row>
    <row r="18" spans="2:31">
      <c r="B18" s="1" t="s">
        <v>58</v>
      </c>
      <c r="C18" s="1">
        <f>C16-C17</f>
        <v>0</v>
      </c>
      <c r="E18" s="5"/>
      <c r="U18" s="1">
        <f t="shared" si="2"/>
        <v>40.909090909090907</v>
      </c>
      <c r="V18" s="1">
        <f t="shared" si="0"/>
        <v>5.0529915562078683E-5</v>
      </c>
      <c r="W18" s="1">
        <f t="shared" si="1"/>
        <v>1.2721995943925888E-6</v>
      </c>
      <c r="Y18" s="54" t="s">
        <v>222</v>
      </c>
      <c r="Z18" s="54" t="s">
        <v>217</v>
      </c>
      <c r="AA18" s="54" t="s">
        <v>218</v>
      </c>
      <c r="AC18" s="54" t="s">
        <v>222</v>
      </c>
      <c r="AD18" s="54" t="s">
        <v>217</v>
      </c>
      <c r="AE18" s="54" t="s">
        <v>218</v>
      </c>
    </row>
    <row r="19" spans="2:31" ht="14.25">
      <c r="C19" s="16" t="s">
        <v>63</v>
      </c>
      <c r="D19" s="16" t="s">
        <v>64</v>
      </c>
      <c r="E19" s="16" t="s">
        <v>66</v>
      </c>
      <c r="U19" s="1">
        <f t="shared" si="2"/>
        <v>54.545454545454547</v>
      </c>
      <c r="V19" s="1">
        <f t="shared" si="0"/>
        <v>1.1594826040966063E-4</v>
      </c>
      <c r="W19" s="1">
        <f t="shared" si="1"/>
        <v>3.8345540796389064E-6</v>
      </c>
      <c r="Y19" s="54" t="s">
        <v>219</v>
      </c>
      <c r="Z19" s="1">
        <f>$V$11+$W$11</f>
        <v>250</v>
      </c>
      <c r="AA19" s="1">
        <v>0</v>
      </c>
      <c r="AC19" s="54" t="s">
        <v>219</v>
      </c>
      <c r="AD19" s="1">
        <f>$V$11+$Y$11</f>
        <v>201.61928999541772</v>
      </c>
      <c r="AE19" s="1">
        <v>0</v>
      </c>
    </row>
    <row r="20" spans="2:31">
      <c r="B20" s="1" t="s">
        <v>11</v>
      </c>
      <c r="C20" s="1">
        <f>CEILING(C11,1)</f>
        <v>3665</v>
      </c>
      <c r="D20" s="1">
        <f>C20*C3</f>
        <v>3665</v>
      </c>
      <c r="E20" s="1">
        <f>C20+D20</f>
        <v>7330</v>
      </c>
      <c r="U20" s="1">
        <f t="shared" si="2"/>
        <v>68.181818181818187</v>
      </c>
      <c r="V20" s="1">
        <f t="shared" si="0"/>
        <v>2.4698865583042232E-4</v>
      </c>
      <c r="W20" s="1">
        <f t="shared" si="1"/>
        <v>1.0729304876837877E-5</v>
      </c>
      <c r="Y20" s="54" t="s">
        <v>221</v>
      </c>
      <c r="Z20" s="1">
        <f>Z19</f>
        <v>250</v>
      </c>
      <c r="AA20" s="1">
        <f>AA17</f>
        <v>7.9459431986348347E-3</v>
      </c>
      <c r="AC20" s="54" t="s">
        <v>221</v>
      </c>
      <c r="AD20" s="1">
        <f>AD19</f>
        <v>201.61928999541772</v>
      </c>
      <c r="AE20" s="1">
        <f>AE17</f>
        <v>0</v>
      </c>
    </row>
    <row r="21" spans="2:31">
      <c r="U21" s="1">
        <f t="shared" si="2"/>
        <v>81.818181818181827</v>
      </c>
      <c r="V21" s="1">
        <f t="shared" si="0"/>
        <v>4.8841262400539111E-4</v>
      </c>
      <c r="W21" s="1">
        <f t="shared" si="1"/>
        <v>2.7869258234469612E-5</v>
      </c>
    </row>
    <row r="22" spans="2:31">
      <c r="U22" s="1">
        <f t="shared" si="2"/>
        <v>95.454545454545467</v>
      </c>
      <c r="V22" s="1">
        <f t="shared" si="0"/>
        <v>8.9658993517185482E-4</v>
      </c>
      <c r="W22" s="1">
        <f t="shared" si="1"/>
        <v>6.7201093196323945E-5</v>
      </c>
      <c r="Y22" s="9" t="s">
        <v>224</v>
      </c>
      <c r="AC22" s="9" t="s">
        <v>226</v>
      </c>
    </row>
    <row r="23" spans="2:31">
      <c r="U23" s="1">
        <f t="shared" si="2"/>
        <v>109.09090909090911</v>
      </c>
      <c r="V23" s="1">
        <f t="shared" si="0"/>
        <v>1.5279105957013359E-3</v>
      </c>
      <c r="W23" s="1">
        <f t="shared" si="1"/>
        <v>1.5042650697418678E-4</v>
      </c>
      <c r="Y23" s="54" t="s">
        <v>220</v>
      </c>
      <c r="Z23" s="54" t="s">
        <v>217</v>
      </c>
      <c r="AA23" s="54" t="s">
        <v>218</v>
      </c>
      <c r="AC23" s="54" t="s">
        <v>220</v>
      </c>
      <c r="AD23" s="54" t="s">
        <v>217</v>
      </c>
      <c r="AE23" s="54" t="s">
        <v>218</v>
      </c>
    </row>
    <row r="24" spans="2:31">
      <c r="U24" s="1">
        <f t="shared" si="2"/>
        <v>122.72727272727275</v>
      </c>
      <c r="V24" s="1">
        <f t="shared" si="0"/>
        <v>2.4171251134299803E-3</v>
      </c>
      <c r="W24" s="1">
        <f t="shared" si="1"/>
        <v>3.1258598953711245E-4</v>
      </c>
      <c r="Y24" s="54" t="s">
        <v>219</v>
      </c>
      <c r="Z24" s="1">
        <f>$V$12-$W$12</f>
        <v>200</v>
      </c>
      <c r="AA24" s="1">
        <v>0</v>
      </c>
      <c r="AC24" s="54" t="s">
        <v>219</v>
      </c>
      <c r="AD24" s="1">
        <f>$V$12-$Y$12</f>
        <v>248.38071000458228</v>
      </c>
      <c r="AE24" s="1">
        <v>0</v>
      </c>
    </row>
    <row r="25" spans="2:31">
      <c r="U25" s="1">
        <f t="shared" si="2"/>
        <v>136.36363636363637</v>
      </c>
      <c r="V25" s="1">
        <f t="shared" si="0"/>
        <v>3.5497471832925524E-3</v>
      </c>
      <c r="W25" s="1">
        <f t="shared" si="1"/>
        <v>6.0299227833601353E-4</v>
      </c>
      <c r="Y25" s="54" t="s">
        <v>221</v>
      </c>
      <c r="Z25" s="1">
        <f>Z24</f>
        <v>200</v>
      </c>
      <c r="AA25" s="1">
        <f>IF(Y13,MAX($W$15:$W$47),0)</f>
        <v>7.9459431986348347E-3</v>
      </c>
      <c r="AC25" s="54" t="s">
        <v>221</v>
      </c>
      <c r="AD25" s="1">
        <f>AD24</f>
        <v>248.38071000458228</v>
      </c>
      <c r="AE25" s="1">
        <f>IF(AC13,MAX($W$15:$W$47),0)</f>
        <v>0</v>
      </c>
    </row>
    <row r="26" spans="2:31">
      <c r="U26" s="1">
        <f t="shared" si="2"/>
        <v>150</v>
      </c>
      <c r="V26" s="1">
        <f t="shared" si="0"/>
        <v>4.8394144903828673E-3</v>
      </c>
      <c r="W26" s="1">
        <f t="shared" si="1"/>
        <v>1.0798193302637611E-3</v>
      </c>
      <c r="Y26" s="54" t="s">
        <v>222</v>
      </c>
      <c r="Z26" s="54" t="s">
        <v>217</v>
      </c>
      <c r="AA26" s="54" t="s">
        <v>218</v>
      </c>
      <c r="AC26" s="54" t="s">
        <v>222</v>
      </c>
      <c r="AD26" s="54" t="s">
        <v>217</v>
      </c>
      <c r="AE26" s="54" t="s">
        <v>218</v>
      </c>
    </row>
    <row r="27" spans="2:31" ht="20.25" customHeight="1">
      <c r="U27" s="1">
        <f t="shared" si="2"/>
        <v>163.63636363636363</v>
      </c>
      <c r="V27" s="1">
        <f t="shared" si="0"/>
        <v>6.124707072762004E-3</v>
      </c>
      <c r="W27" s="1">
        <f t="shared" si="1"/>
        <v>1.7950954628264844E-3</v>
      </c>
      <c r="Y27" s="54" t="s">
        <v>219</v>
      </c>
      <c r="Z27" s="1">
        <f>$V$12+$W$12</f>
        <v>300</v>
      </c>
      <c r="AA27" s="1">
        <v>0</v>
      </c>
      <c r="AC27" s="54" t="s">
        <v>219</v>
      </c>
      <c r="AD27" s="1">
        <f>$V$12+$Y$12</f>
        <v>251.61928999541772</v>
      </c>
      <c r="AE27" s="1">
        <v>0</v>
      </c>
    </row>
    <row r="28" spans="2:31" ht="20.25" customHeight="1">
      <c r="U28" s="1">
        <f t="shared" si="2"/>
        <v>177.27272727272725</v>
      </c>
      <c r="V28" s="1">
        <f t="shared" si="0"/>
        <v>7.1957311562524644E-3</v>
      </c>
      <c r="W28" s="1">
        <f t="shared" si="1"/>
        <v>2.7702636624789595E-3</v>
      </c>
      <c r="Y28" s="54" t="s">
        <v>221</v>
      </c>
      <c r="Z28" s="1">
        <f>Z27</f>
        <v>300</v>
      </c>
      <c r="AA28" s="1">
        <f>AA25</f>
        <v>7.9459431986348347E-3</v>
      </c>
      <c r="AC28" s="54" t="s">
        <v>221</v>
      </c>
      <c r="AD28" s="1">
        <f>AD27</f>
        <v>251.61928999541772</v>
      </c>
      <c r="AE28" s="1">
        <f>AE25</f>
        <v>0</v>
      </c>
    </row>
    <row r="29" spans="2:31" ht="20.25" customHeight="1">
      <c r="U29" s="1">
        <f t="shared" si="2"/>
        <v>190.90909090909088</v>
      </c>
      <c r="V29" s="1">
        <f t="shared" si="0"/>
        <v>7.8480478138221281E-3</v>
      </c>
      <c r="W29" s="1">
        <f t="shared" si="1"/>
        <v>3.968731939261701E-3</v>
      </c>
      <c r="Y29" s="1" t="b">
        <v>1</v>
      </c>
    </row>
    <row r="30" spans="2:31" ht="20.25" customHeight="1">
      <c r="U30" s="1">
        <f t="shared" si="2"/>
        <v>204.5454545454545</v>
      </c>
      <c r="V30" s="1">
        <f t="shared" si="0"/>
        <v>7.9459431986348347E-3</v>
      </c>
      <c r="W30" s="1">
        <f t="shared" si="1"/>
        <v>5.2781233048745961E-3</v>
      </c>
      <c r="Y30" s="9" t="s">
        <v>229</v>
      </c>
      <c r="AC30" s="59"/>
    </row>
    <row r="31" spans="2:31" ht="20.25" customHeight="1">
      <c r="U31" s="1">
        <f t="shared" si="2"/>
        <v>218.18181818181813</v>
      </c>
      <c r="V31" s="1">
        <f t="shared" si="0"/>
        <v>7.4683794750795797E-3</v>
      </c>
      <c r="W31" s="1">
        <f t="shared" si="1"/>
        <v>6.5163499887537979E-3</v>
      </c>
      <c r="Y31" s="54" t="s">
        <v>220</v>
      </c>
      <c r="Z31" s="54" t="s">
        <v>217</v>
      </c>
      <c r="AA31" s="54" t="s">
        <v>218</v>
      </c>
      <c r="AC31" s="54"/>
      <c r="AD31" s="54"/>
      <c r="AE31" s="54"/>
    </row>
    <row r="32" spans="2:31" ht="20.25" customHeight="1">
      <c r="U32" s="1">
        <f t="shared" si="2"/>
        <v>231.81818181818176</v>
      </c>
      <c r="V32" s="1">
        <f t="shared" si="0"/>
        <v>6.5163499887538065E-3</v>
      </c>
      <c r="W32" s="1">
        <f t="shared" si="1"/>
        <v>7.4683794750795727E-3</v>
      </c>
      <c r="Y32" s="54" t="s">
        <v>219</v>
      </c>
      <c r="Z32" s="1">
        <f>AVERAGE($V$11,$V$12)-($C$6/2)</f>
        <v>220</v>
      </c>
      <c r="AA32" s="1">
        <v>0</v>
      </c>
      <c r="AC32" s="54"/>
    </row>
    <row r="33" spans="2:31" ht="20.25" customHeight="1">
      <c r="U33" s="1">
        <f t="shared" si="2"/>
        <v>245.45454545454538</v>
      </c>
      <c r="V33" s="1">
        <f t="shared" si="0"/>
        <v>5.2781233048746073E-3</v>
      </c>
      <c r="W33" s="1">
        <f t="shared" si="1"/>
        <v>7.9459431986348347E-3</v>
      </c>
      <c r="Y33" s="54" t="s">
        <v>221</v>
      </c>
      <c r="Z33" s="1">
        <f>Z32</f>
        <v>220</v>
      </c>
      <c r="AA33" s="1">
        <f>IF($Y$29,MAX($V$15:$W$47),0)</f>
        <v>7.9459431986348347E-3</v>
      </c>
      <c r="AC33" s="54"/>
    </row>
    <row r="34" spans="2:31" ht="20.25" customHeight="1">
      <c r="U34" s="1">
        <f t="shared" si="2"/>
        <v>259.09090909090901</v>
      </c>
      <c r="V34" s="1">
        <f t="shared" si="0"/>
        <v>3.9687319392617123E-3</v>
      </c>
      <c r="W34" s="1">
        <f t="shared" si="1"/>
        <v>7.8480478138221316E-3</v>
      </c>
      <c r="Y34" s="54" t="s">
        <v>222</v>
      </c>
      <c r="Z34" s="54" t="s">
        <v>217</v>
      </c>
      <c r="AA34" s="54" t="s">
        <v>218</v>
      </c>
      <c r="AC34" s="54"/>
      <c r="AD34" s="54"/>
      <c r="AE34" s="54"/>
    </row>
    <row r="35" spans="2:31" ht="20.25" customHeight="1">
      <c r="U35" s="1">
        <f t="shared" si="2"/>
        <v>272.72727272727263</v>
      </c>
      <c r="V35" s="1">
        <f t="shared" si="0"/>
        <v>2.7702636624789691E-3</v>
      </c>
      <c r="W35" s="1">
        <f t="shared" si="1"/>
        <v>7.1957311562524722E-3</v>
      </c>
      <c r="Y35" s="54" t="s">
        <v>219</v>
      </c>
      <c r="Z35" s="1">
        <f>AVERAGE($V$11,$V$12)+($C$6/2)</f>
        <v>230</v>
      </c>
      <c r="AA35" s="1">
        <v>0</v>
      </c>
      <c r="AC35" s="54"/>
    </row>
    <row r="36" spans="2:31" ht="20.25" customHeight="1">
      <c r="U36" s="1">
        <f t="shared" si="2"/>
        <v>286.36363636363626</v>
      </c>
      <c r="V36" s="1">
        <f t="shared" si="0"/>
        <v>1.7950954628264918E-3</v>
      </c>
      <c r="W36" s="1">
        <f t="shared" si="1"/>
        <v>6.1247070727620144E-3</v>
      </c>
      <c r="Y36" s="54" t="s">
        <v>221</v>
      </c>
      <c r="Z36" s="1">
        <f>Z35</f>
        <v>230</v>
      </c>
      <c r="AA36" s="1">
        <f>AA33</f>
        <v>7.9459431986348347E-3</v>
      </c>
      <c r="AC36" s="54"/>
    </row>
    <row r="37" spans="2:31" ht="20.25" customHeight="1">
      <c r="U37" s="1">
        <f t="shared" si="2"/>
        <v>299.99999999999989</v>
      </c>
      <c r="V37" s="1">
        <f t="shared" si="0"/>
        <v>1.0798193302637659E-3</v>
      </c>
      <c r="W37" s="1">
        <f t="shared" si="1"/>
        <v>4.8394144903828777E-3</v>
      </c>
    </row>
    <row r="38" spans="2:31">
      <c r="U38" s="1">
        <f t="shared" si="2"/>
        <v>313.63636363636351</v>
      </c>
      <c r="V38" s="1">
        <f t="shared" si="0"/>
        <v>6.0299227833601656E-4</v>
      </c>
      <c r="W38" s="1">
        <f t="shared" si="1"/>
        <v>3.5497471832925628E-3</v>
      </c>
    </row>
    <row r="39" spans="2:31">
      <c r="U39" s="1">
        <f t="shared" si="2"/>
        <v>327.27272727272714</v>
      </c>
      <c r="V39" s="1">
        <f t="shared" si="0"/>
        <v>3.1258598953711429E-4</v>
      </c>
      <c r="W39" s="1">
        <f t="shared" si="1"/>
        <v>2.4171251134299881E-3</v>
      </c>
    </row>
    <row r="40" spans="2:31">
      <c r="U40" s="1">
        <f t="shared" si="2"/>
        <v>340.90909090909076</v>
      </c>
      <c r="V40" s="1">
        <f t="shared" si="0"/>
        <v>1.5042650697418773E-4</v>
      </c>
      <c r="W40" s="1">
        <f t="shared" si="1"/>
        <v>1.527910595701343E-3</v>
      </c>
    </row>
    <row r="41" spans="2:31">
      <c r="U41" s="1">
        <f t="shared" si="2"/>
        <v>354.54545454545439</v>
      </c>
      <c r="V41" s="1">
        <f t="shared" si="0"/>
        <v>6.7201093196324609E-5</v>
      </c>
      <c r="W41" s="1">
        <f t="shared" si="1"/>
        <v>8.9658993517186035E-4</v>
      </c>
    </row>
    <row r="42" spans="2:31">
      <c r="U42" s="1">
        <f t="shared" si="2"/>
        <v>368.18181818181802</v>
      </c>
      <c r="V42" s="1">
        <f t="shared" si="0"/>
        <v>2.7869258234469958E-5</v>
      </c>
      <c r="W42" s="1">
        <f t="shared" si="1"/>
        <v>4.8841262400539458E-4</v>
      </c>
    </row>
    <row r="43" spans="2:31" ht="18">
      <c r="B43" s="28" t="s">
        <v>125</v>
      </c>
      <c r="U43" s="1">
        <f t="shared" si="2"/>
        <v>381.81818181818164</v>
      </c>
      <c r="V43" s="1">
        <f t="shared" si="0"/>
        <v>1.0729304876838009E-5</v>
      </c>
      <c r="W43" s="1">
        <f t="shared" si="1"/>
        <v>2.4698865583042465E-4</v>
      </c>
    </row>
    <row r="44" spans="2:31">
      <c r="U44" s="1">
        <f t="shared" si="2"/>
        <v>395.45454545454527</v>
      </c>
      <c r="V44" s="1">
        <f t="shared" si="0"/>
        <v>3.8345540796389581E-6</v>
      </c>
      <c r="W44" s="1">
        <f t="shared" si="1"/>
        <v>1.1594826040966186E-4</v>
      </c>
    </row>
    <row r="45" spans="2:31">
      <c r="U45" s="1">
        <f t="shared" si="2"/>
        <v>409.09090909090889</v>
      </c>
      <c r="V45" s="1">
        <f t="shared" si="0"/>
        <v>1.2721995943926068E-6</v>
      </c>
      <c r="W45" s="1">
        <f t="shared" si="1"/>
        <v>5.0529915562079266E-5</v>
      </c>
    </row>
    <row r="46" spans="2:31">
      <c r="U46" s="1">
        <f t="shared" si="2"/>
        <v>422.72727272727252</v>
      </c>
      <c r="V46" s="1">
        <f t="shared" si="0"/>
        <v>3.91825542077604E-7</v>
      </c>
      <c r="W46" s="1">
        <f t="shared" si="1"/>
        <v>2.044231200176367E-5</v>
      </c>
    </row>
    <row r="47" spans="2:31">
      <c r="U47" s="1">
        <f t="shared" si="2"/>
        <v>436.36363636363615</v>
      </c>
      <c r="V47" s="1">
        <f t="shared" si="0"/>
        <v>1.1202819484543369E-7</v>
      </c>
      <c r="W47" s="1">
        <f t="shared" si="1"/>
        <v>7.6773008041890486E-6</v>
      </c>
    </row>
    <row r="60" spans="2:7">
      <c r="G60" s="6"/>
    </row>
    <row r="61" spans="2:7">
      <c r="G61" s="6"/>
    </row>
    <row r="62" spans="2:7">
      <c r="G62" s="6"/>
    </row>
    <row r="63" spans="2:7">
      <c r="G63" s="6"/>
    </row>
    <row r="64" spans="2:7">
      <c r="B64"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124</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121</v>
      </c>
      <c r="C8" s="11">
        <f>C6/C10</f>
        <v>0.5</v>
      </c>
    </row>
    <row r="10" spans="2:31" ht="16.5" thickBot="1">
      <c r="B10" s="8" t="s">
        <v>26</v>
      </c>
      <c r="C10" s="1">
        <f>C5</f>
        <v>20</v>
      </c>
      <c r="V10" s="54" t="s">
        <v>215</v>
      </c>
      <c r="W10" s="54" t="s">
        <v>213</v>
      </c>
      <c r="X10" s="54" t="s">
        <v>216</v>
      </c>
      <c r="Y10" s="54" t="s">
        <v>214</v>
      </c>
      <c r="AA10" s="54" t="s">
        <v>227</v>
      </c>
      <c r="AB10" s="54" t="s">
        <v>228</v>
      </c>
    </row>
    <row r="11" spans="2:31" ht="13.5" thickBot="1">
      <c r="B11" s="1" t="s">
        <v>0</v>
      </c>
      <c r="C11" s="7">
        <v>135</v>
      </c>
      <c r="U11" s="54" t="s">
        <v>209</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54" t="s">
        <v>210</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54" t="s">
        <v>208</v>
      </c>
      <c r="V14" s="54" t="s">
        <v>211</v>
      </c>
      <c r="W14" s="54" t="s">
        <v>212</v>
      </c>
      <c r="Y14" s="9" t="s">
        <v>223</v>
      </c>
      <c r="AC14" s="9" t="s">
        <v>225</v>
      </c>
    </row>
    <row r="15" spans="2:31">
      <c r="B15" s="1" t="s">
        <v>4</v>
      </c>
      <c r="C15" s="1">
        <f>(C7+C6)*SQRT(C11)/SQRT(2*C10^2)</f>
        <v>4.9295030175464944</v>
      </c>
      <c r="U15" s="1">
        <v>0</v>
      </c>
      <c r="V15" s="1">
        <f>_xlfn.NORM.DIST($U15,$V$11,$C$5,FALSE)</f>
        <v>6.6915112882442679E-6</v>
      </c>
      <c r="W15" s="1">
        <f>_xlfn.NORM.DIST($U15,$V$12,$C$5,FALSE)</f>
        <v>4.4630828588566459E-6</v>
      </c>
      <c r="Y15" s="54" t="s">
        <v>220</v>
      </c>
      <c r="Z15" s="54" t="s">
        <v>217</v>
      </c>
      <c r="AA15" s="54" t="s">
        <v>218</v>
      </c>
      <c r="AC15" s="54" t="s">
        <v>220</v>
      </c>
      <c r="AD15" s="54" t="s">
        <v>217</v>
      </c>
      <c r="AE15" s="54" t="s">
        <v>218</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54" t="s">
        <v>219</v>
      </c>
      <c r="Z16" s="1">
        <f>$V$11-$W$11</f>
        <v>60</v>
      </c>
      <c r="AA16" s="1">
        <v>0</v>
      </c>
      <c r="AC16" s="54" t="s">
        <v>219</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54" t="s">
        <v>221</v>
      </c>
      <c r="Z17" s="1">
        <f>Z16</f>
        <v>60</v>
      </c>
      <c r="AA17" s="1">
        <f>IF(Y13,MAX($V$15:$V$47),0)</f>
        <v>1.9894431016018829E-2</v>
      </c>
      <c r="AC17" s="54" t="s">
        <v>221</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54" t="s">
        <v>222</v>
      </c>
      <c r="Z18" s="54" t="s">
        <v>217</v>
      </c>
      <c r="AA18" s="54" t="s">
        <v>218</v>
      </c>
      <c r="AC18" s="54" t="s">
        <v>222</v>
      </c>
      <c r="AD18" s="54" t="s">
        <v>217</v>
      </c>
      <c r="AE18" s="54" t="s">
        <v>218</v>
      </c>
    </row>
    <row r="19" spans="2:31">
      <c r="C19" s="9"/>
      <c r="D19" s="9"/>
      <c r="U19" s="1">
        <f t="shared" si="2"/>
        <v>19.636363636363637</v>
      </c>
      <c r="V19" s="1">
        <f t="shared" si="0"/>
        <v>2.0979461060970466E-4</v>
      </c>
      <c r="W19" s="1">
        <f t="shared" si="1"/>
        <v>1.5436359491898969E-4</v>
      </c>
      <c r="Y19" s="54" t="s">
        <v>219</v>
      </c>
      <c r="Z19" s="1">
        <f>$V$11+$W$11</f>
        <v>100</v>
      </c>
      <c r="AA19" s="1">
        <v>0</v>
      </c>
      <c r="AC19" s="54" t="s">
        <v>219</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54" t="s">
        <v>221</v>
      </c>
      <c r="Z20" s="1">
        <f>Z19</f>
        <v>100</v>
      </c>
      <c r="AA20" s="1">
        <f>AA17</f>
        <v>1.9894431016018829E-2</v>
      </c>
      <c r="AC20" s="54" t="s">
        <v>221</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224</v>
      </c>
      <c r="AC22" s="9" t="s">
        <v>226</v>
      </c>
    </row>
    <row r="23" spans="2:31">
      <c r="U23" s="1">
        <f t="shared" si="2"/>
        <v>39.272727272727273</v>
      </c>
      <c r="V23" s="1">
        <f t="shared" si="0"/>
        <v>2.5085277881360035E-3</v>
      </c>
      <c r="W23" s="1">
        <f t="shared" si="1"/>
        <v>2.0361477785416481E-3</v>
      </c>
      <c r="Y23" s="54" t="s">
        <v>220</v>
      </c>
      <c r="Z23" s="54" t="s">
        <v>217</v>
      </c>
      <c r="AA23" s="54" t="s">
        <v>218</v>
      </c>
      <c r="AC23" s="54" t="s">
        <v>220</v>
      </c>
      <c r="AD23" s="54" t="s">
        <v>217</v>
      </c>
      <c r="AE23" s="54" t="s">
        <v>218</v>
      </c>
    </row>
    <row r="24" spans="2:31">
      <c r="U24" s="1">
        <f t="shared" si="2"/>
        <v>44.18181818181818</v>
      </c>
      <c r="V24" s="1">
        <f t="shared" si="0"/>
        <v>4.0124690951094319E-3</v>
      </c>
      <c r="W24" s="1">
        <f t="shared" si="1"/>
        <v>3.3378132506082709E-3</v>
      </c>
      <c r="Y24" s="54" t="s">
        <v>219</v>
      </c>
      <c r="Z24" s="1">
        <f>$V$12-$W$12</f>
        <v>62</v>
      </c>
      <c r="AA24" s="1">
        <v>0</v>
      </c>
      <c r="AC24" s="54" t="s">
        <v>219</v>
      </c>
      <c r="AD24" s="1">
        <f>$V$12-$Y$12</f>
        <v>78.595283984193344</v>
      </c>
      <c r="AE24" s="1">
        <v>0</v>
      </c>
    </row>
    <row r="25" spans="2:31">
      <c r="U25" s="1">
        <f t="shared" si="2"/>
        <v>49.090909090909086</v>
      </c>
      <c r="V25" s="1">
        <f t="shared" si="0"/>
        <v>6.0428127835749435E-3</v>
      </c>
      <c r="W25" s="1">
        <f t="shared" si="1"/>
        <v>5.1516865249837916E-3</v>
      </c>
      <c r="Y25" s="54" t="s">
        <v>221</v>
      </c>
      <c r="Z25" s="1">
        <f>Z24</f>
        <v>62</v>
      </c>
      <c r="AA25" s="1">
        <f>IF(Y13,MAX($W$15:$W$47),0)</f>
        <v>1.9894431016018833E-2</v>
      </c>
      <c r="AC25" s="54" t="s">
        <v>221</v>
      </c>
      <c r="AD25" s="1">
        <f>AD24</f>
        <v>78.595283984193344</v>
      </c>
      <c r="AE25" s="1">
        <f>IF(AC13,MAX($W$15:$W$47),0)</f>
        <v>0</v>
      </c>
    </row>
    <row r="26" spans="2:31">
      <c r="U26" s="1">
        <f t="shared" si="2"/>
        <v>53.999999999999993</v>
      </c>
      <c r="V26" s="1">
        <f t="shared" si="0"/>
        <v>8.5684296023903657E-3</v>
      </c>
      <c r="W26" s="1">
        <f t="shared" si="1"/>
        <v>7.4863732817872387E-3</v>
      </c>
      <c r="Y26" s="54" t="s">
        <v>222</v>
      </c>
      <c r="Z26" s="54" t="s">
        <v>217</v>
      </c>
      <c r="AA26" s="54" t="s">
        <v>218</v>
      </c>
      <c r="AC26" s="54" t="s">
        <v>222</v>
      </c>
      <c r="AD26" s="54" t="s">
        <v>217</v>
      </c>
      <c r="AE26" s="54" t="s">
        <v>218</v>
      </c>
    </row>
    <row r="27" spans="2:31">
      <c r="U27" s="1">
        <f t="shared" si="2"/>
        <v>58.909090909090899</v>
      </c>
      <c r="V27" s="1">
        <f t="shared" si="0"/>
        <v>1.1439261324980412E-2</v>
      </c>
      <c r="W27" s="1">
        <f t="shared" si="1"/>
        <v>1.0243023799262131E-2</v>
      </c>
      <c r="Y27" s="54" t="s">
        <v>219</v>
      </c>
      <c r="Z27" s="1">
        <f>$V$12+$W$12</f>
        <v>102</v>
      </c>
      <c r="AA27" s="1">
        <v>0</v>
      </c>
      <c r="AC27" s="54" t="s">
        <v>219</v>
      </c>
      <c r="AD27" s="1">
        <f>$V$12+$Y$12</f>
        <v>85.404716015806656</v>
      </c>
      <c r="AE27" s="1">
        <v>0</v>
      </c>
    </row>
    <row r="28" spans="2:31">
      <c r="U28" s="1">
        <f t="shared" si="2"/>
        <v>63.818181818181806</v>
      </c>
      <c r="V28" s="1">
        <f t="shared" si="0"/>
        <v>1.4379023204720835E-2</v>
      </c>
      <c r="W28" s="1">
        <f t="shared" si="1"/>
        <v>1.3195308262186492E-2</v>
      </c>
      <c r="Y28" s="54" t="s">
        <v>221</v>
      </c>
      <c r="Z28" s="1">
        <f>Z27</f>
        <v>102</v>
      </c>
      <c r="AA28" s="1">
        <f>AA25</f>
        <v>1.9894431016018833E-2</v>
      </c>
      <c r="AC28" s="54" t="s">
        <v>221</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229</v>
      </c>
    </row>
    <row r="31" spans="2:31">
      <c r="U31" s="1">
        <f t="shared" si="2"/>
        <v>78.545454545454533</v>
      </c>
      <c r="V31" s="1">
        <f t="shared" si="0"/>
        <v>1.9894431016018829E-2</v>
      </c>
      <c r="W31" s="1">
        <f t="shared" si="1"/>
        <v>1.9651764227432034E-2</v>
      </c>
      <c r="Y31" s="54" t="s">
        <v>220</v>
      </c>
      <c r="Z31" s="54" t="s">
        <v>217</v>
      </c>
      <c r="AA31" s="54" t="s">
        <v>218</v>
      </c>
    </row>
    <row r="32" spans="2:31">
      <c r="U32" s="1">
        <f t="shared" si="2"/>
        <v>83.454545454545439</v>
      </c>
      <c r="V32" s="1">
        <f t="shared" si="0"/>
        <v>1.9651764227432034E-2</v>
      </c>
      <c r="W32" s="1">
        <f t="shared" si="1"/>
        <v>1.9894431016018833E-2</v>
      </c>
      <c r="Y32" s="54" t="s">
        <v>219</v>
      </c>
      <c r="Z32" s="1">
        <f>AVERAGE($V$11,$V$12)-($C$6/2)</f>
        <v>76</v>
      </c>
      <c r="AA32" s="1">
        <v>0</v>
      </c>
    </row>
    <row r="33" spans="2:27">
      <c r="U33" s="1">
        <f t="shared" si="2"/>
        <v>88.363636363636346</v>
      </c>
      <c r="V33" s="1">
        <f t="shared" si="0"/>
        <v>1.8277055140371014E-2</v>
      </c>
      <c r="W33" s="1">
        <f t="shared" si="1"/>
        <v>1.8962524515457924E-2</v>
      </c>
      <c r="Y33" s="54" t="s">
        <v>221</v>
      </c>
      <c r="Z33" s="1">
        <f>Z32</f>
        <v>76</v>
      </c>
      <c r="AA33" s="1">
        <f>IF($Y$29,MAX($V$15:$W$47),0)</f>
        <v>1.9894431016018833E-2</v>
      </c>
    </row>
    <row r="34" spans="2:27">
      <c r="U34" s="1">
        <f t="shared" si="2"/>
        <v>93.272727272727252</v>
      </c>
      <c r="V34" s="1">
        <f t="shared" si="0"/>
        <v>1.6004626883487763E-2</v>
      </c>
      <c r="W34" s="1">
        <f t="shared" si="1"/>
        <v>1.7017487588748555E-2</v>
      </c>
      <c r="Y34" s="54" t="s">
        <v>222</v>
      </c>
      <c r="Z34" s="54" t="s">
        <v>217</v>
      </c>
      <c r="AA34" s="54" t="s">
        <v>218</v>
      </c>
    </row>
    <row r="35" spans="2:27">
      <c r="U35" s="1">
        <f t="shared" si="2"/>
        <v>98.181818181818159</v>
      </c>
      <c r="V35" s="1">
        <f t="shared" si="0"/>
        <v>1.3195308262186515E-2</v>
      </c>
      <c r="W35" s="1">
        <f t="shared" si="1"/>
        <v>1.4379023204720856E-2</v>
      </c>
      <c r="Y35" s="54" t="s">
        <v>219</v>
      </c>
      <c r="Z35" s="1">
        <f>AVERAGE($V$11,$V$12)+($C$6/2)</f>
        <v>86</v>
      </c>
      <c r="AA35" s="1">
        <v>0</v>
      </c>
    </row>
    <row r="36" spans="2:27">
      <c r="U36" s="1">
        <f t="shared" si="2"/>
        <v>103.09090909090907</v>
      </c>
      <c r="V36" s="1">
        <f t="shared" si="0"/>
        <v>1.024302379926215E-2</v>
      </c>
      <c r="W36" s="1">
        <f t="shared" si="1"/>
        <v>1.1439261324980434E-2</v>
      </c>
      <c r="Y36" s="54" t="s">
        <v>221</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125</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127</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124</v>
      </c>
    </row>
    <row r="2" spans="2:31" ht="13.5" thickBot="1">
      <c r="B2" s="1" t="s">
        <v>1</v>
      </c>
      <c r="C2" s="2">
        <v>0.9</v>
      </c>
      <c r="D2" s="1" t="s">
        <v>21</v>
      </c>
      <c r="N2" s="5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54" t="s">
        <v>235</v>
      </c>
      <c r="K7" s="9" t="str">
        <f>IF(C7&gt;=C6,"WARNING: Expected mean difference higher than maximum allowable difference.","")</f>
        <v/>
      </c>
    </row>
    <row r="8" spans="2:31" ht="13.5" thickBot="1">
      <c r="B8" s="12" t="s">
        <v>120</v>
      </c>
      <c r="C8" s="11">
        <f>C6/C5</f>
        <v>0.25</v>
      </c>
    </row>
    <row r="10" spans="2:31" ht="13.5" thickBot="1">
      <c r="B10" s="8" t="s">
        <v>18</v>
      </c>
      <c r="C10" s="1">
        <f>C5</f>
        <v>40</v>
      </c>
      <c r="V10" s="54" t="s">
        <v>215</v>
      </c>
      <c r="W10" s="54" t="s">
        <v>213</v>
      </c>
      <c r="X10" s="54" t="s">
        <v>216</v>
      </c>
      <c r="Y10" s="54" t="s">
        <v>214</v>
      </c>
      <c r="AA10" s="54" t="s">
        <v>227</v>
      </c>
      <c r="AB10" s="54" t="s">
        <v>228</v>
      </c>
    </row>
    <row r="11" spans="2:31" ht="13.5" thickBot="1">
      <c r="B11" s="1" t="s">
        <v>16</v>
      </c>
      <c r="C11" s="7">
        <v>235</v>
      </c>
      <c r="U11" s="54" t="s">
        <v>209</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54" t="s">
        <v>210</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54" t="s">
        <v>208</v>
      </c>
      <c r="V14" s="54" t="s">
        <v>211</v>
      </c>
      <c r="W14" s="54" t="s">
        <v>212</v>
      </c>
      <c r="Y14" s="9" t="s">
        <v>223</v>
      </c>
      <c r="AC14" s="9" t="s">
        <v>225</v>
      </c>
    </row>
    <row r="15" spans="2:31">
      <c r="U15" s="1">
        <v>0</v>
      </c>
      <c r="V15" s="1">
        <f>_xlfn.NORM.DIST($U15,$V$11,$C$5,FALSE)</f>
        <v>3.3457556441221339E-6</v>
      </c>
      <c r="W15" s="1">
        <f>_xlfn.NORM.DIST($U15,$V$12,$C$5,FALSE)</f>
        <v>4.0814102191560501E-6</v>
      </c>
      <c r="Y15" s="54" t="s">
        <v>220</v>
      </c>
      <c r="Z15" s="54" t="s">
        <v>217</v>
      </c>
      <c r="AA15" s="54" t="s">
        <v>218</v>
      </c>
      <c r="AC15" s="54" t="s">
        <v>220</v>
      </c>
      <c r="AD15" s="54" t="s">
        <v>217</v>
      </c>
      <c r="AE15" s="54" t="s">
        <v>218</v>
      </c>
    </row>
    <row r="16" spans="2:31">
      <c r="U16" s="1">
        <f>U15+$AB$11</f>
        <v>9.6363636363636367</v>
      </c>
      <c r="V16" s="1">
        <f t="shared" ref="V16:V47" si="0">_xlfn.NORM.DIST($U16,$V$11,$C$5,FALSE)</f>
        <v>8.5190969142286929E-6</v>
      </c>
      <c r="W16" s="1">
        <f t="shared" ref="W16:W47" si="1">_xlfn.NORM.DIST($U16,$V$12,$C$5,FALSE)</f>
        <v>1.0267821561026E-5</v>
      </c>
      <c r="Y16" s="54" t="s">
        <v>219</v>
      </c>
      <c r="Z16" s="1">
        <f>$V$11-$W$11</f>
        <v>120</v>
      </c>
      <c r="AA16" s="1">
        <v>0</v>
      </c>
      <c r="AC16" s="54" t="s">
        <v>219</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54" t="s">
        <v>221</v>
      </c>
      <c r="Z17" s="1">
        <f>Z16</f>
        <v>120</v>
      </c>
      <c r="AA17" s="1">
        <f>IF(Y13,MAX($V$15:$V$47),0)</f>
        <v>9.928222971854481E-3</v>
      </c>
      <c r="AC17" s="54" t="s">
        <v>221</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54" t="s">
        <v>222</v>
      </c>
      <c r="Z18" s="54" t="s">
        <v>217</v>
      </c>
      <c r="AA18" s="54" t="s">
        <v>218</v>
      </c>
      <c r="AC18" s="54" t="s">
        <v>222</v>
      </c>
      <c r="AD18" s="54" t="s">
        <v>217</v>
      </c>
      <c r="AE18" s="54" t="s">
        <v>218</v>
      </c>
    </row>
    <row r="19" spans="2:31" ht="14.25">
      <c r="C19" s="16" t="s">
        <v>63</v>
      </c>
      <c r="D19" s="16" t="s">
        <v>64</v>
      </c>
      <c r="E19" s="16" t="s">
        <v>66</v>
      </c>
      <c r="U19" s="1">
        <f t="shared" si="2"/>
        <v>38.545454545454547</v>
      </c>
      <c r="V19" s="1">
        <f t="shared" si="0"/>
        <v>9.9279638982201362E-5</v>
      </c>
      <c r="W19" s="1">
        <f t="shared" si="1"/>
        <v>1.1541204057253558E-4</v>
      </c>
      <c r="Y19" s="54" t="s">
        <v>219</v>
      </c>
      <c r="Z19" s="1">
        <f>$V$11+$W$11</f>
        <v>200</v>
      </c>
      <c r="AA19" s="1">
        <v>0</v>
      </c>
      <c r="AC19" s="54" t="s">
        <v>219</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54" t="s">
        <v>221</v>
      </c>
      <c r="Z20" s="1">
        <f>Z19</f>
        <v>200</v>
      </c>
      <c r="AA20" s="1">
        <f>AA17</f>
        <v>9.928222971854481E-3</v>
      </c>
      <c r="AC20" s="54" t="s">
        <v>221</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224</v>
      </c>
      <c r="AC22" s="9" t="s">
        <v>226</v>
      </c>
    </row>
    <row r="23" spans="2:31">
      <c r="U23" s="1">
        <f t="shared" si="2"/>
        <v>77.090909090909108</v>
      </c>
      <c r="V23" s="1">
        <f t="shared" si="0"/>
        <v>1.1639717952255752E-3</v>
      </c>
      <c r="W23" s="1">
        <f t="shared" si="1"/>
        <v>1.2894612322899819E-3</v>
      </c>
      <c r="Y23" s="54" t="s">
        <v>220</v>
      </c>
      <c r="Z23" s="54" t="s">
        <v>217</v>
      </c>
      <c r="AA23" s="54" t="s">
        <v>218</v>
      </c>
      <c r="AC23" s="54" t="s">
        <v>220</v>
      </c>
      <c r="AD23" s="54" t="s">
        <v>217</v>
      </c>
      <c r="AE23" s="54" t="s">
        <v>218</v>
      </c>
    </row>
    <row r="24" spans="2:31">
      <c r="U24" s="1">
        <f t="shared" si="2"/>
        <v>86.727272727272748</v>
      </c>
      <c r="V24" s="1">
        <f t="shared" si="0"/>
        <v>1.8629446220754387E-3</v>
      </c>
      <c r="W24" s="1">
        <f t="shared" si="1"/>
        <v>2.0390811202563343E-3</v>
      </c>
      <c r="Y24" s="54" t="s">
        <v>219</v>
      </c>
      <c r="Z24" s="1">
        <f>$V$12-$W$12</f>
        <v>118</v>
      </c>
      <c r="AA24" s="1">
        <v>0</v>
      </c>
      <c r="AC24" s="54" t="s">
        <v>219</v>
      </c>
      <c r="AD24" s="1">
        <f>$V$12-$Y$12</f>
        <v>152.85913918691094</v>
      </c>
      <c r="AE24" s="1">
        <v>0</v>
      </c>
    </row>
    <row r="25" spans="2:31">
      <c r="U25" s="1">
        <f t="shared" si="2"/>
        <v>96.363636363636388</v>
      </c>
      <c r="V25" s="1">
        <f t="shared" si="0"/>
        <v>2.8135342236326626E-3</v>
      </c>
      <c r="W25" s="1">
        <f t="shared" si="1"/>
        <v>3.0426744393168446E-3</v>
      </c>
      <c r="Y25" s="54" t="s">
        <v>221</v>
      </c>
      <c r="Z25" s="1">
        <f>Z24</f>
        <v>118</v>
      </c>
      <c r="AA25" s="1">
        <f>IF(Y13,MAX($W$15:$W$47),0)</f>
        <v>9.928222971854481E-3</v>
      </c>
      <c r="AC25" s="54" t="s">
        <v>221</v>
      </c>
      <c r="AD25" s="1">
        <f>AD24</f>
        <v>152.85913918691094</v>
      </c>
      <c r="AE25" s="1">
        <f>IF(AC13,MAX($W$15:$W$47),0)</f>
        <v>0</v>
      </c>
    </row>
    <row r="26" spans="2:31">
      <c r="U26" s="1">
        <f t="shared" si="2"/>
        <v>106.00000000000003</v>
      </c>
      <c r="V26" s="1">
        <f t="shared" si="0"/>
        <v>4.0095831835479942E-3</v>
      </c>
      <c r="W26" s="1">
        <f t="shared" si="1"/>
        <v>4.2842148011951872E-3</v>
      </c>
      <c r="Y26" s="54" t="s">
        <v>222</v>
      </c>
      <c r="Z26" s="54" t="s">
        <v>217</v>
      </c>
      <c r="AA26" s="54" t="s">
        <v>218</v>
      </c>
      <c r="AC26" s="54" t="s">
        <v>222</v>
      </c>
      <c r="AD26" s="54" t="s">
        <v>217</v>
      </c>
      <c r="AE26" s="54" t="s">
        <v>218</v>
      </c>
    </row>
    <row r="27" spans="2:31">
      <c r="U27" s="1">
        <f t="shared" si="2"/>
        <v>115.63636363636367</v>
      </c>
      <c r="V27" s="1">
        <f t="shared" si="0"/>
        <v>5.3918899813496695E-3</v>
      </c>
      <c r="W27" s="1">
        <f t="shared" si="1"/>
        <v>5.6922210507011541E-3</v>
      </c>
      <c r="Y27" s="54" t="s">
        <v>219</v>
      </c>
      <c r="Z27" s="1">
        <f>$V$12+$W$12</f>
        <v>198</v>
      </c>
      <c r="AA27" s="1">
        <v>0</v>
      </c>
      <c r="AC27" s="54" t="s">
        <v>219</v>
      </c>
      <c r="AD27" s="1">
        <f>$V$12+$Y$12</f>
        <v>163.14086081308906</v>
      </c>
      <c r="AE27" s="1">
        <v>0</v>
      </c>
    </row>
    <row r="28" spans="2:31">
      <c r="U28" s="1">
        <f t="shared" si="2"/>
        <v>125.27272727272731</v>
      </c>
      <c r="V28" s="1">
        <f t="shared" si="0"/>
        <v>6.8419135888044902E-3</v>
      </c>
      <c r="W28" s="1">
        <f t="shared" si="1"/>
        <v>7.1365291724601312E-3</v>
      </c>
      <c r="Y28" s="54" t="s">
        <v>221</v>
      </c>
      <c r="Z28" s="1">
        <f>Z27</f>
        <v>198</v>
      </c>
      <c r="AA28" s="1">
        <f>AA25</f>
        <v>9.928222971854481E-3</v>
      </c>
      <c r="AC28" s="54" t="s">
        <v>221</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229</v>
      </c>
    </row>
    <row r="31" spans="2:31">
      <c r="U31" s="1">
        <f t="shared" si="2"/>
        <v>154.18181818181819</v>
      </c>
      <c r="V31" s="1">
        <f t="shared" si="0"/>
        <v>9.8686076960690251E-3</v>
      </c>
      <c r="W31" s="1">
        <f t="shared" si="1"/>
        <v>9.928222971854481E-3</v>
      </c>
      <c r="Y31" s="54" t="s">
        <v>220</v>
      </c>
      <c r="Z31" s="54" t="s">
        <v>217</v>
      </c>
      <c r="AA31" s="54" t="s">
        <v>218</v>
      </c>
    </row>
    <row r="32" spans="2:31">
      <c r="U32" s="1">
        <f t="shared" si="2"/>
        <v>163.81818181818181</v>
      </c>
      <c r="V32" s="1">
        <f t="shared" si="0"/>
        <v>9.928222971854481E-3</v>
      </c>
      <c r="W32" s="1">
        <f t="shared" si="1"/>
        <v>9.8686076960690251E-3</v>
      </c>
      <c r="Y32" s="54" t="s">
        <v>219</v>
      </c>
      <c r="Z32" s="1">
        <f>$V$12-$C$6</f>
        <v>148</v>
      </c>
      <c r="AA32" s="1">
        <v>0</v>
      </c>
    </row>
    <row r="33" spans="2:27">
      <c r="U33" s="1">
        <f t="shared" si="2"/>
        <v>173.45454545454544</v>
      </c>
      <c r="V33" s="1">
        <f t="shared" si="0"/>
        <v>9.4250123504863344E-3</v>
      </c>
      <c r="W33" s="1">
        <f t="shared" si="1"/>
        <v>9.2562487307598553E-3</v>
      </c>
      <c r="Y33" s="54" t="s">
        <v>221</v>
      </c>
      <c r="Z33" s="1">
        <f>Z32</f>
        <v>148</v>
      </c>
      <c r="AA33" s="1">
        <f>IF($Y$29,MAX($V$15:$W$47),0)</f>
        <v>9.928222971854481E-3</v>
      </c>
    </row>
    <row r="34" spans="2:27">
      <c r="U34" s="1">
        <f t="shared" si="2"/>
        <v>183.09090909090907</v>
      </c>
      <c r="V34" s="1">
        <f t="shared" si="0"/>
        <v>8.442811682249288E-3</v>
      </c>
      <c r="W34" s="1">
        <f t="shared" si="1"/>
        <v>8.1923578849734564E-3</v>
      </c>
      <c r="Y34" s="54" t="s">
        <v>222</v>
      </c>
      <c r="Z34" s="54" t="s">
        <v>217</v>
      </c>
      <c r="AA34" s="54" t="s">
        <v>218</v>
      </c>
    </row>
    <row r="35" spans="2:27">
      <c r="U35" s="1">
        <f t="shared" si="2"/>
        <v>192.72727272727269</v>
      </c>
      <c r="V35" s="1">
        <f t="shared" si="0"/>
        <v>7.1365291724601312E-3</v>
      </c>
      <c r="W35" s="1">
        <f t="shared" si="1"/>
        <v>6.8419135888044902E-3</v>
      </c>
      <c r="Y35" s="54" t="s">
        <v>219</v>
      </c>
      <c r="Z35" s="1">
        <f>$V$12+$C$6</f>
        <v>168</v>
      </c>
      <c r="AA35" s="1">
        <v>0</v>
      </c>
    </row>
    <row r="36" spans="2:27" ht="20.25" customHeight="1">
      <c r="U36" s="1">
        <f t="shared" si="2"/>
        <v>202.36363636363632</v>
      </c>
      <c r="V36" s="1">
        <f t="shared" si="0"/>
        <v>5.692221050701155E-3</v>
      </c>
      <c r="W36" s="1">
        <f t="shared" si="1"/>
        <v>5.3918899813496703E-3</v>
      </c>
      <c r="Y36" s="54" t="s">
        <v>221</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125</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127</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124</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54" t="s">
        <v>235</v>
      </c>
      <c r="K7" s="9" t="str">
        <f>IF(C7&gt;=C6,"WARNING: Expected mean difference higher than maximum allowable difference.","")</f>
        <v/>
      </c>
    </row>
    <row r="8" spans="2:31" ht="16.5" thickBot="1">
      <c r="B8" s="12" t="s">
        <v>121</v>
      </c>
      <c r="C8" s="11">
        <f>C6/C5</f>
        <v>0.5</v>
      </c>
    </row>
    <row r="10" spans="2:31" ht="16.5" thickBot="1">
      <c r="B10" s="8" t="s">
        <v>26</v>
      </c>
      <c r="C10" s="1">
        <f>C5</f>
        <v>20</v>
      </c>
      <c r="V10" s="54" t="s">
        <v>215</v>
      </c>
      <c r="W10" s="54" t="s">
        <v>213</v>
      </c>
      <c r="X10" s="54" t="s">
        <v>216</v>
      </c>
      <c r="Y10" s="54" t="s">
        <v>214</v>
      </c>
      <c r="AA10" s="54" t="s">
        <v>227</v>
      </c>
      <c r="AB10" s="54" t="s">
        <v>228</v>
      </c>
    </row>
    <row r="11" spans="2:31" ht="13.5" thickBot="1">
      <c r="B11" s="1" t="s">
        <v>16</v>
      </c>
      <c r="C11" s="7">
        <v>61</v>
      </c>
      <c r="U11" s="54" t="s">
        <v>209</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54" t="s">
        <v>210</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54" t="s">
        <v>208</v>
      </c>
      <c r="V14" s="54" t="s">
        <v>211</v>
      </c>
      <c r="W14" s="54" t="s">
        <v>212</v>
      </c>
      <c r="Y14" s="9" t="s">
        <v>223</v>
      </c>
      <c r="AC14" s="9" t="s">
        <v>225</v>
      </c>
    </row>
    <row r="15" spans="2:31">
      <c r="U15" s="1">
        <v>0</v>
      </c>
      <c r="V15" s="1">
        <f>_xlfn.NORM.DIST($U15,$V$11,$C$5,FALSE)</f>
        <v>6.6915112882442679E-6</v>
      </c>
      <c r="W15" s="1">
        <f>_xlfn.NORM.DIST($U15,$V$12,$C$5,FALSE)</f>
        <v>9.9327735696386359E-6</v>
      </c>
      <c r="Y15" s="54" t="s">
        <v>220</v>
      </c>
      <c r="Z15" s="54" t="s">
        <v>217</v>
      </c>
      <c r="AA15" s="54" t="s">
        <v>218</v>
      </c>
      <c r="AC15" s="54" t="s">
        <v>220</v>
      </c>
      <c r="AD15" s="54" t="s">
        <v>217</v>
      </c>
      <c r="AE15" s="54" t="s">
        <v>218</v>
      </c>
    </row>
    <row r="16" spans="2:31">
      <c r="U16" s="1">
        <f>U15+$AB$11</f>
        <v>4.7878787878787881</v>
      </c>
      <c r="V16" s="1">
        <f t="shared" ref="V16:V47" si="0">_xlfn.NORM.DIST($U16,$V$11,$C$5,FALSE)</f>
        <v>1.6941407610670937E-5</v>
      </c>
      <c r="W16" s="1">
        <f t="shared" ref="W16:W47" si="1">_xlfn.NORM.DIST($U16,$V$12,$C$5,FALSE)</f>
        <v>2.4552689145403102E-5</v>
      </c>
      <c r="Y16" s="54" t="s">
        <v>219</v>
      </c>
      <c r="Z16" s="1">
        <f>$V$11-$W$11</f>
        <v>60</v>
      </c>
      <c r="AA16" s="1">
        <v>0</v>
      </c>
      <c r="AC16" s="54" t="s">
        <v>219</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54" t="s">
        <v>221</v>
      </c>
      <c r="Z17" s="1">
        <f>Z16</f>
        <v>60</v>
      </c>
      <c r="AA17" s="1">
        <f>IF(Y13,MAX($V$15:$V$47),0)</f>
        <v>1.9898724584214315E-2</v>
      </c>
      <c r="AC17" s="54" t="s">
        <v>221</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54" t="s">
        <v>222</v>
      </c>
      <c r="Z18" s="54" t="s">
        <v>217</v>
      </c>
      <c r="AA18" s="54" t="s">
        <v>218</v>
      </c>
      <c r="AC18" s="54" t="s">
        <v>222</v>
      </c>
      <c r="AD18" s="54" t="s">
        <v>217</v>
      </c>
      <c r="AE18" s="54" t="s">
        <v>218</v>
      </c>
    </row>
    <row r="19" spans="2:31">
      <c r="C19" s="9"/>
      <c r="D19" s="9"/>
      <c r="U19" s="1">
        <f t="shared" si="2"/>
        <v>19.151515151515152</v>
      </c>
      <c r="V19" s="1">
        <f t="shared" si="0"/>
        <v>1.9493518442765021E-4</v>
      </c>
      <c r="W19" s="1">
        <f t="shared" si="1"/>
        <v>2.6293570641790979E-4</v>
      </c>
      <c r="Y19" s="54" t="s">
        <v>219</v>
      </c>
      <c r="Z19" s="1">
        <f>$V$11+$W$11</f>
        <v>100</v>
      </c>
      <c r="AA19" s="1">
        <v>0</v>
      </c>
      <c r="AC19" s="54" t="s">
        <v>219</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54" t="s">
        <v>221</v>
      </c>
      <c r="Z20" s="1">
        <f>Z19</f>
        <v>100</v>
      </c>
      <c r="AA20" s="1">
        <f>AA17</f>
        <v>1.9898724584214315E-2</v>
      </c>
      <c r="AC20" s="54" t="s">
        <v>221</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224</v>
      </c>
      <c r="AC22" s="9" t="s">
        <v>226</v>
      </c>
    </row>
    <row r="23" spans="2:31">
      <c r="U23" s="1">
        <f t="shared" si="2"/>
        <v>38.303030303030305</v>
      </c>
      <c r="V23" s="1">
        <f t="shared" si="0"/>
        <v>2.2700182471111548E-3</v>
      </c>
      <c r="W23" s="1">
        <f t="shared" si="1"/>
        <v>2.7822855168983234E-3</v>
      </c>
      <c r="Y23" s="54" t="s">
        <v>220</v>
      </c>
      <c r="Z23" s="54" t="s">
        <v>217</v>
      </c>
      <c r="AA23" s="54" t="s">
        <v>218</v>
      </c>
      <c r="AC23" s="54" t="s">
        <v>220</v>
      </c>
      <c r="AD23" s="54" t="s">
        <v>217</v>
      </c>
      <c r="AE23" s="54" t="s">
        <v>218</v>
      </c>
    </row>
    <row r="24" spans="2:31">
      <c r="U24" s="1">
        <f t="shared" si="2"/>
        <v>43.090909090909093</v>
      </c>
      <c r="V24" s="1">
        <f t="shared" si="0"/>
        <v>3.6336339386543325E-3</v>
      </c>
      <c r="W24" s="1">
        <f t="shared" si="1"/>
        <v>4.3482727057223506E-3</v>
      </c>
      <c r="Y24" s="54" t="s">
        <v>219</v>
      </c>
      <c r="Z24" s="1">
        <f>$V$12-$W$12</f>
        <v>58</v>
      </c>
      <c r="AA24" s="1">
        <v>0</v>
      </c>
      <c r="AC24" s="54" t="s">
        <v>219</v>
      </c>
      <c r="AD24" s="1">
        <f>$V$12-$Y$12</f>
        <v>72.875975900588656</v>
      </c>
      <c r="AE24" s="1">
        <v>0</v>
      </c>
    </row>
    <row r="25" spans="2:31">
      <c r="U25" s="1">
        <f t="shared" si="2"/>
        <v>47.878787878787882</v>
      </c>
      <c r="V25" s="1">
        <f t="shared" si="0"/>
        <v>5.4924209732535069E-3</v>
      </c>
      <c r="W25" s="1">
        <f t="shared" si="1"/>
        <v>6.4171570829679144E-3</v>
      </c>
      <c r="Y25" s="54" t="s">
        <v>221</v>
      </c>
      <c r="Z25" s="1">
        <f>Z24</f>
        <v>58</v>
      </c>
      <c r="AA25" s="1">
        <f>IF(Y13,MAX($W$15:$W$47),0)</f>
        <v>1.9898724584214312E-2</v>
      </c>
      <c r="AC25" s="54" t="s">
        <v>221</v>
      </c>
      <c r="AD25" s="1">
        <f>AD24</f>
        <v>72.875975900588656</v>
      </c>
      <c r="AE25" s="1">
        <f>IF(AC13,MAX($W$15:$W$47),0)</f>
        <v>0</v>
      </c>
    </row>
    <row r="26" spans="2:31">
      <c r="U26" s="1">
        <f t="shared" si="2"/>
        <v>52.666666666666671</v>
      </c>
      <c r="V26" s="1">
        <f t="shared" si="0"/>
        <v>7.8396609192754318E-3</v>
      </c>
      <c r="W26" s="1">
        <f t="shared" si="1"/>
        <v>8.9429208247270298E-3</v>
      </c>
      <c r="Y26" s="54" t="s">
        <v>222</v>
      </c>
      <c r="Z26" s="54" t="s">
        <v>217</v>
      </c>
      <c r="AA26" s="54" t="s">
        <v>218</v>
      </c>
      <c r="AC26" s="54" t="s">
        <v>222</v>
      </c>
      <c r="AD26" s="54" t="s">
        <v>217</v>
      </c>
      <c r="AE26" s="54" t="s">
        <v>218</v>
      </c>
    </row>
    <row r="27" spans="2:31">
      <c r="U27" s="1">
        <f t="shared" si="2"/>
        <v>57.45454545454546</v>
      </c>
      <c r="V27" s="1">
        <f t="shared" si="0"/>
        <v>1.0566753093708884E-2</v>
      </c>
      <c r="W27" s="1">
        <f t="shared" si="1"/>
        <v>1.1768657388551491E-2</v>
      </c>
      <c r="Y27" s="54" t="s">
        <v>219</v>
      </c>
      <c r="Z27" s="1">
        <f>$V$12+$W$12</f>
        <v>98</v>
      </c>
      <c r="AA27" s="1">
        <v>0</v>
      </c>
      <c r="AC27" s="54" t="s">
        <v>219</v>
      </c>
      <c r="AD27" s="1">
        <f>$V$12+$Y$12</f>
        <v>83.124024099411344</v>
      </c>
      <c r="AE27" s="1">
        <v>0</v>
      </c>
    </row>
    <row r="28" spans="2:31">
      <c r="U28" s="1">
        <f t="shared" si="2"/>
        <v>62.242424242424249</v>
      </c>
      <c r="V28" s="1">
        <f t="shared" si="0"/>
        <v>1.344920640875991E-2</v>
      </c>
      <c r="W28" s="1">
        <f t="shared" si="1"/>
        <v>1.4624642962929819E-2</v>
      </c>
      <c r="Y28" s="54" t="s">
        <v>221</v>
      </c>
      <c r="Z28" s="1">
        <f>Z27</f>
        <v>98</v>
      </c>
      <c r="AA28" s="1">
        <f>AA25</f>
        <v>1.9898724584214312E-2</v>
      </c>
      <c r="AC28" s="54" t="s">
        <v>221</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229</v>
      </c>
    </row>
    <row r="31" spans="2:31">
      <c r="U31" s="1">
        <f t="shared" si="2"/>
        <v>76.606060606060595</v>
      </c>
      <c r="V31" s="1">
        <f t="shared" si="0"/>
        <v>1.9661962691716266E-2</v>
      </c>
      <c r="W31" s="1">
        <f t="shared" si="1"/>
        <v>1.9898724584214312E-2</v>
      </c>
      <c r="Y31" s="54" t="s">
        <v>220</v>
      </c>
      <c r="Z31" s="54" t="s">
        <v>217</v>
      </c>
      <c r="AA31" s="54" t="s">
        <v>218</v>
      </c>
    </row>
    <row r="32" spans="2:31">
      <c r="U32" s="1">
        <f t="shared" si="2"/>
        <v>81.393939393939377</v>
      </c>
      <c r="V32" s="1">
        <f t="shared" si="0"/>
        <v>1.9898724584214315E-2</v>
      </c>
      <c r="W32" s="1">
        <f t="shared" si="1"/>
        <v>1.9661962691716269E-2</v>
      </c>
      <c r="Y32" s="54" t="s">
        <v>219</v>
      </c>
      <c r="Z32" s="1">
        <f>$V$12-$C$6</f>
        <v>68</v>
      </c>
      <c r="AA32" s="1">
        <v>0</v>
      </c>
    </row>
    <row r="33" spans="2:27">
      <c r="U33" s="1">
        <f t="shared" si="2"/>
        <v>86.181818181818159</v>
      </c>
      <c r="V33" s="1">
        <f t="shared" si="0"/>
        <v>1.9016668369460466E-2</v>
      </c>
      <c r="W33" s="1">
        <f t="shared" si="1"/>
        <v>1.8345912291388617E-2</v>
      </c>
      <c r="Y33" s="54" t="s">
        <v>221</v>
      </c>
      <c r="Z33" s="1">
        <f>Z32</f>
        <v>68</v>
      </c>
      <c r="AA33" s="1">
        <f>IF($Y$29,MAX($V$15:$W$47),0)</f>
        <v>1.9898724584214315E-2</v>
      </c>
    </row>
    <row r="34" spans="2:27">
      <c r="U34" s="1">
        <f t="shared" si="2"/>
        <v>90.96969696969694</v>
      </c>
      <c r="V34" s="1">
        <f t="shared" si="0"/>
        <v>1.7161468335135838E-2</v>
      </c>
      <c r="W34" s="1">
        <f t="shared" si="1"/>
        <v>1.6164511205090777E-2</v>
      </c>
      <c r="Y34" s="54" t="s">
        <v>222</v>
      </c>
      <c r="Z34" s="54" t="s">
        <v>217</v>
      </c>
      <c r="AA34" s="54" t="s">
        <v>218</v>
      </c>
    </row>
    <row r="35" spans="2:27">
      <c r="U35" s="1">
        <f t="shared" si="2"/>
        <v>95.757575757575722</v>
      </c>
      <c r="V35" s="1">
        <f t="shared" si="0"/>
        <v>1.4624642962929837E-2</v>
      </c>
      <c r="W35" s="1">
        <f t="shared" si="1"/>
        <v>1.3449206408759923E-2</v>
      </c>
      <c r="Y35" s="54" t="s">
        <v>219</v>
      </c>
      <c r="Z35" s="1">
        <f>$V$12+$C$6</f>
        <v>88</v>
      </c>
      <c r="AA35" s="1">
        <v>0</v>
      </c>
    </row>
    <row r="36" spans="2:27">
      <c r="U36" s="1">
        <f t="shared" si="2"/>
        <v>100.5454545454545</v>
      </c>
      <c r="V36" s="1">
        <f t="shared" si="0"/>
        <v>1.176865738855151E-2</v>
      </c>
      <c r="W36" s="1">
        <f t="shared" si="1"/>
        <v>1.0566753093708905E-2</v>
      </c>
      <c r="Y36" s="54" t="s">
        <v>221</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125</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127</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124</v>
      </c>
    </row>
    <row r="2" spans="2:31" ht="13.5" thickBot="1">
      <c r="B2" s="1" t="s">
        <v>1</v>
      </c>
      <c r="C2" s="2">
        <v>0.8</v>
      </c>
    </row>
    <row r="3" spans="2:31" ht="13.5" thickBot="1">
      <c r="B3" s="1" t="s">
        <v>237</v>
      </c>
      <c r="C3" s="61">
        <v>1</v>
      </c>
      <c r="D3" s="1" t="s">
        <v>238</v>
      </c>
    </row>
    <row r="4" spans="2:31" ht="13.5" thickBot="1">
      <c r="B4" s="8" t="s">
        <v>59</v>
      </c>
      <c r="C4" s="2">
        <v>0.05</v>
      </c>
    </row>
    <row r="5" spans="2:31" ht="16.5" thickBot="1">
      <c r="B5" s="54" t="s">
        <v>239</v>
      </c>
      <c r="C5" s="43">
        <v>0.25</v>
      </c>
      <c r="D5" s="1" t="s">
        <v>130</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0.24622067706923975</v>
      </c>
      <c r="V10" s="54" t="s">
        <v>215</v>
      </c>
      <c r="W10" s="54" t="s">
        <v>213</v>
      </c>
      <c r="X10" s="54" t="s">
        <v>216</v>
      </c>
      <c r="Y10" s="54" t="s">
        <v>214</v>
      </c>
      <c r="AA10" s="54" t="s">
        <v>227</v>
      </c>
      <c r="AB10" s="54" t="s">
        <v>228</v>
      </c>
    </row>
    <row r="11" spans="2:31" ht="16.5" thickBot="1">
      <c r="B11" s="1" t="s">
        <v>35</v>
      </c>
      <c r="C11" s="7">
        <v>314</v>
      </c>
      <c r="U11" s="54" t="s">
        <v>209</v>
      </c>
      <c r="V11" s="57">
        <f>C6</f>
        <v>0.95</v>
      </c>
      <c r="W11" s="1">
        <f>$C$10</f>
        <v>0.24622067706923975</v>
      </c>
      <c r="X11" s="1">
        <f>W11/SQRT(C20)</f>
        <v>1.3895036667867591E-2</v>
      </c>
      <c r="Y11" s="1">
        <f>TINV($C$4*2,$C$20-2)*X11</f>
        <v>2.2923366260931499E-2</v>
      </c>
      <c r="AA11" s="58">
        <f>V11+4*W11</f>
        <v>1.9348827082769589</v>
      </c>
      <c r="AB11" s="1">
        <f>AA11/33</f>
        <v>5.8632809341726023E-2</v>
      </c>
    </row>
    <row r="12" spans="2:31" ht="15.75">
      <c r="B12" s="1" t="s">
        <v>36</v>
      </c>
      <c r="C12" s="1">
        <f>C11*(C3+1)-2</f>
        <v>626</v>
      </c>
      <c r="U12" s="54"/>
    </row>
    <row r="13" spans="2:31" ht="15.75">
      <c r="B13" s="1" t="s">
        <v>37</v>
      </c>
      <c r="C13" s="1">
        <f>TINV(C4*2,C12)</f>
        <v>1.6472913910930789</v>
      </c>
      <c r="Y13" s="1" t="b">
        <v>0</v>
      </c>
      <c r="AC13" s="1" t="b">
        <v>1</v>
      </c>
    </row>
    <row r="14" spans="2:31">
      <c r="B14" s="1" t="s">
        <v>3</v>
      </c>
      <c r="C14" s="1">
        <f>SQRT(C3*C11)*(LN(C6)-LN(C8))/SQRT((C3+1)*C10^2)</f>
        <v>-13.965861281382418</v>
      </c>
      <c r="U14" s="54" t="s">
        <v>208</v>
      </c>
      <c r="V14" s="54" t="s">
        <v>230</v>
      </c>
      <c r="W14" s="54"/>
      <c r="Y14" s="9" t="s">
        <v>223</v>
      </c>
      <c r="AC14" s="9" t="s">
        <v>225</v>
      </c>
    </row>
    <row r="15" spans="2:31">
      <c r="B15" s="1" t="s">
        <v>4</v>
      </c>
      <c r="C15" s="1">
        <f>SQRT(C3*C11)*(LN(C6)-LN(C7))/SQRT((C3+1)*C10^2)</f>
        <v>8.7453156782593595</v>
      </c>
      <c r="U15" s="1">
        <v>0</v>
      </c>
      <c r="V15" s="1">
        <f>_xlfn.NORM.DIST($U15,$V$11,$C$5,FALSE)</f>
        <v>1.1677877031658411E-3</v>
      </c>
      <c r="Y15" s="54" t="s">
        <v>220</v>
      </c>
      <c r="Z15" s="54" t="s">
        <v>217</v>
      </c>
      <c r="AA15" s="54" t="s">
        <v>218</v>
      </c>
      <c r="AC15" s="54" t="s">
        <v>220</v>
      </c>
      <c r="AD15" s="54" t="s">
        <v>217</v>
      </c>
      <c r="AE15" s="54" t="s">
        <v>218</v>
      </c>
    </row>
    <row r="16" spans="2:31">
      <c r="B16" s="1" t="s">
        <v>7</v>
      </c>
      <c r="C16" s="1">
        <f>NCt(-C13,C12,C14)</f>
        <v>1</v>
      </c>
      <c r="U16" s="1">
        <f>U15+$AB$11</f>
        <v>5.8632809341726023E-2</v>
      </c>
      <c r="V16" s="1">
        <f t="shared" ref="V16:V47" si="0">_xlfn.NORM.DIST($U16,$V$11,$C$5,FALSE)</f>
        <v>2.7699447059280034E-3</v>
      </c>
      <c r="Y16" s="54" t="s">
        <v>219</v>
      </c>
      <c r="Z16" s="1">
        <f>$V$11-$W$11</f>
        <v>0.70377932293076018</v>
      </c>
      <c r="AA16" s="1">
        <v>0</v>
      </c>
      <c r="AC16" s="54" t="s">
        <v>219</v>
      </c>
      <c r="AD16" s="1">
        <f>$V$11-$Y$11</f>
        <v>0.92707663373906846</v>
      </c>
      <c r="AE16" s="1">
        <v>0</v>
      </c>
    </row>
    <row r="17" spans="2:31">
      <c r="B17" s="1" t="s">
        <v>6</v>
      </c>
      <c r="C17" s="1">
        <f>NCt(C13,C12,C15)</f>
        <v>6.6084605577961474E-13</v>
      </c>
      <c r="U17" s="1">
        <f t="shared" ref="U17:U47" si="1">U16+$AB$11</f>
        <v>0.11726561868345205</v>
      </c>
      <c r="V17" s="1">
        <f t="shared" si="0"/>
        <v>6.2185621117606723E-3</v>
      </c>
      <c r="Y17" s="54" t="s">
        <v>221</v>
      </c>
      <c r="Z17" s="1">
        <f>Z16</f>
        <v>0.70377932293076018</v>
      </c>
      <c r="AA17" s="1">
        <f>IF(Y13,MAX($V$15:$V$47),0)</f>
        <v>0</v>
      </c>
      <c r="AC17" s="54" t="s">
        <v>221</v>
      </c>
      <c r="AD17" s="1">
        <f>AD16</f>
        <v>0.92707663373906846</v>
      </c>
      <c r="AE17" s="1">
        <f>IF(AC13,MAX($V$15:$V$47),0)</f>
        <v>1.5939698943202625</v>
      </c>
    </row>
    <row r="18" spans="2:31">
      <c r="B18" s="1" t="s">
        <v>58</v>
      </c>
      <c r="C18" s="1">
        <f>C16-C17</f>
        <v>0.9999999999993392</v>
      </c>
      <c r="E18" s="5"/>
      <c r="U18" s="1">
        <f t="shared" si="1"/>
        <v>0.17589842802517808</v>
      </c>
      <c r="V18" s="1">
        <f t="shared" si="0"/>
        <v>1.3213580903738755E-2</v>
      </c>
      <c r="Y18" s="54" t="s">
        <v>222</v>
      </c>
      <c r="Z18" s="54" t="s">
        <v>217</v>
      </c>
      <c r="AA18" s="54" t="s">
        <v>218</v>
      </c>
      <c r="AC18" s="54" t="s">
        <v>222</v>
      </c>
      <c r="AD18" s="54" t="s">
        <v>217</v>
      </c>
      <c r="AE18" s="54" t="s">
        <v>218</v>
      </c>
    </row>
    <row r="19" spans="2:31" ht="14.25">
      <c r="C19" s="16" t="s">
        <v>63</v>
      </c>
      <c r="D19" s="16" t="s">
        <v>64</v>
      </c>
      <c r="E19" s="16" t="s">
        <v>66</v>
      </c>
      <c r="U19" s="1">
        <f t="shared" si="1"/>
        <v>0.23453123736690409</v>
      </c>
      <c r="V19" s="1">
        <f t="shared" si="0"/>
        <v>2.6574356367658435E-2</v>
      </c>
      <c r="Y19" s="54" t="s">
        <v>219</v>
      </c>
      <c r="Z19" s="1">
        <f>$V$11+$W$11</f>
        <v>1.1962206770692396</v>
      </c>
      <c r="AA19" s="1">
        <v>0</v>
      </c>
      <c r="AC19" s="54" t="s">
        <v>219</v>
      </c>
      <c r="AD19" s="1">
        <f>$V$11+$Y$11</f>
        <v>0.97292336626093145</v>
      </c>
      <c r="AE19" s="1">
        <v>0</v>
      </c>
    </row>
    <row r="20" spans="2:31">
      <c r="B20" s="1" t="s">
        <v>11</v>
      </c>
      <c r="C20" s="1">
        <f>CEILING(C11,1)</f>
        <v>314</v>
      </c>
      <c r="D20" s="1">
        <f>C20*C3</f>
        <v>314</v>
      </c>
      <c r="E20" s="1">
        <f>C20+D20</f>
        <v>628</v>
      </c>
      <c r="U20" s="1">
        <f t="shared" si="1"/>
        <v>0.29316404670863011</v>
      </c>
      <c r="V20" s="1">
        <f t="shared" si="0"/>
        <v>5.0584406183643189E-2</v>
      </c>
      <c r="Y20" s="54" t="s">
        <v>221</v>
      </c>
      <c r="Z20" s="1">
        <f>Z19</f>
        <v>1.1962206770692396</v>
      </c>
      <c r="AA20" s="1">
        <f>AA17</f>
        <v>0</v>
      </c>
      <c r="AC20" s="54" t="s">
        <v>221</v>
      </c>
      <c r="AD20" s="1">
        <f>AD19</f>
        <v>0.97292336626093145</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c r="U30" s="1">
        <f t="shared" si="1"/>
        <v>0.87949214012589016</v>
      </c>
      <c r="V30" s="1">
        <f t="shared" si="0"/>
        <v>1.5335494667705791</v>
      </c>
      <c r="Y30" s="9" t="s">
        <v>231</v>
      </c>
    </row>
    <row r="31" spans="2:31">
      <c r="U31" s="1">
        <f t="shared" si="1"/>
        <v>0.93812494946761615</v>
      </c>
      <c r="V31" s="1">
        <f t="shared" si="0"/>
        <v>1.5939698943202625</v>
      </c>
      <c r="Y31" s="54" t="s">
        <v>220</v>
      </c>
      <c r="Z31" s="54" t="s">
        <v>217</v>
      </c>
      <c r="AA31" s="54" t="s">
        <v>218</v>
      </c>
    </row>
    <row r="32" spans="2:31">
      <c r="U32" s="1">
        <f t="shared" si="1"/>
        <v>0.99675775880934214</v>
      </c>
      <c r="V32" s="1">
        <f t="shared" si="0"/>
        <v>1.5681012990763428</v>
      </c>
      <c r="Y32" s="54" t="s">
        <v>219</v>
      </c>
      <c r="Z32" s="32">
        <f>C7</f>
        <v>0.8</v>
      </c>
      <c r="AA32" s="1">
        <v>0</v>
      </c>
    </row>
    <row r="33" spans="2:27">
      <c r="U33" s="1">
        <f t="shared" si="1"/>
        <v>1.0553905681510682</v>
      </c>
      <c r="V33" s="1">
        <f t="shared" si="0"/>
        <v>1.4600905481436155</v>
      </c>
      <c r="Y33" s="54" t="s">
        <v>221</v>
      </c>
      <c r="Z33" s="32">
        <f>Z32</f>
        <v>0.8</v>
      </c>
      <c r="AA33" s="1">
        <f>IF($Y$29,MAX($V$15:$W$47),0)</f>
        <v>1.5939698943202625</v>
      </c>
    </row>
    <row r="34" spans="2:27">
      <c r="U34" s="1">
        <f t="shared" si="1"/>
        <v>1.1140233774927943</v>
      </c>
      <c r="V34" s="1">
        <f t="shared" si="0"/>
        <v>1.2867587775324509</v>
      </c>
      <c r="Y34" s="54" t="s">
        <v>222</v>
      </c>
      <c r="Z34" s="54" t="s">
        <v>217</v>
      </c>
      <c r="AA34" s="54" t="s">
        <v>218</v>
      </c>
    </row>
    <row r="35" spans="2:27">
      <c r="U35" s="1">
        <f t="shared" si="1"/>
        <v>1.1726561868345204</v>
      </c>
      <c r="V35" s="1">
        <f t="shared" si="0"/>
        <v>1.0733124429725074</v>
      </c>
      <c r="Y35" s="54" t="s">
        <v>219</v>
      </c>
      <c r="Z35" s="32">
        <f>C8</f>
        <v>1.25</v>
      </c>
      <c r="AA35" s="1">
        <v>0</v>
      </c>
    </row>
    <row r="36" spans="2:27">
      <c r="U36" s="1">
        <f t="shared" si="1"/>
        <v>1.2312889961762465</v>
      </c>
      <c r="V36" s="1">
        <f t="shared" si="0"/>
        <v>0.84735786302017235</v>
      </c>
      <c r="Y36" s="54" t="s">
        <v>221</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59" spans="2:2">
      <c r="B59" s="9" t="s">
        <v>127</v>
      </c>
    </row>
    <row r="61" spans="2:2">
      <c r="B61" s="9" t="s">
        <v>129</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57150</xdr:rowOff>
                  </from>
                  <to>
                    <xdr:col>12</xdr:col>
                    <xdr:colOff>314325</xdr:colOff>
                    <xdr:row>7</xdr:row>
                    <xdr:rowOff>95250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95250</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124</v>
      </c>
      <c r="J1" s="54"/>
      <c r="K1" s="54"/>
      <c r="L1" s="54"/>
      <c r="M1" s="54"/>
      <c r="N1" s="54"/>
      <c r="O1" s="54"/>
    </row>
    <row r="2" spans="2:31" ht="13.5" thickBot="1">
      <c r="B2" s="1" t="s">
        <v>1</v>
      </c>
      <c r="C2" s="2">
        <v>0.8</v>
      </c>
      <c r="H2" s="62"/>
      <c r="I2" s="54"/>
      <c r="J2" s="54"/>
      <c r="K2" s="54"/>
      <c r="L2" s="54"/>
      <c r="M2" s="54"/>
      <c r="N2" s="54"/>
      <c r="O2" s="54"/>
    </row>
    <row r="3" spans="2:31" ht="13.5" thickBot="1">
      <c r="C3" s="14"/>
      <c r="J3" s="54"/>
      <c r="K3" s="54"/>
      <c r="L3" s="54"/>
      <c r="M3" s="54"/>
      <c r="N3" s="54"/>
      <c r="O3" s="54"/>
    </row>
    <row r="4" spans="2:31" ht="13.5" thickBot="1">
      <c r="B4" s="8" t="s">
        <v>59</v>
      </c>
      <c r="C4" s="2">
        <v>0.05</v>
      </c>
      <c r="J4" s="54"/>
      <c r="K4" s="54"/>
      <c r="L4" s="54"/>
      <c r="M4" s="54"/>
      <c r="N4" s="54"/>
      <c r="O4" s="54"/>
    </row>
    <row r="5" spans="2:31" ht="16.5" thickBot="1">
      <c r="B5" s="1" t="s">
        <v>122</v>
      </c>
      <c r="C5" s="43">
        <v>0.25</v>
      </c>
      <c r="D5" s="1" t="s">
        <v>130</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54" t="s">
        <v>215</v>
      </c>
      <c r="W10" s="54" t="s">
        <v>213</v>
      </c>
      <c r="X10" s="54" t="s">
        <v>216</v>
      </c>
      <c r="Y10" s="54" t="s">
        <v>214</v>
      </c>
      <c r="AA10" s="54" t="s">
        <v>227</v>
      </c>
      <c r="AB10" s="54" t="s">
        <v>228</v>
      </c>
    </row>
    <row r="11" spans="2:31" ht="13.5" thickBot="1">
      <c r="B11" s="1" t="s">
        <v>0</v>
      </c>
      <c r="C11" s="7">
        <v>39</v>
      </c>
      <c r="U11" s="54" t="s">
        <v>209</v>
      </c>
      <c r="V11" s="57">
        <f>C6</f>
        <v>0.95</v>
      </c>
      <c r="W11" s="1">
        <f>$C$10</f>
        <v>0.24622067706923975</v>
      </c>
      <c r="X11" s="1">
        <f>W11/SQRT(C20)</f>
        <v>3.9426862447735911E-2</v>
      </c>
      <c r="Y11" s="1">
        <f>TINV($C$4*2,$C$20-2)*X11</f>
        <v>6.6516808076274747E-2</v>
      </c>
      <c r="AA11" s="58">
        <f>V11+4*W11</f>
        <v>1.9348827082769589</v>
      </c>
      <c r="AB11" s="1">
        <f>AA11/33</f>
        <v>5.8632809341726023E-2</v>
      </c>
    </row>
    <row r="12" spans="2:31">
      <c r="B12" s="1" t="s">
        <v>2</v>
      </c>
      <c r="C12" s="1">
        <f>C11-2</f>
        <v>37</v>
      </c>
      <c r="U12" s="54"/>
    </row>
    <row r="13" spans="2:31">
      <c r="B13" s="1" t="s">
        <v>8</v>
      </c>
      <c r="C13" s="1">
        <f>TINV(C4*2,C12)</f>
        <v>1.6870936195962629</v>
      </c>
      <c r="Y13" s="1" t="b">
        <v>0</v>
      </c>
      <c r="AC13" s="1" t="b">
        <v>1</v>
      </c>
    </row>
    <row r="14" spans="2:31">
      <c r="B14" s="1" t="s">
        <v>3</v>
      </c>
      <c r="C14" s="1">
        <f>(SQRT(C11)*(LN(C6)-LN(C8)))/(SQRT(2*C10^2))</f>
        <v>-4.9219274006497731</v>
      </c>
      <c r="U14" s="54" t="s">
        <v>208</v>
      </c>
      <c r="V14" s="54" t="s">
        <v>230</v>
      </c>
      <c r="W14" s="54"/>
      <c r="Y14" s="9" t="s">
        <v>223</v>
      </c>
      <c r="AC14" s="9" t="s">
        <v>225</v>
      </c>
    </row>
    <row r="15" spans="2:31">
      <c r="B15" s="1" t="s">
        <v>4</v>
      </c>
      <c r="C15" s="1">
        <f>(SQRT(C11)*(LN(C6)-LN(C7)))/(SQRT(2*C10^2))</f>
        <v>3.0820733499291979</v>
      </c>
      <c r="U15" s="1">
        <v>0</v>
      </c>
      <c r="V15" s="1">
        <f>_xlfn.NORM.DIST($U15,$V$11,$C$5,FALSE)</f>
        <v>1.1677877031658411E-3</v>
      </c>
      <c r="Y15" s="54" t="s">
        <v>220</v>
      </c>
      <c r="Z15" s="54" t="s">
        <v>217</v>
      </c>
      <c r="AA15" s="54" t="s">
        <v>218</v>
      </c>
      <c r="AC15" s="54" t="s">
        <v>220</v>
      </c>
      <c r="AD15" s="54" t="s">
        <v>217</v>
      </c>
      <c r="AE15" s="54" t="s">
        <v>218</v>
      </c>
    </row>
    <row r="16" spans="2:31">
      <c r="B16" s="1" t="s">
        <v>7</v>
      </c>
      <c r="C16" s="1">
        <f>NCt(-C13,C12,C14)</f>
        <v>0.99927533471559071</v>
      </c>
      <c r="U16" s="1">
        <f>U15+$AB$11</f>
        <v>5.8632809341726023E-2</v>
      </c>
      <c r="V16" s="1">
        <f t="shared" ref="V16:V47" si="0">_xlfn.NORM.DIST($U16,$V$11,$C$5,FALSE)</f>
        <v>2.7699447059280034E-3</v>
      </c>
      <c r="Y16" s="54" t="s">
        <v>219</v>
      </c>
      <c r="Z16" s="1">
        <f>$V$11-$W$11</f>
        <v>0.70377932293076018</v>
      </c>
      <c r="AA16" s="1">
        <v>0</v>
      </c>
      <c r="AC16" s="54" t="s">
        <v>219</v>
      </c>
      <c r="AD16" s="1">
        <f>$V$11-$Y$11</f>
        <v>0.88348319192372515</v>
      </c>
      <c r="AE16" s="1">
        <v>0</v>
      </c>
    </row>
    <row r="17" spans="2:31">
      <c r="B17" s="1" t="s">
        <v>6</v>
      </c>
      <c r="C17" s="1">
        <f>NCt(C13,C12,C15)</f>
        <v>8.3778204720418331E-2</v>
      </c>
      <c r="U17" s="1">
        <f t="shared" ref="U17:U47" si="1">U16+$AB$11</f>
        <v>0.11726561868345205</v>
      </c>
      <c r="V17" s="1">
        <f t="shared" si="0"/>
        <v>6.2185621117606723E-3</v>
      </c>
      <c r="Y17" s="54" t="s">
        <v>221</v>
      </c>
      <c r="Z17" s="1">
        <f>Z16</f>
        <v>0.70377932293076018</v>
      </c>
      <c r="AA17" s="1">
        <f>IF(Y13,MAX($V$15:$V$47),0)</f>
        <v>0</v>
      </c>
      <c r="AC17" s="54" t="s">
        <v>221</v>
      </c>
      <c r="AD17" s="1">
        <f>AD16</f>
        <v>0.88348319192372515</v>
      </c>
      <c r="AE17" s="1">
        <f>IF(AC13,MAX($V$15:$V$47),0)</f>
        <v>1.5939698943202625</v>
      </c>
    </row>
    <row r="18" spans="2:31">
      <c r="B18" s="1" t="s">
        <v>58</v>
      </c>
      <c r="C18" s="1">
        <f>C16-C17</f>
        <v>0.91549712999517241</v>
      </c>
      <c r="E18" s="5"/>
      <c r="U18" s="1">
        <f t="shared" si="1"/>
        <v>0.17589842802517808</v>
      </c>
      <c r="V18" s="1">
        <f t="shared" si="0"/>
        <v>1.3213580903738755E-2</v>
      </c>
      <c r="Y18" s="54" t="s">
        <v>222</v>
      </c>
      <c r="Z18" s="54" t="s">
        <v>217</v>
      </c>
      <c r="AA18" s="54" t="s">
        <v>218</v>
      </c>
      <c r="AC18" s="54" t="s">
        <v>222</v>
      </c>
      <c r="AD18" s="54" t="s">
        <v>217</v>
      </c>
      <c r="AE18" s="54" t="s">
        <v>218</v>
      </c>
    </row>
    <row r="19" spans="2:31">
      <c r="U19" s="1">
        <f t="shared" si="1"/>
        <v>0.23453123736690409</v>
      </c>
      <c r="V19" s="1">
        <f t="shared" si="0"/>
        <v>2.6574356367658435E-2</v>
      </c>
      <c r="Y19" s="54" t="s">
        <v>219</v>
      </c>
      <c r="Z19" s="1">
        <f>$V$11+$W$11</f>
        <v>1.1962206770692396</v>
      </c>
      <c r="AA19" s="1">
        <v>0</v>
      </c>
      <c r="AC19" s="54" t="s">
        <v>219</v>
      </c>
      <c r="AD19" s="1">
        <f>$V$11+$Y$11</f>
        <v>1.0165168080762748</v>
      </c>
      <c r="AE19" s="1">
        <v>0</v>
      </c>
    </row>
    <row r="20" spans="2:31">
      <c r="B20" s="1" t="s">
        <v>11</v>
      </c>
      <c r="C20" s="1">
        <f>CEILING(C11,1)</f>
        <v>39</v>
      </c>
      <c r="U20" s="1">
        <f t="shared" si="1"/>
        <v>0.29316404670863011</v>
      </c>
      <c r="V20" s="1">
        <f t="shared" si="0"/>
        <v>5.0584406183643189E-2</v>
      </c>
      <c r="Y20" s="54" t="s">
        <v>221</v>
      </c>
      <c r="Z20" s="1">
        <f>Z19</f>
        <v>1.1962206770692396</v>
      </c>
      <c r="AA20" s="1">
        <f>AA17</f>
        <v>0</v>
      </c>
      <c r="AC20" s="54" t="s">
        <v>221</v>
      </c>
      <c r="AD20" s="1">
        <f>AD19</f>
        <v>1.0165168080762748</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c r="U30" s="1">
        <f t="shared" si="1"/>
        <v>0.87949214012589016</v>
      </c>
      <c r="V30" s="1">
        <f t="shared" si="0"/>
        <v>1.5335494667705791</v>
      </c>
      <c r="Y30" s="9" t="s">
        <v>231</v>
      </c>
    </row>
    <row r="31" spans="2:31">
      <c r="U31" s="1">
        <f t="shared" si="1"/>
        <v>0.93812494946761615</v>
      </c>
      <c r="V31" s="1">
        <f t="shared" si="0"/>
        <v>1.5939698943202625</v>
      </c>
      <c r="Y31" s="54" t="s">
        <v>220</v>
      </c>
      <c r="Z31" s="54" t="s">
        <v>217</v>
      </c>
      <c r="AA31" s="54" t="s">
        <v>218</v>
      </c>
    </row>
    <row r="32" spans="2:31">
      <c r="U32" s="1">
        <f t="shared" si="1"/>
        <v>0.99675775880934214</v>
      </c>
      <c r="V32" s="1">
        <f t="shared" si="0"/>
        <v>1.5681012990763428</v>
      </c>
      <c r="Y32" s="54" t="s">
        <v>219</v>
      </c>
      <c r="Z32" s="32">
        <f>C7</f>
        <v>0.8</v>
      </c>
      <c r="AA32" s="1">
        <v>0</v>
      </c>
    </row>
    <row r="33" spans="2:27">
      <c r="U33" s="1">
        <f t="shared" si="1"/>
        <v>1.0553905681510682</v>
      </c>
      <c r="V33" s="1">
        <f t="shared" si="0"/>
        <v>1.4600905481436155</v>
      </c>
      <c r="Y33" s="54" t="s">
        <v>221</v>
      </c>
      <c r="Z33" s="32">
        <f>Z32</f>
        <v>0.8</v>
      </c>
      <c r="AA33" s="1">
        <f>IF($Y$29,MAX($V$15:$W$47),0)</f>
        <v>1.5939698943202625</v>
      </c>
    </row>
    <row r="34" spans="2:27">
      <c r="U34" s="1">
        <f t="shared" si="1"/>
        <v>1.1140233774927943</v>
      </c>
      <c r="V34" s="1">
        <f t="shared" si="0"/>
        <v>1.2867587775324509</v>
      </c>
      <c r="Y34" s="54" t="s">
        <v>222</v>
      </c>
      <c r="Z34" s="54" t="s">
        <v>217</v>
      </c>
      <c r="AA34" s="54" t="s">
        <v>218</v>
      </c>
    </row>
    <row r="35" spans="2:27">
      <c r="U35" s="1">
        <f t="shared" si="1"/>
        <v>1.1726561868345204</v>
      </c>
      <c r="V35" s="1">
        <f t="shared" si="0"/>
        <v>1.0733124429725074</v>
      </c>
      <c r="Y35" s="54" t="s">
        <v>219</v>
      </c>
      <c r="Z35" s="32">
        <f>C8</f>
        <v>1.25</v>
      </c>
      <c r="AA35" s="1">
        <v>0</v>
      </c>
    </row>
    <row r="36" spans="2:27">
      <c r="U36" s="1">
        <f t="shared" si="1"/>
        <v>1.2312889961762465</v>
      </c>
      <c r="V36" s="1">
        <f t="shared" si="0"/>
        <v>0.84735786302017235</v>
      </c>
      <c r="Y36" s="54" t="s">
        <v>221</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128</v>
      </c>
    </row>
    <row r="67" spans="2:7">
      <c r="B67" s="9" t="s">
        <v>127</v>
      </c>
      <c r="G67" s="6"/>
    </row>
    <row r="68" spans="2:7">
      <c r="G68" s="6"/>
    </row>
    <row r="69" spans="2:7">
      <c r="B69" s="9" t="s">
        <v>129</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57150</xdr:rowOff>
                  </from>
                  <to>
                    <xdr:col>11</xdr:col>
                    <xdr:colOff>504825</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95250</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64"/>
    <col min="27" max="27" width="20.42578125" style="64" bestFit="1" customWidth="1"/>
    <col min="28" max="34" width="9.140625" style="64"/>
    <col min="35" max="16384" width="9.140625" style="1"/>
  </cols>
  <sheetData>
    <row r="1" spans="2:31" ht="27" thickBot="1">
      <c r="B1" s="17" t="s">
        <v>76</v>
      </c>
      <c r="G1" s="9" t="s">
        <v>124</v>
      </c>
      <c r="Z1" s="64" t="s">
        <v>33</v>
      </c>
    </row>
    <row r="2" spans="2:31" ht="13.5" thickBot="1">
      <c r="B2" s="1" t="s">
        <v>1</v>
      </c>
      <c r="C2" s="2">
        <v>0.8</v>
      </c>
      <c r="Y2" s="64" t="s">
        <v>32</v>
      </c>
      <c r="Z2" s="64">
        <f>(2*G9+1)/(G9+1)</f>
        <v>1</v>
      </c>
    </row>
    <row r="3" spans="2:31" ht="13.5" thickBot="1">
      <c r="C3" s="14"/>
      <c r="Y3" s="64" t="s">
        <v>241</v>
      </c>
      <c r="Z3" s="64">
        <v>0.75</v>
      </c>
    </row>
    <row r="4" spans="2:31" ht="13.5" thickBot="1">
      <c r="B4" s="8" t="s">
        <v>59</v>
      </c>
      <c r="C4" s="2">
        <v>0.05</v>
      </c>
      <c r="Y4" s="64" t="s">
        <v>31</v>
      </c>
      <c r="Z4" s="64">
        <v>0.5</v>
      </c>
    </row>
    <row r="5" spans="2:31" ht="16.5" thickBot="1">
      <c r="B5" s="1" t="s">
        <v>122</v>
      </c>
      <c r="C5" s="43">
        <v>0.3</v>
      </c>
      <c r="D5" s="1" t="s">
        <v>130</v>
      </c>
      <c r="U5" s="64" t="s">
        <v>56</v>
      </c>
      <c r="Y5" s="64">
        <v>3</v>
      </c>
    </row>
    <row r="6" spans="2:31" ht="16.5" thickBot="1">
      <c r="B6" s="1" t="s">
        <v>34</v>
      </c>
      <c r="C6" s="43">
        <v>0.9</v>
      </c>
      <c r="D6" s="1" t="str">
        <f>IF(C6=1,"","(to "&amp;ROUND(100/C6,1)&amp;"%)")&amp;IF(OR($C$6&lt;$C$7,$C$6&gt;$C$8)," WARNING: Ratio outside BE limits.","")</f>
        <v>(to 111.1%)</v>
      </c>
      <c r="U6" s="64">
        <v>1</v>
      </c>
      <c r="Y6" s="64">
        <f>INDEX(Z2:Z4,Y5,1)</f>
        <v>0.5</v>
      </c>
    </row>
    <row r="7" spans="2:31" ht="13.5" thickBot="1">
      <c r="B7" s="1" t="s">
        <v>9</v>
      </c>
      <c r="C7" s="13">
        <v>0.8</v>
      </c>
    </row>
    <row r="8" spans="2:31" ht="13.5" thickBot="1">
      <c r="B8" s="1" t="s">
        <v>10</v>
      </c>
      <c r="C8" s="13">
        <f>1/C7</f>
        <v>1.25</v>
      </c>
    </row>
    <row r="10" spans="2:31" ht="15.75">
      <c r="B10" s="8" t="s">
        <v>26</v>
      </c>
      <c r="C10" s="1">
        <f>SQRT(LN((C5)^2+1))</f>
        <v>0.29356037920852401</v>
      </c>
      <c r="V10" s="64" t="s">
        <v>215</v>
      </c>
      <c r="W10" s="64" t="s">
        <v>213</v>
      </c>
      <c r="X10" s="64" t="s">
        <v>216</v>
      </c>
      <c r="Y10" s="64" t="s">
        <v>214</v>
      </c>
      <c r="AA10" s="64" t="s">
        <v>227</v>
      </c>
      <c r="AB10" s="64" t="s">
        <v>228</v>
      </c>
    </row>
    <row r="11" spans="2:31">
      <c r="B11" s="1" t="s">
        <v>0</v>
      </c>
      <c r="C11" s="7">
        <v>79</v>
      </c>
      <c r="U11" s="64" t="s">
        <v>209</v>
      </c>
      <c r="V11" s="65">
        <f>C6</f>
        <v>0.9</v>
      </c>
      <c r="W11" s="64">
        <f>$C$10</f>
        <v>0.29356037920852401</v>
      </c>
      <c r="X11" s="64">
        <f>W11/SQRT(C11)</f>
        <v>3.3028123083876586E-2</v>
      </c>
      <c r="Y11" s="64">
        <f>TINV($C$4*2,$C$11-2)*X11</f>
        <v>5.4988011417007022E-2</v>
      </c>
      <c r="AA11" s="66">
        <f>V11+4*W11</f>
        <v>2.0742415168340962</v>
      </c>
      <c r="AB11" s="64">
        <f>AA11/33</f>
        <v>6.2855803540427163E-2</v>
      </c>
    </row>
    <row r="12" spans="2:31">
      <c r="B12" s="1" t="s">
        <v>2</v>
      </c>
      <c r="C12" s="1">
        <f>C11-2</f>
        <v>77</v>
      </c>
    </row>
    <row r="13" spans="2:31">
      <c r="B13" s="1" t="s">
        <v>8</v>
      </c>
      <c r="C13" s="1">
        <f>TINV(C4*2,C12)</f>
        <v>1.6648845372582084</v>
      </c>
      <c r="Y13" s="64" t="b">
        <v>0</v>
      </c>
      <c r="AC13" s="64" t="b">
        <v>1</v>
      </c>
    </row>
    <row r="14" spans="2:31">
      <c r="B14" s="1" t="s">
        <v>3</v>
      </c>
      <c r="C14" s="1">
        <f>(SQRT(C11)*(LN(C6)-LN(C8)))/(SQRT(2*C10^2))</f>
        <v>-7.0330200966425114</v>
      </c>
      <c r="U14" s="64" t="s">
        <v>208</v>
      </c>
      <c r="V14" s="64" t="s">
        <v>230</v>
      </c>
      <c r="Y14" s="67" t="s">
        <v>223</v>
      </c>
      <c r="AC14" s="67" t="s">
        <v>225</v>
      </c>
    </row>
    <row r="15" spans="2:31">
      <c r="B15" s="1" t="s">
        <v>4</v>
      </c>
      <c r="C15" s="1">
        <f>(SQRT(C11)*(LN(C6)-LN(C7)))/(SQRT(2*C10^2))</f>
        <v>2.5216444485767089</v>
      </c>
      <c r="U15" s="64">
        <v>0</v>
      </c>
      <c r="V15" s="64">
        <f>_xlfn.NORM.DIST($U15,$V$11,$C$5,FALSE)</f>
        <v>1.477282803979336E-2</v>
      </c>
      <c r="Y15" s="64" t="s">
        <v>220</v>
      </c>
      <c r="Z15" s="64" t="s">
        <v>217</v>
      </c>
      <c r="AA15" s="64" t="s">
        <v>218</v>
      </c>
      <c r="AC15" s="64" t="s">
        <v>220</v>
      </c>
      <c r="AD15" s="64" t="s">
        <v>217</v>
      </c>
      <c r="AE15" s="64" t="s">
        <v>218</v>
      </c>
    </row>
    <row r="16" spans="2:31">
      <c r="B16" s="1" t="s">
        <v>7</v>
      </c>
      <c r="C16" s="1">
        <f>NCt(-C13,C12,C14)</f>
        <v>0.9999999495687445</v>
      </c>
      <c r="U16" s="64">
        <f>U15+$AB$11</f>
        <v>6.2855803540427163E-2</v>
      </c>
      <c r="V16" s="64">
        <f t="shared" ref="V16:V47" si="0">_xlfn.NORM.DIST($U16,$V$11,$C$5,FALSE)</f>
        <v>2.7096333066061466E-2</v>
      </c>
      <c r="Y16" s="64" t="s">
        <v>219</v>
      </c>
      <c r="Z16" s="64">
        <f>$V$11-$W$11</f>
        <v>0.60643962079147595</v>
      </c>
      <c r="AA16" s="64">
        <v>0</v>
      </c>
      <c r="AC16" s="64" t="s">
        <v>219</v>
      </c>
      <c r="AD16" s="64">
        <f>$V$11-$Y$11</f>
        <v>0.84501198858299298</v>
      </c>
      <c r="AE16" s="64">
        <v>0</v>
      </c>
    </row>
    <row r="17" spans="2:31">
      <c r="B17" s="1" t="s">
        <v>6</v>
      </c>
      <c r="C17" s="1">
        <f>NCt(C13,C12,C15)</f>
        <v>0.1964046087104091</v>
      </c>
      <c r="U17" s="64">
        <f t="shared" ref="U17:U47" si="1">U16+$AB$11</f>
        <v>0.12571160708085433</v>
      </c>
      <c r="V17" s="64">
        <f t="shared" si="0"/>
        <v>4.7565557097961828E-2</v>
      </c>
      <c r="Y17" s="64" t="s">
        <v>221</v>
      </c>
      <c r="Z17" s="64">
        <f>Z16</f>
        <v>0.60643962079147595</v>
      </c>
      <c r="AA17" s="64">
        <f>IF(Y13,MAX($V$15:$V$47),0)</f>
        <v>0</v>
      </c>
      <c r="AC17" s="64" t="s">
        <v>221</v>
      </c>
      <c r="AD17" s="64">
        <f>AD16</f>
        <v>0.84501198858299298</v>
      </c>
      <c r="AE17" s="64">
        <f>IF(AC13,MAX($V$15:$V$47),0)</f>
        <v>1.3268502231061179</v>
      </c>
    </row>
    <row r="18" spans="2:31">
      <c r="B18" s="1" t="s">
        <v>58</v>
      </c>
      <c r="C18" s="1">
        <f>C16-C17</f>
        <v>0.80359534085833539</v>
      </c>
      <c r="E18" s="5"/>
      <c r="U18" s="64">
        <f t="shared" si="1"/>
        <v>0.18856741062128149</v>
      </c>
      <c r="V18" s="64">
        <f t="shared" si="0"/>
        <v>7.9911602450833827E-2</v>
      </c>
      <c r="Y18" s="64" t="s">
        <v>222</v>
      </c>
      <c r="Z18" s="64" t="s">
        <v>217</v>
      </c>
      <c r="AA18" s="64" t="s">
        <v>218</v>
      </c>
      <c r="AC18" s="64" t="s">
        <v>222</v>
      </c>
      <c r="AD18" s="64" t="s">
        <v>217</v>
      </c>
      <c r="AE18" s="64" t="s">
        <v>218</v>
      </c>
    </row>
    <row r="19" spans="2:31">
      <c r="U19" s="64">
        <f t="shared" si="1"/>
        <v>0.25142321416170865</v>
      </c>
      <c r="V19" s="64">
        <f t="shared" si="0"/>
        <v>0.12848791379412886</v>
      </c>
      <c r="Y19" s="64" t="s">
        <v>219</v>
      </c>
      <c r="Z19" s="64">
        <f>$V$11+$W$11</f>
        <v>1.1935603792085241</v>
      </c>
      <c r="AA19" s="64">
        <v>0</v>
      </c>
      <c r="AC19" s="64" t="s">
        <v>219</v>
      </c>
      <c r="AD19" s="64">
        <f>$V$11+$Y$11</f>
        <v>0.95498801141700707</v>
      </c>
      <c r="AE19" s="64">
        <v>0</v>
      </c>
    </row>
    <row r="20" spans="2:31">
      <c r="B20" s="1" t="s">
        <v>11</v>
      </c>
      <c r="C20" s="1">
        <f>CEILING(INDEX(Z2:Z4,Y5,1)*C11,1)</f>
        <v>40</v>
      </c>
      <c r="U20" s="64">
        <f t="shared" si="1"/>
        <v>0.31427901770213584</v>
      </c>
      <c r="V20" s="64">
        <f t="shared" si="0"/>
        <v>0.1977196814466011</v>
      </c>
      <c r="Y20" s="64" t="s">
        <v>221</v>
      </c>
      <c r="Z20" s="64">
        <f>Z19</f>
        <v>1.1935603792085241</v>
      </c>
      <c r="AA20" s="64">
        <f>AA17</f>
        <v>0</v>
      </c>
      <c r="AC20" s="64" t="s">
        <v>221</v>
      </c>
      <c r="AD20" s="64">
        <f>AD19</f>
        <v>0.95498801141700707</v>
      </c>
      <c r="AE20" s="64">
        <f>AE17</f>
        <v>1.3268502231061179</v>
      </c>
    </row>
    <row r="21" spans="2:31">
      <c r="U21" s="64">
        <f t="shared" si="1"/>
        <v>0.37713482124256303</v>
      </c>
      <c r="V21" s="64">
        <f t="shared" si="0"/>
        <v>0.29118748986942972</v>
      </c>
    </row>
    <row r="22" spans="2:31">
      <c r="U22" s="64">
        <f t="shared" si="1"/>
        <v>0.43999062478299023</v>
      </c>
      <c r="V22" s="64">
        <f t="shared" si="0"/>
        <v>0.41042207290166549</v>
      </c>
      <c r="Y22" s="67"/>
      <c r="AC22" s="67"/>
    </row>
    <row r="23" spans="2:31">
      <c r="U23" s="64">
        <f t="shared" si="1"/>
        <v>0.50284642832341742</v>
      </c>
      <c r="V23" s="64">
        <f t="shared" si="0"/>
        <v>0.55363545229058264</v>
      </c>
    </row>
    <row r="24" spans="2:31">
      <c r="U24" s="64">
        <f t="shared" si="1"/>
        <v>0.56570223186384461</v>
      </c>
      <c r="V24" s="64">
        <f t="shared" si="0"/>
        <v>0.71474686948667876</v>
      </c>
    </row>
    <row r="25" spans="2:31">
      <c r="U25" s="64">
        <f t="shared" si="1"/>
        <v>0.6285580354042718</v>
      </c>
      <c r="V25" s="64">
        <f t="shared" si="0"/>
        <v>0.88311206356970129</v>
      </c>
    </row>
    <row r="26" spans="2:31">
      <c r="U26" s="64">
        <f t="shared" si="1"/>
        <v>0.69141383894469899</v>
      </c>
      <c r="V26" s="64">
        <f t="shared" si="0"/>
        <v>1.0442742258768614</v>
      </c>
    </row>
    <row r="27" spans="2:31">
      <c r="U27" s="64">
        <f t="shared" si="1"/>
        <v>0.75426964248512618</v>
      </c>
      <c r="V27" s="64">
        <f t="shared" si="0"/>
        <v>1.1818122495065957</v>
      </c>
    </row>
    <row r="28" spans="2:31">
      <c r="U28" s="64">
        <f t="shared" si="1"/>
        <v>0.81712544602555337</v>
      </c>
      <c r="V28" s="64">
        <f t="shared" si="0"/>
        <v>1.2800224931945334</v>
      </c>
    </row>
    <row r="29" spans="2:31">
      <c r="U29" s="64">
        <f t="shared" si="1"/>
        <v>0.87998124956598056</v>
      </c>
      <c r="V29" s="64">
        <f t="shared" si="0"/>
        <v>1.3268502231061179</v>
      </c>
      <c r="Y29" s="64" t="b">
        <v>1</v>
      </c>
    </row>
    <row r="30" spans="2:31">
      <c r="U30" s="64">
        <f t="shared" si="1"/>
        <v>0.94283705310640775</v>
      </c>
      <c r="V30" s="64">
        <f t="shared" si="0"/>
        <v>1.3163197227249672</v>
      </c>
      <c r="Y30" s="67" t="s">
        <v>231</v>
      </c>
    </row>
    <row r="31" spans="2:31">
      <c r="U31" s="64">
        <f t="shared" si="1"/>
        <v>1.0056928566468348</v>
      </c>
      <c r="V31" s="64">
        <f t="shared" si="0"/>
        <v>1.2497871682536457</v>
      </c>
      <c r="Y31" s="64" t="s">
        <v>220</v>
      </c>
      <c r="Z31" s="64" t="s">
        <v>217</v>
      </c>
      <c r="AA31" s="64" t="s">
        <v>218</v>
      </c>
    </row>
    <row r="32" spans="2:31">
      <c r="U32" s="64">
        <f t="shared" si="1"/>
        <v>1.068548660187262</v>
      </c>
      <c r="V32" s="64">
        <f t="shared" si="0"/>
        <v>1.1356537008909846</v>
      </c>
      <c r="Y32" s="64" t="s">
        <v>219</v>
      </c>
      <c r="Z32" s="68">
        <f>C7</f>
        <v>0.8</v>
      </c>
      <c r="AA32" s="64">
        <v>0</v>
      </c>
    </row>
    <row r="33" spans="21:27">
      <c r="U33" s="64">
        <f t="shared" si="1"/>
        <v>1.1314044637276892</v>
      </c>
      <c r="V33" s="64">
        <f t="shared" si="0"/>
        <v>0.98762247825526639</v>
      </c>
      <c r="Y33" s="64" t="s">
        <v>221</v>
      </c>
      <c r="Z33" s="68">
        <f>Z32</f>
        <v>0.8</v>
      </c>
      <c r="AA33" s="64">
        <f>IF($Y$29,MAX($V$15:$W$47),0)</f>
        <v>1.3268502231061179</v>
      </c>
    </row>
    <row r="34" spans="21:27">
      <c r="U34" s="64">
        <f t="shared" si="1"/>
        <v>1.1942602672681164</v>
      </c>
      <c r="V34" s="64">
        <f t="shared" si="0"/>
        <v>0.82199882643964128</v>
      </c>
      <c r="Y34" s="64" t="s">
        <v>222</v>
      </c>
      <c r="Z34" s="64" t="s">
        <v>217</v>
      </c>
      <c r="AA34" s="64" t="s">
        <v>218</v>
      </c>
    </row>
    <row r="35" spans="21:27">
      <c r="U35" s="64">
        <f t="shared" si="1"/>
        <v>1.2571160708085436</v>
      </c>
      <c r="V35" s="64">
        <f t="shared" si="0"/>
        <v>0.65476674718804873</v>
      </c>
      <c r="Y35" s="64" t="s">
        <v>219</v>
      </c>
      <c r="Z35" s="68">
        <f>C8</f>
        <v>1.25</v>
      </c>
      <c r="AA35" s="64">
        <v>0</v>
      </c>
    </row>
    <row r="36" spans="21:27">
      <c r="U36" s="64">
        <f t="shared" si="1"/>
        <v>1.3199718743489708</v>
      </c>
      <c r="V36" s="64">
        <f t="shared" si="0"/>
        <v>0.49915706150721351</v>
      </c>
      <c r="Y36" s="64" t="s">
        <v>221</v>
      </c>
      <c r="Z36" s="68">
        <f>Z35</f>
        <v>1.25</v>
      </c>
      <c r="AA36" s="64">
        <f>AA33</f>
        <v>1.3268502231061179</v>
      </c>
    </row>
    <row r="37" spans="21:27">
      <c r="U37" s="64">
        <f t="shared" si="1"/>
        <v>1.382827677889398</v>
      </c>
      <c r="V37" s="64">
        <f t="shared" si="0"/>
        <v>0.3641858012715018</v>
      </c>
    </row>
    <row r="38" spans="21:27">
      <c r="U38" s="64">
        <f t="shared" si="1"/>
        <v>1.4456834814298252</v>
      </c>
      <c r="V38" s="64">
        <f t="shared" si="0"/>
        <v>0.25429860993809755</v>
      </c>
    </row>
    <row r="39" spans="21:27">
      <c r="U39" s="64">
        <f t="shared" si="1"/>
        <v>1.5085392849702524</v>
      </c>
      <c r="V39" s="64">
        <f t="shared" si="0"/>
        <v>0.169941774582163</v>
      </c>
    </row>
    <row r="40" spans="21:27">
      <c r="U40" s="64">
        <f t="shared" si="1"/>
        <v>1.5713950885106795</v>
      </c>
      <c r="V40" s="64">
        <f t="shared" si="0"/>
        <v>0.10869047781366145</v>
      </c>
    </row>
    <row r="41" spans="21:27">
      <c r="U41" s="64">
        <f t="shared" si="1"/>
        <v>1.6342508920511067</v>
      </c>
      <c r="V41" s="64">
        <f t="shared" si="0"/>
        <v>6.6530078085967767E-2</v>
      </c>
    </row>
    <row r="42" spans="21:27">
      <c r="U42" s="64">
        <f t="shared" si="1"/>
        <v>1.6971066955915339</v>
      </c>
      <c r="V42" s="64">
        <f t="shared" si="0"/>
        <v>3.8974428408071964E-2</v>
      </c>
    </row>
    <row r="43" spans="21:27">
      <c r="U43" s="64">
        <f t="shared" si="1"/>
        <v>1.7599624991319611</v>
      </c>
      <c r="V43" s="64">
        <f t="shared" si="0"/>
        <v>2.1851268942557921E-2</v>
      </c>
    </row>
    <row r="44" spans="21:27" ht="20.25" customHeight="1">
      <c r="U44" s="64">
        <f t="shared" si="1"/>
        <v>1.8228183026723883</v>
      </c>
      <c r="V44" s="64">
        <f t="shared" si="0"/>
        <v>1.1724889439740756E-2</v>
      </c>
    </row>
    <row r="45" spans="21:27">
      <c r="U45" s="64">
        <f t="shared" si="1"/>
        <v>1.8856741062128155</v>
      </c>
      <c r="V45" s="64">
        <f t="shared" si="0"/>
        <v>6.0211027202522194E-3</v>
      </c>
    </row>
    <row r="46" spans="21:27">
      <c r="U46" s="64">
        <f t="shared" si="1"/>
        <v>1.9485299097532427</v>
      </c>
      <c r="V46" s="64">
        <f t="shared" si="0"/>
        <v>2.9592285119466512E-3</v>
      </c>
    </row>
    <row r="47" spans="21:27">
      <c r="U47" s="64">
        <f t="shared" si="1"/>
        <v>2.0113857132936697</v>
      </c>
      <c r="V47" s="64">
        <f t="shared" si="0"/>
        <v>1.3919260261450537E-3</v>
      </c>
    </row>
    <row r="52" spans="2:2" ht="18">
      <c r="B52" s="28" t="s">
        <v>125</v>
      </c>
    </row>
    <row r="63" spans="2:2">
      <c r="B63" s="9" t="s">
        <v>127</v>
      </c>
    </row>
    <row r="67" spans="2:7">
      <c r="B67" s="9"/>
      <c r="G67" s="6"/>
    </row>
    <row r="68" spans="2:7">
      <c r="G68" s="6"/>
    </row>
    <row r="69" spans="2:7">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123825</xdr:rowOff>
                  </from>
                  <to>
                    <xdr:col>11</xdr:col>
                    <xdr:colOff>485775</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485775</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197</v>
      </c>
    </row>
    <row r="2" spans="2:15" ht="13.5" thickBot="1"/>
    <row r="3" spans="2:15" ht="13.5" thickBot="1">
      <c r="B3" s="15" t="s">
        <v>200</v>
      </c>
      <c r="C3" s="34">
        <v>0.3</v>
      </c>
      <c r="D3" s="15" t="s">
        <v>201</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171</v>
      </c>
    </row>
    <row r="7" spans="2:15" ht="15.75">
      <c r="B7" s="40" t="s">
        <v>172</v>
      </c>
    </row>
    <row r="8" spans="2:15" ht="15.75">
      <c r="B8" s="40"/>
    </row>
    <row r="9" spans="2:15" ht="18">
      <c r="B9" s="28" t="s">
        <v>153</v>
      </c>
      <c r="C9" s="15"/>
      <c r="D9" s="15"/>
      <c r="E9" s="15"/>
      <c r="F9" s="15"/>
      <c r="G9" s="15"/>
      <c r="H9" s="15"/>
      <c r="I9" s="15"/>
      <c r="J9" s="15"/>
      <c r="K9" s="15"/>
      <c r="L9" s="15"/>
      <c r="M9" s="15"/>
      <c r="N9" s="15"/>
      <c r="O9" s="15"/>
    </row>
    <row r="10" spans="2:15" ht="18">
      <c r="B10" s="28" t="s">
        <v>169</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186</v>
      </c>
      <c r="C12" s="30">
        <v>0.29360000000000003</v>
      </c>
      <c r="E12" s="15" t="s">
        <v>151</v>
      </c>
      <c r="H12" s="15"/>
      <c r="I12" s="15"/>
      <c r="J12" s="15"/>
      <c r="K12" s="15"/>
      <c r="L12" s="15"/>
      <c r="M12" s="15"/>
      <c r="N12" s="15"/>
      <c r="O12" s="15"/>
    </row>
    <row r="13" spans="2:15">
      <c r="B13" s="15" t="s">
        <v>187</v>
      </c>
      <c r="C13" s="15">
        <f>LN(1.25)^2/(C12^2)</f>
        <v>0.57763909465877594</v>
      </c>
      <c r="E13" s="15" t="s">
        <v>148</v>
      </c>
      <c r="K13" s="15"/>
      <c r="L13" s="15"/>
      <c r="M13" s="15"/>
      <c r="N13" s="15"/>
      <c r="O13" s="15"/>
    </row>
    <row r="14" spans="2:15">
      <c r="B14" s="15" t="s">
        <v>188</v>
      </c>
      <c r="C14" s="32">
        <f>SQRT(EXP((C12^2))-1)</f>
        <v>0.30004226001050344</v>
      </c>
      <c r="E14" s="15" t="s">
        <v>149</v>
      </c>
      <c r="G14" s="15"/>
      <c r="H14" s="15"/>
      <c r="I14" s="15"/>
      <c r="J14" s="15"/>
      <c r="K14" s="15"/>
      <c r="L14" s="15"/>
      <c r="M14" s="15"/>
      <c r="N14" s="15"/>
      <c r="O14" s="15"/>
    </row>
    <row r="15" spans="2:15">
      <c r="B15" s="15" t="s">
        <v>189</v>
      </c>
      <c r="C15" s="1">
        <f>LN((C3)^2+1)</f>
        <v>8.6177696241052412E-2</v>
      </c>
      <c r="D15" s="15"/>
      <c r="E15" s="15"/>
      <c r="F15" s="15"/>
      <c r="G15" s="15"/>
      <c r="H15" s="15"/>
      <c r="I15" s="15"/>
      <c r="J15" s="15"/>
      <c r="K15" s="15"/>
      <c r="L15" s="15"/>
      <c r="M15" s="15"/>
      <c r="N15" s="15"/>
      <c r="O15" s="15"/>
    </row>
    <row r="16" spans="2:15">
      <c r="B16" s="15" t="s">
        <v>190</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155</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141</v>
      </c>
      <c r="C21" s="9"/>
      <c r="D21" s="15"/>
      <c r="E21" s="15"/>
      <c r="F21" s="15"/>
      <c r="G21" s="15"/>
      <c r="H21" s="15"/>
      <c r="I21" s="15"/>
      <c r="J21" s="15"/>
      <c r="K21" s="15"/>
      <c r="L21" s="15"/>
      <c r="M21" s="15"/>
      <c r="N21" s="15"/>
      <c r="O21" s="15"/>
    </row>
    <row r="22" spans="2:16">
      <c r="B22" s="33" t="s">
        <v>147</v>
      </c>
      <c r="C22" s="9"/>
      <c r="D22" s="15"/>
      <c r="E22" s="15"/>
      <c r="F22" s="15"/>
      <c r="G22" s="15"/>
      <c r="H22" s="15"/>
      <c r="I22" s="15"/>
      <c r="J22" s="15"/>
      <c r="K22" s="15"/>
      <c r="L22" s="15"/>
      <c r="M22" s="15"/>
      <c r="N22" s="15"/>
      <c r="O22" s="15"/>
    </row>
    <row r="23" spans="2:16">
      <c r="B23" s="33" t="s">
        <v>150</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152</v>
      </c>
      <c r="C25" s="15"/>
      <c r="D25" s="15"/>
      <c r="E25" s="15"/>
      <c r="F25" s="15"/>
      <c r="G25" s="15"/>
      <c r="I25" s="15"/>
      <c r="J25" s="15"/>
      <c r="K25" s="15"/>
      <c r="L25" s="15"/>
      <c r="M25" s="15"/>
      <c r="N25" s="15"/>
      <c r="O25" s="15"/>
    </row>
    <row r="26" spans="2:16">
      <c r="B26" s="15" t="s">
        <v>196</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170</v>
      </c>
      <c r="C29" s="38"/>
      <c r="D29" s="38"/>
      <c r="E29" s="38"/>
      <c r="F29" s="38"/>
      <c r="G29" s="38"/>
      <c r="H29" s="38"/>
      <c r="I29" s="38"/>
      <c r="J29" s="38"/>
      <c r="K29" s="38"/>
      <c r="L29" s="38"/>
      <c r="M29" s="38"/>
      <c r="N29" s="38"/>
      <c r="O29" s="38"/>
      <c r="P29" s="39"/>
    </row>
    <row r="30" spans="2:16" ht="18">
      <c r="B30" s="28" t="s">
        <v>154</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136</v>
      </c>
      <c r="H32" s="15"/>
      <c r="I32" s="15"/>
      <c r="J32" s="15"/>
      <c r="K32" s="15"/>
      <c r="L32" s="15"/>
      <c r="M32" s="15"/>
      <c r="N32" s="15"/>
      <c r="O32" s="15"/>
    </row>
    <row r="33" spans="2:21">
      <c r="B33" s="15"/>
      <c r="C33" s="15"/>
      <c r="D33" s="15"/>
      <c r="E33" s="15"/>
      <c r="F33" s="15"/>
      <c r="G33" s="15" t="s">
        <v>142</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186</v>
      </c>
      <c r="C35" s="30">
        <v>0.25</v>
      </c>
      <c r="D35" s="15" t="s">
        <v>143</v>
      </c>
      <c r="E35" s="15"/>
      <c r="F35" s="15"/>
      <c r="G35" s="15"/>
      <c r="H35" s="15"/>
      <c r="I35" s="15"/>
      <c r="J35" s="15"/>
      <c r="K35" s="15"/>
      <c r="L35" s="15"/>
      <c r="M35" s="15"/>
      <c r="N35" s="15"/>
      <c r="O35" s="15"/>
    </row>
    <row r="36" spans="2:21">
      <c r="B36" s="15" t="s">
        <v>188</v>
      </c>
      <c r="C36" s="32">
        <f>SQRT(EXP((C35^2))-1)</f>
        <v>0.25395759275489149</v>
      </c>
      <c r="F36" s="15"/>
      <c r="G36" s="15"/>
      <c r="H36" s="15"/>
      <c r="I36" s="15"/>
      <c r="J36" s="15"/>
      <c r="K36" s="15"/>
      <c r="L36" s="15"/>
      <c r="M36" s="15"/>
      <c r="N36" s="15"/>
      <c r="O36" s="15"/>
    </row>
    <row r="37" spans="2:21">
      <c r="B37" s="15" t="s">
        <v>191</v>
      </c>
      <c r="C37" s="15">
        <f>SQRT(LN((C3)^2+1))</f>
        <v>0.29356037920852401</v>
      </c>
      <c r="D37" s="15" t="s">
        <v>146</v>
      </c>
      <c r="E37" s="15"/>
      <c r="F37" s="15"/>
      <c r="G37" s="15"/>
      <c r="H37" s="15"/>
      <c r="I37" s="15"/>
      <c r="J37" s="15"/>
      <c r="K37" s="15"/>
      <c r="L37" s="15"/>
      <c r="M37" s="15"/>
      <c r="N37" s="15"/>
      <c r="O37" s="15"/>
    </row>
    <row r="38" spans="2:21">
      <c r="B38" s="15" t="s">
        <v>137</v>
      </c>
      <c r="C38" s="1">
        <f>IF(C37&gt;=C35,LN(1.25)*C37/C35,LN(1.25))</f>
        <v>0.2620244221669446</v>
      </c>
      <c r="F38" s="15"/>
      <c r="G38" s="15"/>
      <c r="H38" s="15"/>
      <c r="I38" s="15"/>
      <c r="J38" s="15"/>
      <c r="K38" s="15"/>
      <c r="L38" s="15"/>
      <c r="M38" s="15"/>
      <c r="N38" s="15"/>
      <c r="O38" s="15"/>
    </row>
    <row r="39" spans="2:21">
      <c r="B39" s="15"/>
      <c r="C39" s="15"/>
      <c r="D39" s="15"/>
      <c r="E39" s="15"/>
      <c r="F39" s="15"/>
      <c r="G39" s="15" t="s">
        <v>203</v>
      </c>
      <c r="H39" s="15"/>
      <c r="I39" s="15"/>
      <c r="J39" s="15"/>
      <c r="K39" s="15"/>
      <c r="L39" s="15"/>
      <c r="M39" s="15"/>
      <c r="N39" s="15"/>
      <c r="O39" s="15"/>
    </row>
    <row r="40" spans="2:21" ht="18">
      <c r="B40" s="36" t="s">
        <v>135</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141</v>
      </c>
      <c r="C42" s="9"/>
      <c r="D42" s="15"/>
      <c r="E42" s="15"/>
      <c r="F42" s="15"/>
      <c r="G42" s="15"/>
      <c r="H42" s="15"/>
      <c r="I42" s="15"/>
      <c r="J42" s="15"/>
      <c r="K42" s="15"/>
      <c r="L42" s="15"/>
      <c r="M42" s="15"/>
      <c r="N42" s="15"/>
      <c r="O42" s="15"/>
    </row>
    <row r="43" spans="2:21">
      <c r="B43" s="33" t="s">
        <v>140</v>
      </c>
      <c r="C43" s="9"/>
      <c r="D43" s="15"/>
      <c r="E43" s="15"/>
      <c r="F43" s="15"/>
      <c r="G43" s="15"/>
      <c r="H43" s="15"/>
      <c r="I43" s="15"/>
      <c r="J43" s="15"/>
      <c r="K43" s="15"/>
      <c r="L43" s="15"/>
      <c r="M43" s="15"/>
      <c r="N43" s="15"/>
      <c r="O43" s="15"/>
    </row>
    <row r="44" spans="2:21">
      <c r="B44" s="33" t="s">
        <v>139</v>
      </c>
      <c r="C44" s="15"/>
      <c r="D44" s="15"/>
      <c r="E44" s="15"/>
      <c r="F44" s="15"/>
      <c r="G44" s="15"/>
      <c r="H44" s="15"/>
      <c r="I44" s="15"/>
      <c r="J44" s="15"/>
      <c r="K44" s="15"/>
      <c r="L44" s="15"/>
      <c r="M44" s="15"/>
      <c r="N44" s="15"/>
      <c r="O44" s="15"/>
    </row>
    <row r="45" spans="2:21">
      <c r="B45" s="33" t="s">
        <v>144</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157</v>
      </c>
      <c r="L48" s="15"/>
      <c r="M48" s="15"/>
      <c r="N48" s="15"/>
      <c r="O48" s="15"/>
      <c r="P48" s="15"/>
      <c r="Q48" s="15"/>
      <c r="R48" s="15"/>
      <c r="S48" s="15"/>
      <c r="T48" s="15"/>
      <c r="U48" s="15"/>
    </row>
    <row r="49" spans="2:21" ht="18">
      <c r="B49" s="28" t="s">
        <v>158</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160</v>
      </c>
      <c r="C51" s="30">
        <v>1</v>
      </c>
      <c r="D51" s="15"/>
      <c r="K51" s="15"/>
      <c r="L51" s="15"/>
      <c r="M51" s="15"/>
      <c r="N51" s="15"/>
      <c r="O51" s="15"/>
      <c r="P51" s="15"/>
      <c r="Q51" s="15"/>
      <c r="R51" s="15"/>
      <c r="S51" s="15"/>
      <c r="T51" s="15"/>
      <c r="U51" s="15"/>
    </row>
    <row r="52" spans="2:21" ht="13.5" thickBot="1">
      <c r="B52" s="15" t="s">
        <v>159</v>
      </c>
      <c r="C52" s="30">
        <v>24</v>
      </c>
      <c r="K52" s="15"/>
      <c r="L52" s="15"/>
      <c r="M52" s="15"/>
      <c r="N52" s="15"/>
      <c r="O52" s="15"/>
      <c r="P52" s="15"/>
      <c r="Q52" s="15"/>
      <c r="R52" s="15"/>
      <c r="S52" s="15"/>
      <c r="T52" s="15"/>
      <c r="U52" s="15"/>
    </row>
    <row r="53" spans="2:21">
      <c r="B53" s="15" t="s">
        <v>145</v>
      </c>
      <c r="C53" s="1">
        <f>LN((C3)^2+1)</f>
        <v>8.6177696241052412E-2</v>
      </c>
      <c r="K53" s="15"/>
      <c r="L53" s="15"/>
      <c r="M53" s="15"/>
      <c r="N53" s="15"/>
      <c r="O53" s="15"/>
      <c r="P53" s="15"/>
      <c r="Q53" s="15"/>
      <c r="R53" s="15"/>
      <c r="S53" s="15"/>
      <c r="T53" s="15"/>
      <c r="U53" s="15"/>
    </row>
    <row r="54" spans="2:21">
      <c r="B54" s="15" t="s">
        <v>165</v>
      </c>
      <c r="C54" s="1">
        <f>SQRT((2*C53)/C52)</f>
        <v>8.474358197972498E-2</v>
      </c>
      <c r="I54" s="9"/>
      <c r="K54" s="15"/>
      <c r="L54" s="15"/>
      <c r="M54" s="15"/>
      <c r="N54" s="15"/>
      <c r="O54" s="15"/>
      <c r="P54" s="15"/>
      <c r="Q54" s="15"/>
      <c r="R54" s="15"/>
      <c r="S54" s="15"/>
      <c r="T54" s="15"/>
      <c r="U54" s="15"/>
    </row>
    <row r="55" spans="2:21">
      <c r="B55" s="15" t="s">
        <v>161</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135</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163</v>
      </c>
      <c r="D59" s="15"/>
      <c r="E59" s="15"/>
      <c r="F59" s="15"/>
      <c r="G59" s="15"/>
      <c r="H59" s="15"/>
      <c r="I59" s="15"/>
      <c r="J59" s="15"/>
      <c r="K59" s="15"/>
      <c r="L59" s="15"/>
      <c r="M59" s="15"/>
      <c r="N59" s="15"/>
      <c r="O59" s="15"/>
    </row>
    <row r="60" spans="2:21">
      <c r="B60" s="15" t="s">
        <v>164</v>
      </c>
      <c r="C60" s="15"/>
      <c r="D60" s="15"/>
      <c r="E60" s="15"/>
      <c r="F60" s="15"/>
      <c r="G60" s="15"/>
      <c r="H60" s="15"/>
      <c r="I60" s="15"/>
      <c r="J60" s="15"/>
      <c r="K60" s="15"/>
      <c r="L60" s="15"/>
      <c r="M60" s="15"/>
      <c r="N60" s="15"/>
      <c r="O60" s="15"/>
    </row>
    <row r="61" spans="2:21">
      <c r="B61" s="15" t="s">
        <v>166</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138</v>
      </c>
      <c r="C76" s="15"/>
      <c r="D76" s="15"/>
      <c r="E76" s="15"/>
      <c r="F76" s="15"/>
      <c r="G76" s="15"/>
      <c r="H76" s="15"/>
      <c r="I76" s="15"/>
      <c r="J76" s="15"/>
      <c r="K76" s="15"/>
      <c r="L76" s="15"/>
      <c r="M76" s="15"/>
      <c r="N76" s="15"/>
      <c r="O76" s="15"/>
    </row>
    <row r="77" spans="2:15">
      <c r="B77" s="33" t="s">
        <v>147</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156</v>
      </c>
      <c r="C80" s="15"/>
      <c r="D80" s="15"/>
      <c r="E80" s="15"/>
      <c r="F80" s="15"/>
      <c r="G80" s="15"/>
      <c r="H80" s="15"/>
      <c r="I80" s="15"/>
      <c r="J80" s="15"/>
      <c r="K80" s="15"/>
      <c r="L80" s="15"/>
      <c r="M80" s="15"/>
      <c r="N80" s="15"/>
      <c r="O80" s="15"/>
    </row>
    <row r="81" spans="2:15" ht="18">
      <c r="B81" s="28" t="s">
        <v>162</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167</v>
      </c>
      <c r="C83" s="30">
        <v>1</v>
      </c>
      <c r="D83" s="15"/>
      <c r="E83" s="15"/>
      <c r="F83" s="15"/>
      <c r="G83" s="15"/>
      <c r="H83" s="15"/>
      <c r="I83" s="15"/>
      <c r="J83" s="15"/>
      <c r="K83" s="15"/>
      <c r="L83" s="15"/>
      <c r="M83" s="15"/>
      <c r="N83" s="15"/>
      <c r="O83" s="15"/>
    </row>
    <row r="84" spans="2:15">
      <c r="B84" s="15" t="s">
        <v>168</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135</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141</v>
      </c>
      <c r="C106" s="15"/>
      <c r="D106" s="15"/>
      <c r="E106" s="15"/>
      <c r="F106" s="15"/>
      <c r="G106" s="15"/>
      <c r="H106" s="15"/>
      <c r="I106" s="15"/>
      <c r="J106" s="15"/>
      <c r="K106" s="15"/>
      <c r="L106" s="15"/>
      <c r="M106" s="15"/>
      <c r="N106" s="15"/>
      <c r="O106" s="15"/>
    </row>
    <row r="107" spans="2:15">
      <c r="B107" s="33" t="s">
        <v>147</v>
      </c>
      <c r="C107" s="15"/>
      <c r="D107" s="15"/>
      <c r="E107" s="15"/>
      <c r="F107" s="15"/>
      <c r="G107" s="15"/>
      <c r="H107" s="15"/>
      <c r="I107" s="15"/>
      <c r="J107" s="15"/>
      <c r="K107" s="15"/>
      <c r="L107" s="15"/>
      <c r="M107" s="15"/>
      <c r="N107" s="15"/>
      <c r="O107" s="15"/>
    </row>
    <row r="108" spans="2:15">
      <c r="B108" s="42" t="s">
        <v>202</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156</v>
      </c>
    </row>
    <row r="111" spans="2:15" ht="18">
      <c r="B111" s="28" t="s">
        <v>182</v>
      </c>
    </row>
    <row r="112" spans="2:15" ht="13.5" thickBot="1"/>
    <row r="113" spans="2:15" ht="13.5" thickBot="1">
      <c r="B113" s="15" t="s">
        <v>186</v>
      </c>
      <c r="C113" s="30">
        <v>0.25</v>
      </c>
    </row>
    <row r="114" spans="2:15" ht="13.5" thickBot="1">
      <c r="B114" s="15" t="s">
        <v>183</v>
      </c>
      <c r="C114" s="30">
        <f>C115</f>
        <v>8.6177696241052412E-2</v>
      </c>
      <c r="D114" s="15" t="s">
        <v>193</v>
      </c>
    </row>
    <row r="115" spans="2:15" ht="13.5" thickBot="1">
      <c r="B115" s="15" t="s">
        <v>145</v>
      </c>
      <c r="C115" s="30">
        <f>LN((C3)^2+1)</f>
        <v>8.6177696241052412E-2</v>
      </c>
      <c r="D115" s="15" t="s">
        <v>192</v>
      </c>
    </row>
    <row r="116" spans="2:15" ht="13.5" thickBot="1">
      <c r="B116" s="15" t="s">
        <v>184</v>
      </c>
      <c r="C116" s="30">
        <f>0.1356^2</f>
        <v>1.8387359999999998E-2</v>
      </c>
      <c r="D116" s="15" t="s">
        <v>194</v>
      </c>
    </row>
    <row r="117" spans="2:15">
      <c r="B117" s="15" t="s">
        <v>185</v>
      </c>
      <c r="C117" s="1">
        <f>(LN(1.25)^2+0.05)/C113^2</f>
        <v>1.596688711889878</v>
      </c>
    </row>
    <row r="118" spans="2:15">
      <c r="B118" s="15" t="s">
        <v>195</v>
      </c>
      <c r="C118" s="1">
        <f>SQRT((C117*C115)-(C114-C115)-C116)</f>
        <v>0.3452703213494655</v>
      </c>
    </row>
    <row r="119" spans="2:15" ht="18">
      <c r="B119" s="36" t="s">
        <v>135</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141</v>
      </c>
      <c r="C143" s="15"/>
      <c r="D143" s="15"/>
      <c r="E143" s="15"/>
      <c r="F143" s="15"/>
      <c r="G143" s="15"/>
      <c r="H143" s="15"/>
      <c r="I143" s="15"/>
      <c r="J143" s="15"/>
      <c r="K143" s="15"/>
      <c r="L143" s="15"/>
      <c r="M143" s="15"/>
      <c r="N143" s="15"/>
      <c r="O143" s="15"/>
    </row>
    <row r="144" spans="2:15">
      <c r="B144" s="33" t="s">
        <v>181</v>
      </c>
      <c r="C144" s="15"/>
      <c r="D144" s="15"/>
      <c r="E144" s="15"/>
      <c r="F144" s="15"/>
      <c r="G144" s="15"/>
      <c r="H144" s="15"/>
      <c r="I144" s="15"/>
      <c r="J144" s="15"/>
      <c r="K144" s="15"/>
      <c r="L144" s="15"/>
      <c r="M144" s="15"/>
      <c r="N144" s="15"/>
      <c r="O144" s="15"/>
    </row>
    <row r="145" spans="2:15">
      <c r="B145" s="33" t="s">
        <v>147</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173</v>
      </c>
      <c r="C148" s="15"/>
      <c r="D148" s="15"/>
      <c r="E148" s="15"/>
      <c r="F148" s="15"/>
      <c r="G148" s="15"/>
      <c r="H148" s="15"/>
      <c r="I148" s="15"/>
      <c r="J148" s="15"/>
      <c r="K148" s="15"/>
      <c r="L148" s="15"/>
      <c r="M148" s="15"/>
      <c r="N148" s="15"/>
      <c r="O148" s="15"/>
    </row>
    <row r="149" spans="2:15" ht="18">
      <c r="B149" s="28" t="s">
        <v>174</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177</v>
      </c>
      <c r="C151" s="30">
        <v>24</v>
      </c>
      <c r="D151" s="15"/>
      <c r="E151" s="15"/>
      <c r="F151" s="15"/>
      <c r="G151" s="15"/>
      <c r="H151" s="15"/>
      <c r="I151" s="15"/>
      <c r="J151" s="15"/>
      <c r="K151" s="15"/>
      <c r="L151" s="15"/>
      <c r="M151" s="15"/>
      <c r="N151" s="15"/>
      <c r="O151" s="15"/>
    </row>
    <row r="152" spans="2:15" ht="13.5" thickBot="1">
      <c r="B152" s="15" t="s">
        <v>176</v>
      </c>
      <c r="C152" s="29">
        <v>0.05</v>
      </c>
      <c r="D152" s="15" t="s">
        <v>180</v>
      </c>
      <c r="E152" s="15"/>
      <c r="F152" s="15"/>
      <c r="G152" s="15"/>
      <c r="H152" s="15"/>
      <c r="I152" s="15"/>
      <c r="J152" s="15"/>
      <c r="K152" s="15"/>
      <c r="L152" s="15"/>
      <c r="M152" s="15"/>
      <c r="N152" s="15"/>
      <c r="O152" s="15"/>
    </row>
    <row r="153" spans="2:15" ht="13.5" thickBot="1">
      <c r="B153" s="15" t="s">
        <v>175</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168</v>
      </c>
      <c r="C154" s="15">
        <f>C37</f>
        <v>0.29356037920852401</v>
      </c>
      <c r="D154" s="15"/>
      <c r="E154" s="15"/>
      <c r="F154" s="15"/>
      <c r="G154" s="15"/>
      <c r="H154" s="15"/>
      <c r="I154" s="15"/>
      <c r="J154" s="15"/>
      <c r="K154" s="15"/>
      <c r="L154" s="15"/>
      <c r="M154" s="15"/>
      <c r="N154" s="15"/>
      <c r="O154" s="15"/>
    </row>
    <row r="155" spans="2:15">
      <c r="B155" s="15" t="s">
        <v>178</v>
      </c>
      <c r="C155" s="15">
        <f>TINV(($C$152*2),$C$151-2)</f>
        <v>1.7171443743802424</v>
      </c>
      <c r="D155" s="15"/>
      <c r="E155" s="15"/>
      <c r="F155" s="15"/>
      <c r="G155" s="15"/>
      <c r="H155" s="15"/>
      <c r="I155" s="15"/>
      <c r="J155" s="15"/>
      <c r="K155" s="15"/>
      <c r="L155" s="15"/>
      <c r="M155" s="15"/>
      <c r="N155" s="15"/>
      <c r="O155" s="15"/>
    </row>
    <row r="156" spans="2:15">
      <c r="B156" s="15" t="s">
        <v>179</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135</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141</v>
      </c>
      <c r="C176" s="15"/>
      <c r="D176" s="15"/>
      <c r="E176" s="15"/>
      <c r="F176" s="15"/>
      <c r="G176" s="15"/>
      <c r="H176" s="15"/>
      <c r="I176" s="15"/>
      <c r="J176" s="15"/>
      <c r="K176" s="15"/>
      <c r="L176" s="15"/>
      <c r="M176" s="15"/>
      <c r="N176" s="15"/>
      <c r="O176" s="15"/>
    </row>
    <row r="177" spans="2:15">
      <c r="B177" s="33" t="s">
        <v>147</v>
      </c>
      <c r="C177" s="15"/>
      <c r="D177" s="15"/>
      <c r="E177" s="15"/>
      <c r="F177" s="15"/>
      <c r="G177" s="15"/>
      <c r="H177" s="15"/>
      <c r="I177" s="15"/>
      <c r="J177" s="15"/>
      <c r="K177" s="15"/>
      <c r="L177" s="15"/>
      <c r="M177" s="15"/>
      <c r="N177" s="15"/>
      <c r="O177" s="15"/>
    </row>
    <row r="178" spans="2:15">
      <c r="B178" s="42" t="s">
        <v>202</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124</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4.25">
      <c r="C19" s="16" t="s">
        <v>63</v>
      </c>
      <c r="D19" s="16" t="s">
        <v>64</v>
      </c>
      <c r="E19" s="16" t="s">
        <v>66</v>
      </c>
    </row>
    <row r="20" spans="2:5">
      <c r="B20" s="1" t="s">
        <v>11</v>
      </c>
      <c r="C20" s="1">
        <f>CEILING(C11,1)</f>
        <v>194</v>
      </c>
      <c r="D20" s="1">
        <f>C20*C3</f>
        <v>194</v>
      </c>
      <c r="E20" s="1">
        <f>C20+D20</f>
        <v>388</v>
      </c>
    </row>
    <row r="26" spans="2:5" ht="18">
      <c r="B26" s="28" t="s">
        <v>125</v>
      </c>
    </row>
    <row r="27" spans="2:5" ht="20.25" customHeight="1"/>
    <row r="50" spans="2:7">
      <c r="G50" s="6"/>
    </row>
    <row r="51" spans="2:7">
      <c r="G51" s="6"/>
    </row>
    <row r="52" spans="2:7">
      <c r="G52" s="6"/>
    </row>
    <row r="53" spans="2:7">
      <c r="B53" s="9" t="s">
        <v>127</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124</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c r="C19" s="9"/>
      <c r="D19" s="9"/>
    </row>
    <row r="20" spans="2:5">
      <c r="B20" s="1" t="s">
        <v>11</v>
      </c>
      <c r="C20" s="1">
        <f>CEILING(C11,1)</f>
        <v>34</v>
      </c>
    </row>
    <row r="26" spans="2:5" ht="18">
      <c r="B26" s="28" t="s">
        <v>125</v>
      </c>
    </row>
    <row r="27" spans="2:5" ht="20.25" customHeight="1"/>
    <row r="35" spans="2:2">
      <c r="B35" s="9" t="s">
        <v>127</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118</v>
      </c>
    </row>
    <row r="2" spans="2:5" ht="13.5" thickBot="1">
      <c r="C2" s="14"/>
      <c r="E2" s="9" t="s">
        <v>124</v>
      </c>
    </row>
    <row r="3" spans="2:5" ht="13.5" thickBot="1">
      <c r="B3" s="1" t="s">
        <v>1</v>
      </c>
      <c r="C3" s="2">
        <v>0.8</v>
      </c>
    </row>
    <row r="4" spans="2:5" ht="13.5" thickBot="1">
      <c r="B4" s="8" t="s">
        <v>59</v>
      </c>
      <c r="C4" s="2">
        <v>0.05</v>
      </c>
      <c r="D4" s="1" t="s">
        <v>20</v>
      </c>
    </row>
    <row r="5" spans="2:5" ht="16.5" thickBot="1">
      <c r="B5" s="1" t="s">
        <v>84</v>
      </c>
      <c r="C5" s="18">
        <v>0.1</v>
      </c>
      <c r="D5" s="1" t="s">
        <v>85</v>
      </c>
    </row>
    <row r="6" spans="2:5" ht="16.5" thickBot="1">
      <c r="B6" s="1" t="s">
        <v>87</v>
      </c>
      <c r="C6" s="18">
        <v>0.3</v>
      </c>
      <c r="D6" s="1" t="s">
        <v>89</v>
      </c>
    </row>
    <row r="7" spans="2:5" ht="13.5" thickBot="1">
      <c r="C7" s="4"/>
    </row>
    <row r="8" spans="2:5" ht="13.5" thickBot="1">
      <c r="B8" s="12" t="s">
        <v>17</v>
      </c>
      <c r="C8" s="19">
        <f>C6-C5</f>
        <v>0.19999999999999998</v>
      </c>
      <c r="D8" s="1" t="s">
        <v>86</v>
      </c>
    </row>
    <row r="10" spans="2:5" ht="15.75">
      <c r="B10" s="1" t="s">
        <v>113</v>
      </c>
      <c r="C10" s="1">
        <v>5</v>
      </c>
      <c r="D10" s="1" t="s">
        <v>88</v>
      </c>
    </row>
    <row r="11" spans="2:5">
      <c r="B11" s="1" t="s">
        <v>0</v>
      </c>
      <c r="C11" s="7">
        <v>25</v>
      </c>
    </row>
    <row r="18" spans="2:5">
      <c r="B18" s="1" t="s">
        <v>58</v>
      </c>
      <c r="C18" s="1">
        <v>0.80651155791193363</v>
      </c>
      <c r="E18" s="5"/>
    </row>
    <row r="19" spans="2:5">
      <c r="C19" s="16"/>
      <c r="D19" s="16"/>
      <c r="E19" s="16"/>
    </row>
    <row r="20" spans="2:5">
      <c r="B20" s="1" t="s">
        <v>11</v>
      </c>
      <c r="C20" s="1">
        <f>CEILING(C11,1)</f>
        <v>25</v>
      </c>
      <c r="D20" s="1" t="s">
        <v>132</v>
      </c>
    </row>
    <row r="21" spans="2:5">
      <c r="B21" s="1" t="s">
        <v>114</v>
      </c>
      <c r="C21" s="1">
        <f>C10</f>
        <v>5</v>
      </c>
      <c r="D21" s="1" t="s">
        <v>116</v>
      </c>
    </row>
    <row r="23" spans="2:5">
      <c r="D23" s="9" t="s">
        <v>123</v>
      </c>
    </row>
    <row r="25" spans="2:5" ht="20.25" customHeight="1">
      <c r="B25" s="1" t="s">
        <v>115</v>
      </c>
    </row>
    <row r="26" spans="2:5">
      <c r="B26" s="1" t="s">
        <v>90</v>
      </c>
    </row>
    <row r="28" spans="2:5" ht="15.75">
      <c r="B28" s="1" t="s">
        <v>117</v>
      </c>
    </row>
    <row r="29" spans="2:5">
      <c r="D29" s="9"/>
    </row>
    <row r="30" spans="2:5" ht="18">
      <c r="B30" s="28" t="s">
        <v>125</v>
      </c>
    </row>
    <row r="39" spans="2:7">
      <c r="B39" s="9" t="s">
        <v>131</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127</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92</v>
      </c>
    </row>
    <row r="3" spans="2:4" ht="18.75" customHeight="1" thickBot="1">
      <c r="B3" s="21" t="s">
        <v>93</v>
      </c>
    </row>
    <row r="4" spans="2:4">
      <c r="B4" s="1" t="s">
        <v>94</v>
      </c>
      <c r="C4" s="22">
        <v>100</v>
      </c>
      <c r="D4" s="1" t="s">
        <v>95</v>
      </c>
    </row>
    <row r="5" spans="2:4">
      <c r="B5" s="1" t="s">
        <v>96</v>
      </c>
      <c r="C5" s="23">
        <v>80</v>
      </c>
      <c r="D5" s="1" t="s">
        <v>97</v>
      </c>
    </row>
    <row r="6" spans="2:4">
      <c r="B6" s="1" t="s">
        <v>98</v>
      </c>
      <c r="C6" s="23">
        <v>125</v>
      </c>
      <c r="D6" s="1" t="s">
        <v>99</v>
      </c>
    </row>
    <row r="7" spans="2:4" ht="13.5" thickBot="1">
      <c r="B7" s="1" t="s">
        <v>100</v>
      </c>
      <c r="C7" s="24">
        <v>12</v>
      </c>
      <c r="D7" s="1" t="s">
        <v>101</v>
      </c>
    </row>
    <row r="8" spans="2:4" ht="13.5" thickBot="1">
      <c r="B8" s="1" t="s">
        <v>102</v>
      </c>
      <c r="C8" s="2">
        <v>0.9</v>
      </c>
    </row>
    <row r="9" spans="2:4">
      <c r="B9" s="1" t="s">
        <v>103</v>
      </c>
      <c r="C9" s="25">
        <f>C7-2</f>
        <v>10</v>
      </c>
    </row>
    <row r="10" spans="2:4">
      <c r="B10" s="1" t="s">
        <v>104</v>
      </c>
      <c r="C10" s="25">
        <f>TINV(1-$C$8,$C$9)</f>
        <v>1.812461122811676</v>
      </c>
    </row>
    <row r="11" spans="2:4">
      <c r="B11" s="1" t="s">
        <v>105</v>
      </c>
      <c r="C11" s="25">
        <f>(LN($C$4)-LN($C$5))/$C$10</f>
        <v>0.123116324265233</v>
      </c>
    </row>
    <row r="12" spans="2:4">
      <c r="B12" s="1" t="s">
        <v>106</v>
      </c>
      <c r="C12" s="25">
        <f>(LN($C$6)-LN($C$4))/$C$10</f>
        <v>0.12311632426523252</v>
      </c>
    </row>
    <row r="13" spans="2:4">
      <c r="B13" s="1" t="s">
        <v>107</v>
      </c>
      <c r="C13" s="25">
        <f>(C11^2)*($C$9+2)/2</f>
        <v>9.0945775803492002E-2</v>
      </c>
    </row>
    <row r="14" spans="2:4">
      <c r="B14" s="1" t="s">
        <v>108</v>
      </c>
      <c r="C14" s="25">
        <f>(C12^2)*($C$9+2)/2</f>
        <v>9.094577580349128E-2</v>
      </c>
    </row>
    <row r="15" spans="2:4">
      <c r="B15" s="1" t="s">
        <v>109</v>
      </c>
      <c r="C15" s="25">
        <f>SQRT(EXP($C$13)-1)*100</f>
        <v>30.856055610990801</v>
      </c>
    </row>
    <row r="16" spans="2:4">
      <c r="B16" s="1" t="s">
        <v>110</v>
      </c>
      <c r="C16" s="25">
        <f>SQRT(EXP($C$14)-1)*100</f>
        <v>30.85605561099069</v>
      </c>
    </row>
    <row r="18" spans="2:7" ht="20.25">
      <c r="B18" s="20" t="s">
        <v>111</v>
      </c>
      <c r="C18" s="26">
        <f>(C15+C16)/2</f>
        <v>30.856055610990744</v>
      </c>
      <c r="D18" s="20" t="s">
        <v>112</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2021-03-10T14:56:30Z</dcterms:modified>
  <cp:category>Sample Size Estimation</cp:category>
</cp:coreProperties>
</file>