
<file path=[Content_Types].xml><?xml version="1.0" encoding="utf-8"?>
<Types xmlns="http://schemas.openxmlformats.org/package/2006/content-types">
  <Default Extension="xml" ContentType="application/xml"/>
  <Default Extension="wmf" ContentType="image/x-wmf"/>
  <Default Extension="rels" ContentType="application/vnd.openxmlformats-package.relationships+xml"/>
  <Default Extension="emf" ContentType="image/x-emf"/>
  <Default Extension="vml" ContentType="application/vnd.openxmlformats-officedocument.vmlDrawing"/>
  <Default Extension="bin" ContentType="application/vnd.openxmlformats-officedocument.oleObject"/>
  <Default Extension="png" ContentType="image/p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4D1C537B-E38A-612A-F078-A93A15B4B7F4}"/>
  <workbookPr codeName="ThisWorkbook" autoCompressPictures="0"/>
  <bookViews>
    <workbookView xWindow="0" yWindow="0" windowWidth="25600" windowHeight="1606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calcPr calcId="140001" concurrentCalc="0"/>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20" i="28" l="1"/>
  <c r="C20" i="8"/>
  <c r="C8" i="1"/>
  <c r="C20" i="28"/>
  <c r="C12" i="28"/>
  <c r="C13" i="28"/>
  <c r="Z32" i="28"/>
  <c r="Z33" i="28"/>
  <c r="V11" i="28"/>
  <c r="C10" i="28"/>
  <c r="C15" i="28"/>
  <c r="C8" i="28"/>
  <c r="D6" i="28"/>
  <c r="C17" i="28"/>
  <c r="C14" i="28"/>
  <c r="D20" i="28"/>
  <c r="E20" i="28"/>
  <c r="Z35" i="28"/>
  <c r="Z36" i="28"/>
  <c r="W11" i="28"/>
  <c r="V15" i="28"/>
  <c r="C20" i="27"/>
  <c r="Y6" i="27"/>
  <c r="Z2" i="27"/>
  <c r="Z32" i="27"/>
  <c r="Z33" i="27"/>
  <c r="C12" i="27"/>
  <c r="C13" i="27"/>
  <c r="V11" i="27"/>
  <c r="V15" i="27"/>
  <c r="C10" i="27"/>
  <c r="C15" i="27"/>
  <c r="C8" i="27"/>
  <c r="Z35" i="27"/>
  <c r="Z36" i="27"/>
  <c r="C17" i="27"/>
  <c r="C16" i="28"/>
  <c r="C18" i="28"/>
  <c r="X11" i="28"/>
  <c r="Y11" i="28"/>
  <c r="Z16" i="28"/>
  <c r="Z17" i="28"/>
  <c r="Z19" i="28"/>
  <c r="Z20" i="28"/>
  <c r="AA11" i="28"/>
  <c r="AB11" i="28"/>
  <c r="U16" i="28"/>
  <c r="C14" i="27"/>
  <c r="D6" i="27"/>
  <c r="W11" i="27"/>
  <c r="X11" i="27"/>
  <c r="Y11" i="27"/>
  <c r="K7" i="14"/>
  <c r="K7" i="13"/>
  <c r="C16" i="27"/>
  <c r="U17" i="28"/>
  <c r="V16" i="28"/>
  <c r="AD16" i="28"/>
  <c r="AD17" i="28"/>
  <c r="AD19" i="28"/>
  <c r="AD20" i="28"/>
  <c r="C18" i="27"/>
  <c r="Z16" i="27"/>
  <c r="Z17" i="27"/>
  <c r="AA11" i="27"/>
  <c r="AB11" i="27"/>
  <c r="U16" i="27"/>
  <c r="Z19" i="27"/>
  <c r="Z20" i="27"/>
  <c r="C25" i="7"/>
  <c r="V17" i="28"/>
  <c r="U18" i="28"/>
  <c r="U17" i="27"/>
  <c r="V16" i="27"/>
  <c r="AD16" i="27"/>
  <c r="AD17" i="27"/>
  <c r="AD19" i="27"/>
  <c r="AD20" i="27"/>
  <c r="V11" i="1"/>
  <c r="V15" i="1"/>
  <c r="Z35" i="1"/>
  <c r="Z36" i="1"/>
  <c r="Z32" i="1"/>
  <c r="Z33" i="1"/>
  <c r="AE25" i="14"/>
  <c r="AE28" i="14"/>
  <c r="AA25" i="14"/>
  <c r="AA28" i="14"/>
  <c r="AE17" i="14"/>
  <c r="AE20" i="14"/>
  <c r="AA17" i="14"/>
  <c r="AA20" i="14"/>
  <c r="W12" i="14"/>
  <c r="W11" i="14"/>
  <c r="V11" i="14"/>
  <c r="V12" i="14"/>
  <c r="W12" i="13"/>
  <c r="W11" i="13"/>
  <c r="Z19" i="13"/>
  <c r="Z20" i="13"/>
  <c r="V11" i="13"/>
  <c r="W12" i="12"/>
  <c r="C20" i="12"/>
  <c r="W11" i="12"/>
  <c r="V11" i="12"/>
  <c r="V11" i="11"/>
  <c r="V12" i="11"/>
  <c r="W12" i="11"/>
  <c r="C20" i="11"/>
  <c r="D20" i="11"/>
  <c r="W11" i="11"/>
  <c r="W12" i="8"/>
  <c r="W11" i="8"/>
  <c r="V11" i="8"/>
  <c r="Z32" i="8"/>
  <c r="C20" i="7"/>
  <c r="W12" i="7"/>
  <c r="W11" i="7"/>
  <c r="V11" i="7"/>
  <c r="V15" i="7"/>
  <c r="V15" i="14"/>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AA17" i="13"/>
  <c r="AA20" i="13"/>
  <c r="AA25" i="13"/>
  <c r="AA28" i="13"/>
  <c r="AE25" i="13"/>
  <c r="AE28" i="13"/>
  <c r="AE17" i="12"/>
  <c r="AE20" i="12"/>
  <c r="AA17" i="12"/>
  <c r="AA20" i="12"/>
  <c r="AE25" i="12"/>
  <c r="AE28" i="12"/>
  <c r="AA25" i="12"/>
  <c r="AA28" i="12"/>
  <c r="AA17" i="8"/>
  <c r="AA20" i="8"/>
  <c r="AA25" i="8"/>
  <c r="AA28" i="8"/>
  <c r="C16" i="11"/>
  <c r="C17" i="1"/>
  <c r="C17" i="12"/>
  <c r="C17" i="14"/>
  <c r="C17" i="8"/>
  <c r="C17" i="7"/>
  <c r="C17" i="13"/>
  <c r="U19" i="28"/>
  <c r="V18" i="28"/>
  <c r="W11" i="1"/>
  <c r="Z19" i="1"/>
  <c r="Z20" i="1"/>
  <c r="C14" i="1"/>
  <c r="Z16" i="8"/>
  <c r="Z17" i="8"/>
  <c r="U18" i="27"/>
  <c r="V17" i="27"/>
  <c r="Z35" i="14"/>
  <c r="Z36" i="14"/>
  <c r="Z27" i="14"/>
  <c r="Z28" i="14"/>
  <c r="AA11" i="14"/>
  <c r="AB11" i="14"/>
  <c r="U16" i="14"/>
  <c r="W15" i="14"/>
  <c r="Z32" i="14"/>
  <c r="Z33" i="14"/>
  <c r="Z24" i="14"/>
  <c r="Z25" i="14"/>
  <c r="C8" i="12"/>
  <c r="V12" i="8"/>
  <c r="Z35" i="8"/>
  <c r="Z36" i="8"/>
  <c r="Z19" i="8"/>
  <c r="Z20" i="8"/>
  <c r="X11" i="12"/>
  <c r="C14" i="12"/>
  <c r="C14" i="17"/>
  <c r="C14" i="18"/>
  <c r="C118" i="26"/>
  <c r="C119" i="26"/>
  <c r="AA11" i="12"/>
  <c r="AB11" i="12"/>
  <c r="U16" i="12"/>
  <c r="Z16" i="14"/>
  <c r="Z17" i="14"/>
  <c r="X11" i="8"/>
  <c r="Y11" i="8"/>
  <c r="AD19" i="8"/>
  <c r="AD20" i="8"/>
  <c r="V15" i="8"/>
  <c r="X11" i="7"/>
  <c r="Y11" i="7"/>
  <c r="AD19" i="7"/>
  <c r="AD20" i="7"/>
  <c r="X12" i="8"/>
  <c r="Y12" i="8"/>
  <c r="W16" i="14"/>
  <c r="U17" i="14"/>
  <c r="V17" i="14"/>
  <c r="V16" i="14"/>
  <c r="X11" i="14"/>
  <c r="Y11" i="14"/>
  <c r="AD16" i="14"/>
  <c r="AD17" i="14"/>
  <c r="Z35" i="13"/>
  <c r="Z36" i="13"/>
  <c r="Z24" i="13"/>
  <c r="Z25" i="13"/>
  <c r="W16" i="13"/>
  <c r="V16" i="13"/>
  <c r="U17" i="13"/>
  <c r="Z27" i="13"/>
  <c r="Z28" i="13"/>
  <c r="Z33" i="13"/>
  <c r="W15"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12" i="24"/>
  <c r="C14" i="24"/>
  <c r="C16" i="24"/>
  <c r="C11" i="24"/>
  <c r="C13" i="24"/>
  <c r="C15" i="24"/>
  <c r="C57" i="26"/>
  <c r="D20" i="13"/>
  <c r="E20" i="13"/>
  <c r="X11" i="13"/>
  <c r="Y11" i="13"/>
  <c r="X12" i="11"/>
  <c r="Y12" i="11"/>
  <c r="Y11" i="12"/>
  <c r="X12" i="12"/>
  <c r="Y12" i="12"/>
  <c r="Z33" i="8"/>
  <c r="Y12" i="14"/>
  <c r="Z19" i="7"/>
  <c r="Z20" i="7"/>
  <c r="X12" i="13"/>
  <c r="Y12" i="13"/>
  <c r="V12" i="7"/>
  <c r="Z35" i="7"/>
  <c r="D20" i="7"/>
  <c r="C18" i="13"/>
  <c r="C18" i="7"/>
  <c r="C18" i="8"/>
  <c r="C18" i="14"/>
  <c r="V16" i="12"/>
  <c r="U17" i="12"/>
  <c r="W16" i="12"/>
  <c r="C16" i="12"/>
  <c r="C16" i="1"/>
  <c r="C17" i="11"/>
  <c r="W16" i="11"/>
  <c r="Z27" i="8"/>
  <c r="Z28" i="8"/>
  <c r="U20" i="28"/>
  <c r="V19" i="28"/>
  <c r="C18" i="1"/>
  <c r="X11" i="1"/>
  <c r="Y11" i="1"/>
  <c r="AD16" i="1"/>
  <c r="AD17" i="1"/>
  <c r="Z16" i="1"/>
  <c r="Z17" i="1"/>
  <c r="AA11" i="1"/>
  <c r="AB11" i="1"/>
  <c r="U16" i="1"/>
  <c r="V16" i="1"/>
  <c r="U17" i="11"/>
  <c r="V17" i="11"/>
  <c r="AD16" i="7"/>
  <c r="AD17" i="7"/>
  <c r="AD16" i="8"/>
  <c r="AD17" i="8"/>
  <c r="U19" i="27"/>
  <c r="V18" i="27"/>
  <c r="C18" i="12"/>
  <c r="AD24" i="8"/>
  <c r="AD25" i="8"/>
  <c r="AD27" i="8"/>
  <c r="AD28" i="8"/>
  <c r="C18" i="24"/>
  <c r="W17" i="14"/>
  <c r="W15" i="8"/>
  <c r="Z24" i="8"/>
  <c r="Z25" i="8"/>
  <c r="AA11" i="8"/>
  <c r="AB11" i="8"/>
  <c r="U16" i="8"/>
  <c r="U18" i="14"/>
  <c r="AD19" i="14"/>
  <c r="AD20" i="14"/>
  <c r="U18" i="13"/>
  <c r="V17" i="13"/>
  <c r="W17" i="13"/>
  <c r="C18" i="11"/>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W17" i="12"/>
  <c r="V17" i="12"/>
  <c r="U18" i="12"/>
  <c r="U21" i="28"/>
  <c r="V20" i="28"/>
  <c r="AD19" i="1"/>
  <c r="AD20" i="1"/>
  <c r="U17" i="1"/>
  <c r="W17" i="11"/>
  <c r="U18" i="11"/>
  <c r="V18" i="11"/>
  <c r="U20" i="27"/>
  <c r="V19" i="27"/>
  <c r="W16" i="8"/>
  <c r="U17" i="8"/>
  <c r="V16" i="8"/>
  <c r="U19" i="14"/>
  <c r="W18" i="14"/>
  <c r="V18" i="14"/>
  <c r="U19" i="13"/>
  <c r="V18" i="13"/>
  <c r="W18" i="13"/>
  <c r="U17" i="7"/>
  <c r="W16" i="7"/>
  <c r="V16" i="7"/>
  <c r="AD24" i="7"/>
  <c r="AD25" i="7"/>
  <c r="W18" i="12"/>
  <c r="V18" i="12"/>
  <c r="U19" i="12"/>
  <c r="U22" i="28"/>
  <c r="V21" i="28"/>
  <c r="U18" i="1"/>
  <c r="V17" i="1"/>
  <c r="U19" i="11"/>
  <c r="W19" i="11"/>
  <c r="W18" i="11"/>
  <c r="U21" i="27"/>
  <c r="V20" i="27"/>
  <c r="U18" i="8"/>
  <c r="W17" i="8"/>
  <c r="V17" i="8"/>
  <c r="W19" i="14"/>
  <c r="U20" i="14"/>
  <c r="V19" i="14"/>
  <c r="V19" i="13"/>
  <c r="W19" i="13"/>
  <c r="U20" i="13"/>
  <c r="W17" i="7"/>
  <c r="V17" i="7"/>
  <c r="U18" i="7"/>
  <c r="U20" i="12"/>
  <c r="V19" i="12"/>
  <c r="W19" i="12"/>
  <c r="U23" i="28"/>
  <c r="V22" i="28"/>
  <c r="V18" i="1"/>
  <c r="U19" i="1"/>
  <c r="V19" i="11"/>
  <c r="U20" i="11"/>
  <c r="W20" i="11"/>
  <c r="V21" i="27"/>
  <c r="U22" i="27"/>
  <c r="W18" i="8"/>
  <c r="V18" i="8"/>
  <c r="U19" i="8"/>
  <c r="W20" i="14"/>
  <c r="U21" i="14"/>
  <c r="V20" i="14"/>
  <c r="V20" i="13"/>
  <c r="U21" i="13"/>
  <c r="W20" i="13"/>
  <c r="V18" i="7"/>
  <c r="W18" i="7"/>
  <c r="U19" i="7"/>
  <c r="V20" i="12"/>
  <c r="W20" i="12"/>
  <c r="U21" i="12"/>
  <c r="V23" i="28"/>
  <c r="U24" i="28"/>
  <c r="U20" i="1"/>
  <c r="V19" i="1"/>
  <c r="V20" i="11"/>
  <c r="U21" i="11"/>
  <c r="U22" i="11"/>
  <c r="V22" i="11"/>
  <c r="U23" i="27"/>
  <c r="V22" i="27"/>
  <c r="V19" i="8"/>
  <c r="W19" i="8"/>
  <c r="U20" i="8"/>
  <c r="V21" i="14"/>
  <c r="U22" i="14"/>
  <c r="W21" i="14"/>
  <c r="W21" i="13"/>
  <c r="V21" i="13"/>
  <c r="U22" i="13"/>
  <c r="W19" i="7"/>
  <c r="U20" i="7"/>
  <c r="V19" i="7"/>
  <c r="V21" i="12"/>
  <c r="W21" i="12"/>
  <c r="U22" i="12"/>
  <c r="V24" i="28"/>
  <c r="U25" i="28"/>
  <c r="V20" i="1"/>
  <c r="U21" i="1"/>
  <c r="V21" i="11"/>
  <c r="U23" i="11"/>
  <c r="U24" i="11"/>
  <c r="W22" i="11"/>
  <c r="W21" i="11"/>
  <c r="V23" i="27"/>
  <c r="U24" i="27"/>
  <c r="U21" i="8"/>
  <c r="W20" i="8"/>
  <c r="V20" i="8"/>
  <c r="V22" i="14"/>
  <c r="W22" i="14"/>
  <c r="U23" i="14"/>
  <c r="W22" i="13"/>
  <c r="V22" i="13"/>
  <c r="U23" i="13"/>
  <c r="W20" i="7"/>
  <c r="U21" i="7"/>
  <c r="V20" i="7"/>
  <c r="V22" i="12"/>
  <c r="U23" i="12"/>
  <c r="W22" i="12"/>
  <c r="W23" i="1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c r="V26" i="28"/>
  <c r="V22" i="1"/>
  <c r="U23" i="1"/>
  <c r="V25" i="27"/>
  <c r="U26" i="27"/>
  <c r="V22" i="8"/>
  <c r="W22" i="8"/>
  <c r="U23" i="8"/>
  <c r="W24" i="14"/>
  <c r="U25" i="14"/>
  <c r="V24" i="14"/>
  <c r="V24" i="13"/>
  <c r="W24" i="13"/>
  <c r="U25" i="13"/>
  <c r="W22" i="7"/>
  <c r="U23" i="7"/>
  <c r="V22" i="7"/>
  <c r="U25" i="12"/>
  <c r="W24" i="12"/>
  <c r="V24" i="12"/>
  <c r="U26" i="11"/>
  <c r="V25" i="11"/>
  <c r="W25" i="11"/>
  <c r="U28" i="28"/>
  <c r="V27" i="28"/>
  <c r="V23" i="1"/>
  <c r="U24" i="1"/>
  <c r="U27" i="27"/>
  <c r="V26" i="27"/>
  <c r="U24" i="8"/>
  <c r="V23" i="8"/>
  <c r="W23" i="8"/>
  <c r="W25" i="14"/>
  <c r="V25" i="14"/>
  <c r="U26" i="14"/>
  <c r="W25" i="13"/>
  <c r="U26" i="13"/>
  <c r="V25" i="13"/>
  <c r="W23" i="7"/>
  <c r="U24" i="7"/>
  <c r="V23" i="7"/>
  <c r="U27" i="11"/>
  <c r="V26" i="11"/>
  <c r="W26" i="11"/>
  <c r="W25" i="12"/>
  <c r="U26" i="12"/>
  <c r="V25" i="12"/>
  <c r="V28" i="28"/>
  <c r="U29" i="28"/>
  <c r="V24" i="1"/>
  <c r="U25" i="1"/>
  <c r="V27" i="27"/>
  <c r="U28" i="27"/>
  <c r="V24" i="8"/>
  <c r="U25" i="8"/>
  <c r="W24" i="8"/>
  <c r="W26" i="14"/>
  <c r="U27" i="14"/>
  <c r="V26" i="14"/>
  <c r="V26" i="13"/>
  <c r="W26" i="13"/>
  <c r="U27" i="13"/>
  <c r="V24" i="7"/>
  <c r="W24" i="7"/>
  <c r="U25" i="7"/>
  <c r="U28" i="11"/>
  <c r="W27" i="11"/>
  <c r="V27" i="11"/>
  <c r="W26" i="12"/>
  <c r="U27" i="12"/>
  <c r="V26" i="12"/>
  <c r="U30" i="28"/>
  <c r="V29" i="28"/>
  <c r="U26" i="1"/>
  <c r="V25" i="1"/>
  <c r="U29" i="27"/>
  <c r="V28" i="27"/>
  <c r="U26" i="8"/>
  <c r="W25" i="8"/>
  <c r="V25" i="8"/>
  <c r="W27" i="14"/>
  <c r="U28" i="14"/>
  <c r="V27" i="14"/>
  <c r="W27" i="13"/>
  <c r="U28" i="13"/>
  <c r="V27" i="13"/>
  <c r="V25" i="7"/>
  <c r="U26" i="7"/>
  <c r="W25" i="7"/>
  <c r="W27" i="12"/>
  <c r="V27" i="12"/>
  <c r="U28" i="12"/>
  <c r="V28" i="11"/>
  <c r="W28" i="11"/>
  <c r="U29" i="11"/>
  <c r="U31" i="28"/>
  <c r="V30" i="28"/>
  <c r="U27" i="1"/>
  <c r="V26" i="1"/>
  <c r="V29" i="27"/>
  <c r="U30" i="27"/>
  <c r="U27" i="8"/>
  <c r="W26" i="8"/>
  <c r="V26" i="8"/>
  <c r="V28" i="14"/>
  <c r="U29" i="14"/>
  <c r="W28" i="14"/>
  <c r="U29" i="13"/>
  <c r="V28" i="13"/>
  <c r="W28" i="13"/>
  <c r="V26" i="7"/>
  <c r="U27" i="7"/>
  <c r="W26" i="7"/>
  <c r="U29" i="12"/>
  <c r="V28" i="12"/>
  <c r="W28" i="12"/>
  <c r="U30" i="11"/>
  <c r="W29" i="11"/>
  <c r="V29" i="11"/>
  <c r="U32" i="28"/>
  <c r="V31" i="28"/>
  <c r="U28" i="1"/>
  <c r="V27" i="1"/>
  <c r="U31" i="27"/>
  <c r="V30" i="27"/>
  <c r="W27" i="8"/>
  <c r="V27" i="8"/>
  <c r="U28" i="8"/>
  <c r="V29" i="14"/>
  <c r="U30" i="14"/>
  <c r="W29" i="14"/>
  <c r="W29" i="13"/>
  <c r="U30" i="13"/>
  <c r="V29" i="13"/>
  <c r="W27" i="7"/>
  <c r="V27" i="7"/>
  <c r="U28" i="7"/>
  <c r="V30" i="11"/>
  <c r="U31" i="11"/>
  <c r="W30" i="11"/>
  <c r="U30" i="12"/>
  <c r="V29" i="12"/>
  <c r="W29" i="12"/>
  <c r="V32" i="28"/>
  <c r="U33" i="28"/>
  <c r="V28" i="1"/>
  <c r="U29" i="1"/>
  <c r="U32" i="27"/>
  <c r="V31" i="27"/>
  <c r="U29" i="8"/>
  <c r="W28" i="8"/>
  <c r="V28" i="8"/>
  <c r="V30" i="14"/>
  <c r="W30" i="14"/>
  <c r="U31" i="14"/>
  <c r="V30" i="13"/>
  <c r="W30" i="13"/>
  <c r="U31" i="13"/>
  <c r="W28" i="7"/>
  <c r="V28" i="7"/>
  <c r="U29" i="7"/>
  <c r="U31" i="12"/>
  <c r="W30" i="12"/>
  <c r="V30" i="12"/>
  <c r="V31" i="11"/>
  <c r="W31" i="11"/>
  <c r="U32" i="11"/>
  <c r="V33" i="28"/>
  <c r="U34" i="28"/>
  <c r="U30" i="1"/>
  <c r="V29" i="1"/>
  <c r="U33" i="27"/>
  <c r="V32" i="27"/>
  <c r="V29" i="8"/>
  <c r="U30" i="8"/>
  <c r="W29" i="8"/>
  <c r="W31" i="14"/>
  <c r="U32" i="14"/>
  <c r="V31" i="14"/>
  <c r="V31" i="13"/>
  <c r="U32" i="13"/>
  <c r="W31" i="13"/>
  <c r="U30" i="7"/>
  <c r="V29" i="7"/>
  <c r="W29" i="7"/>
  <c r="V32" i="11"/>
  <c r="U33" i="11"/>
  <c r="W32" i="11"/>
  <c r="U32" i="12"/>
  <c r="W31" i="12"/>
  <c r="V31" i="12"/>
  <c r="U35" i="28"/>
  <c r="V34" i="28"/>
  <c r="V30" i="1"/>
  <c r="U31" i="1"/>
  <c r="U34" i="27"/>
  <c r="V33" i="27"/>
  <c r="U31" i="8"/>
  <c r="V30" i="8"/>
  <c r="W30" i="8"/>
  <c r="U33" i="14"/>
  <c r="V32" i="14"/>
  <c r="W32" i="14"/>
  <c r="U33" i="13"/>
  <c r="W32" i="13"/>
  <c r="V32" i="13"/>
  <c r="V30" i="7"/>
  <c r="U31" i="7"/>
  <c r="W30" i="7"/>
  <c r="V33" i="11"/>
  <c r="U34" i="11"/>
  <c r="W33" i="11"/>
  <c r="U33" i="12"/>
  <c r="V32" i="12"/>
  <c r="W32" i="12"/>
  <c r="U36" i="28"/>
  <c r="V35" i="28"/>
  <c r="V31" i="1"/>
  <c r="U32" i="1"/>
  <c r="U35" i="27"/>
  <c r="V34" i="27"/>
  <c r="U32" i="8"/>
  <c r="W31" i="8"/>
  <c r="V31" i="8"/>
  <c r="W33" i="14"/>
  <c r="U34" i="14"/>
  <c r="V33" i="14"/>
  <c r="V33" i="13"/>
  <c r="U34" i="13"/>
  <c r="W33" i="13"/>
  <c r="W31" i="7"/>
  <c r="U32" i="7"/>
  <c r="V31" i="7"/>
  <c r="W33" i="12"/>
  <c r="U34" i="12"/>
  <c r="V33" i="12"/>
  <c r="V34" i="11"/>
  <c r="U35" i="11"/>
  <c r="W34" i="11"/>
  <c r="U37" i="28"/>
  <c r="V36" i="28"/>
  <c r="U33" i="1"/>
  <c r="V32" i="1"/>
  <c r="V35" i="27"/>
  <c r="U36" i="27"/>
  <c r="V32" i="8"/>
  <c r="W32" i="8"/>
  <c r="U33" i="8"/>
  <c r="W34" i="14"/>
  <c r="V34" i="14"/>
  <c r="U35" i="14"/>
  <c r="U35" i="13"/>
  <c r="W34" i="13"/>
  <c r="V34" i="13"/>
  <c r="W32" i="7"/>
  <c r="U33" i="7"/>
  <c r="V32" i="7"/>
  <c r="V34" i="12"/>
  <c r="U35" i="12"/>
  <c r="W34" i="12"/>
  <c r="V35" i="11"/>
  <c r="U36" i="11"/>
  <c r="W35" i="11"/>
  <c r="V37" i="28"/>
  <c r="U38" i="28"/>
  <c r="V33" i="1"/>
  <c r="U34" i="1"/>
  <c r="V36" i="27"/>
  <c r="U37" i="27"/>
  <c r="V33" i="8"/>
  <c r="U34" i="8"/>
  <c r="W33" i="8"/>
  <c r="U36" i="14"/>
  <c r="W35" i="14"/>
  <c r="V35" i="14"/>
  <c r="W35" i="13"/>
  <c r="V35" i="13"/>
  <c r="U36" i="13"/>
  <c r="V33" i="7"/>
  <c r="U34" i="7"/>
  <c r="W33" i="7"/>
  <c r="W36" i="11"/>
  <c r="V36" i="11"/>
  <c r="U37" i="11"/>
  <c r="V35" i="12"/>
  <c r="U36" i="12"/>
  <c r="W35" i="12"/>
  <c r="U39" i="28"/>
  <c r="V38" i="28"/>
  <c r="U35" i="1"/>
  <c r="V34" i="1"/>
  <c r="U38" i="27"/>
  <c r="V37" i="27"/>
  <c r="U35" i="8"/>
  <c r="W34" i="8"/>
  <c r="V34" i="8"/>
  <c r="U37" i="14"/>
  <c r="V36" i="14"/>
  <c r="W36" i="14"/>
  <c r="V36" i="13"/>
  <c r="W36" i="13"/>
  <c r="U37" i="13"/>
  <c r="W34" i="7"/>
  <c r="U35" i="7"/>
  <c r="V34" i="7"/>
  <c r="U37" i="12"/>
  <c r="V36" i="12"/>
  <c r="W36" i="12"/>
  <c r="V37" i="11"/>
  <c r="U38" i="11"/>
  <c r="W37" i="11"/>
  <c r="U40" i="28"/>
  <c r="V39" i="28"/>
  <c r="V35" i="1"/>
  <c r="U36" i="1"/>
  <c r="V38" i="27"/>
  <c r="U39" i="27"/>
  <c r="U36" i="8"/>
  <c r="W35" i="8"/>
  <c r="V35" i="8"/>
  <c r="W37" i="14"/>
  <c r="V37" i="14"/>
  <c r="U38" i="14"/>
  <c r="W37" i="13"/>
  <c r="U38" i="13"/>
  <c r="V37" i="13"/>
  <c r="W35" i="7"/>
  <c r="U36" i="7"/>
  <c r="V35" i="7"/>
  <c r="V38" i="11"/>
  <c r="U39" i="11"/>
  <c r="W38" i="11"/>
  <c r="W37" i="12"/>
  <c r="V37" i="12"/>
  <c r="U38" i="12"/>
  <c r="U41" i="28"/>
  <c r="V40" i="28"/>
  <c r="U37" i="1"/>
  <c r="V36" i="1"/>
  <c r="U40" i="27"/>
  <c r="V39" i="27"/>
  <c r="V36" i="8"/>
  <c r="U37" i="8"/>
  <c r="W36" i="8"/>
  <c r="V38" i="14"/>
  <c r="U39" i="14"/>
  <c r="W38" i="14"/>
  <c r="U39" i="13"/>
  <c r="V38" i="13"/>
  <c r="W38" i="13"/>
  <c r="U37" i="7"/>
  <c r="W36" i="7"/>
  <c r="V36" i="7"/>
  <c r="W38" i="12"/>
  <c r="V38" i="12"/>
  <c r="U39" i="12"/>
  <c r="W39" i="11"/>
  <c r="V39" i="11"/>
  <c r="U40" i="11"/>
  <c r="V41" i="28"/>
  <c r="U42" i="28"/>
  <c r="V37" i="1"/>
  <c r="U38" i="1"/>
  <c r="V40" i="27"/>
  <c r="U41" i="27"/>
  <c r="V37" i="8"/>
  <c r="U38" i="8"/>
  <c r="W37" i="8"/>
  <c r="U40" i="14"/>
  <c r="W39" i="14"/>
  <c r="V39" i="14"/>
  <c r="U40" i="13"/>
  <c r="V39" i="13"/>
  <c r="W39" i="13"/>
  <c r="W37" i="7"/>
  <c r="V37" i="7"/>
  <c r="U38" i="7"/>
  <c r="W40" i="11"/>
  <c r="V40" i="11"/>
  <c r="U41" i="11"/>
  <c r="W39" i="12"/>
  <c r="V39" i="12"/>
  <c r="U40" i="12"/>
  <c r="U43" i="28"/>
  <c r="V42" i="28"/>
  <c r="V38" i="1"/>
  <c r="U39" i="1"/>
  <c r="U42" i="27"/>
  <c r="V41" i="27"/>
  <c r="V38" i="8"/>
  <c r="U39" i="8"/>
  <c r="W38" i="8"/>
  <c r="V40" i="14"/>
  <c r="U41" i="14"/>
  <c r="W40" i="14"/>
  <c r="W40" i="13"/>
  <c r="V40" i="13"/>
  <c r="U41" i="13"/>
  <c r="V38" i="7"/>
  <c r="U39" i="7"/>
  <c r="W38" i="7"/>
  <c r="U41" i="12"/>
  <c r="W40" i="12"/>
  <c r="V40" i="12"/>
  <c r="V41" i="11"/>
  <c r="U42" i="11"/>
  <c r="W41" i="11"/>
  <c r="U44" i="28"/>
  <c r="V43" i="28"/>
  <c r="U40" i="1"/>
  <c r="V39" i="1"/>
  <c r="V42" i="27"/>
  <c r="U43" i="27"/>
  <c r="V39" i="8"/>
  <c r="U40" i="8"/>
  <c r="W39" i="8"/>
  <c r="V41" i="14"/>
  <c r="U42" i="14"/>
  <c r="W41" i="14"/>
  <c r="V41" i="13"/>
  <c r="U42" i="13"/>
  <c r="W41" i="13"/>
  <c r="V39" i="7"/>
  <c r="W39" i="7"/>
  <c r="U40" i="7"/>
  <c r="V42" i="11"/>
  <c r="U43" i="11"/>
  <c r="W42" i="11"/>
  <c r="W41" i="12"/>
  <c r="V41" i="12"/>
  <c r="U42" i="12"/>
  <c r="U45" i="28"/>
  <c r="V44" i="28"/>
  <c r="U41" i="1"/>
  <c r="V40" i="1"/>
  <c r="U44" i="27"/>
  <c r="V43" i="27"/>
  <c r="V40" i="8"/>
  <c r="U41" i="8"/>
  <c r="W40" i="8"/>
  <c r="U43" i="14"/>
  <c r="V42" i="14"/>
  <c r="W42" i="14"/>
  <c r="W42" i="13"/>
  <c r="U43" i="13"/>
  <c r="V42" i="13"/>
  <c r="V40" i="7"/>
  <c r="U41" i="7"/>
  <c r="W40" i="7"/>
  <c r="W42" i="12"/>
  <c r="V42" i="12"/>
  <c r="U43" i="12"/>
  <c r="W43" i="11"/>
  <c r="V43" i="11"/>
  <c r="U44" i="11"/>
  <c r="V45" i="28"/>
  <c r="U46" i="28"/>
  <c r="U42" i="1"/>
  <c r="V41" i="1"/>
  <c r="V44" i="27"/>
  <c r="U45" i="27"/>
  <c r="U42" i="8"/>
  <c r="W41" i="8"/>
  <c r="V41" i="8"/>
  <c r="V43" i="14"/>
  <c r="U44" i="14"/>
  <c r="W43" i="14"/>
  <c r="V43" i="13"/>
  <c r="W43" i="13"/>
  <c r="U44" i="13"/>
  <c r="W41" i="7"/>
  <c r="U42" i="7"/>
  <c r="V41" i="7"/>
  <c r="W44" i="11"/>
  <c r="V44" i="11"/>
  <c r="U45" i="11"/>
  <c r="W43" i="12"/>
  <c r="V43" i="12"/>
  <c r="U44" i="12"/>
  <c r="U47" i="28"/>
  <c r="V47" i="28"/>
  <c r="AA17" i="28"/>
  <c r="AA20" i="28"/>
  <c r="V46" i="28"/>
  <c r="V42" i="1"/>
  <c r="U43" i="1"/>
  <c r="U46" i="27"/>
  <c r="V45" i="27"/>
  <c r="U43" i="8"/>
  <c r="V42" i="8"/>
  <c r="W42" i="8"/>
  <c r="W44" i="14"/>
  <c r="V44" i="14"/>
  <c r="U45" i="14"/>
  <c r="W44" i="13"/>
  <c r="V44" i="13"/>
  <c r="U45" i="13"/>
  <c r="V42" i="7"/>
  <c r="U43" i="7"/>
  <c r="W42" i="7"/>
  <c r="V45" i="11"/>
  <c r="U46" i="11"/>
  <c r="W45" i="11"/>
  <c r="U45" i="12"/>
  <c r="W44" i="12"/>
  <c r="V44" i="12"/>
  <c r="AE17" i="28"/>
  <c r="AE20" i="28"/>
  <c r="AA33" i="28"/>
  <c r="AA36" i="28"/>
  <c r="U44" i="1"/>
  <c r="V43" i="1"/>
  <c r="V46" i="27"/>
  <c r="U47" i="27"/>
  <c r="V47" i="27"/>
  <c r="AA17" i="27"/>
  <c r="AA20" i="27"/>
  <c r="V43" i="8"/>
  <c r="U44" i="8"/>
  <c r="W43" i="8"/>
  <c r="V45" i="14"/>
  <c r="U46" i="14"/>
  <c r="W45" i="14"/>
  <c r="V45" i="13"/>
  <c r="U46" i="13"/>
  <c r="W45" i="13"/>
  <c r="W43" i="7"/>
  <c r="U44" i="7"/>
  <c r="V43" i="7"/>
  <c r="W45" i="12"/>
  <c r="V45" i="12"/>
  <c r="U46" i="12"/>
  <c r="V46" i="11"/>
  <c r="U47" i="11"/>
  <c r="W46" i="11"/>
  <c r="V44" i="1"/>
  <c r="U45" i="1"/>
  <c r="AA33" i="27"/>
  <c r="AA36" i="27"/>
  <c r="AE17" i="27"/>
  <c r="AE20" i="27"/>
  <c r="V44" i="8"/>
  <c r="U45" i="8"/>
  <c r="W44" i="8"/>
  <c r="V46" i="14"/>
  <c r="U47" i="14"/>
  <c r="W46" i="14"/>
  <c r="V46" i="13"/>
  <c r="W46" i="13"/>
  <c r="U47" i="13"/>
  <c r="W44" i="7"/>
  <c r="V44" i="7"/>
  <c r="U45" i="7"/>
  <c r="W47" i="11"/>
  <c r="V47" i="11"/>
  <c r="W46" i="12"/>
  <c r="V46" i="12"/>
  <c r="U47" i="12"/>
  <c r="U46" i="1"/>
  <c r="V45" i="1"/>
  <c r="AE17" i="11"/>
  <c r="AE20" i="11"/>
  <c r="AA17" i="11"/>
  <c r="AA20" i="11"/>
  <c r="AE25" i="11"/>
  <c r="AE28" i="11"/>
  <c r="AA25" i="11"/>
  <c r="AA28" i="11"/>
  <c r="U46" i="8"/>
  <c r="W45" i="8"/>
  <c r="V45" i="8"/>
  <c r="V47" i="14"/>
  <c r="W47" i="14"/>
  <c r="W47" i="13"/>
  <c r="V47" i="13"/>
  <c r="AA33" i="13"/>
  <c r="AA36" i="13"/>
  <c r="W45" i="7"/>
  <c r="U46" i="7"/>
  <c r="V45" i="7"/>
  <c r="AA33" i="11"/>
  <c r="AA36" i="11"/>
  <c r="W47" i="12"/>
  <c r="AA33" i="12"/>
  <c r="AA36" i="12"/>
  <c r="V47" i="12"/>
  <c r="V46" i="1"/>
  <c r="U47" i="1"/>
  <c r="V47" i="1"/>
  <c r="AA33" i="1"/>
  <c r="AA36" i="1"/>
  <c r="V46" i="8"/>
  <c r="W46" i="8"/>
  <c r="U47" i="8"/>
  <c r="AA33" i="14"/>
  <c r="AA36" i="14"/>
  <c r="V46" i="7"/>
  <c r="U47" i="7"/>
  <c r="W46" i="7"/>
  <c r="AE17" i="1"/>
  <c r="AE20" i="1"/>
  <c r="W47" i="8"/>
  <c r="AE25" i="8"/>
  <c r="AE28" i="8"/>
  <c r="V47" i="8"/>
  <c r="V47" i="7"/>
  <c r="W47" i="7"/>
  <c r="AE25" i="7"/>
  <c r="AE28" i="7"/>
  <c r="AA33" i="8"/>
  <c r="AA36" i="8"/>
  <c r="AE17" i="8"/>
  <c r="AE20" i="8"/>
  <c r="AA17" i="7"/>
  <c r="AA20" i="7"/>
  <c r="AE17" i="7"/>
  <c r="AE20" i="7"/>
  <c r="AA33" i="7"/>
  <c r="AA36" i="7"/>
  <c r="AA25" i="7"/>
  <c r="AA28" i="7"/>
</calcChain>
</file>

<file path=xl/comments1.xml><?xml version="1.0" encoding="utf-8"?>
<comments xmlns="http://schemas.openxmlformats.org/spreadsheetml/2006/main">
  <authors>
    <author>David Dubins</author>
  </authors>
  <commentList>
    <comment ref="C17" authorId="0">
      <text>
        <r>
          <rPr>
            <b/>
            <sz val="9"/>
            <color indexed="81"/>
            <rFont val="Tahoma"/>
            <family val="2"/>
          </rPr>
          <t>NCt(t, df, delta=0, errBound=1e-8, maxIters=400)</t>
        </r>
      </text>
    </comment>
  </commentList>
</comments>
</file>

<file path=xl/comments2.xml><?xml version="1.0" encoding="utf-8"?>
<comments xmlns="http://schemas.openxmlformats.org/spreadsheetml/2006/main">
  <authors>
    <author>David Dubins</author>
  </authors>
  <commentList>
    <comment ref="C17" authorId="0">
      <text>
        <r>
          <rPr>
            <b/>
            <sz val="9"/>
            <color indexed="81"/>
            <rFont val="Tahoma"/>
            <family val="2"/>
          </rPr>
          <t>NCt(t, df, delta=0, errBound=1e-8, maxIters=400)</t>
        </r>
      </text>
    </comment>
  </commentList>
</comments>
</file>

<file path=xl/comments3.xml><?xml version="1.0" encoding="utf-8"?>
<comments xmlns="http://schemas.openxmlformats.org/spreadsheetml/2006/main">
  <authors>
    <author>David Dubins</author>
  </authors>
  <commentList>
    <comment ref="C4" authorId="0">
      <text>
        <r>
          <rPr>
            <b/>
            <sz val="9"/>
            <color indexed="81"/>
            <rFont val="Tahoma"/>
            <family val="2"/>
          </rPr>
          <t>In equivalence trials the convention is to set alpha to 2.5% (half of what you'd use in a superiority trial, or 95% CIs to be used in the final analysis</t>
        </r>
      </text>
    </comment>
    <comment ref="C16" authorId="0">
      <text>
        <r>
          <rPr>
            <b/>
            <sz val="9"/>
            <color indexed="81"/>
            <rFont val="Tahoma"/>
            <family val="2"/>
          </rPr>
          <t>NCt(t, df, delta=0, errBound=1e-8, maxIters=400)</t>
        </r>
      </text>
    </comment>
    <comment ref="C17" authorId="0">
      <text>
        <r>
          <rPr>
            <b/>
            <sz val="9"/>
            <color indexed="81"/>
            <rFont val="Tahoma"/>
            <family val="2"/>
          </rPr>
          <t>NCt(t, df, delta=0, errBound=1e-8, maxIters=400)</t>
        </r>
      </text>
    </comment>
  </commentList>
</comments>
</file>

<file path=xl/comments4.xml><?xml version="1.0" encoding="utf-8"?>
<comments xmlns="http://schemas.openxmlformats.org/spreadsheetml/2006/main">
  <authors>
    <author>David Dubins</author>
  </authors>
  <commentList>
    <comment ref="C4" authorId="0">
      <text>
        <r>
          <rPr>
            <b/>
            <sz val="9"/>
            <color indexed="81"/>
            <rFont val="Tahoma"/>
            <family val="2"/>
          </rPr>
          <t>In equivalence trials the convention is to set alpha to 2.5% (half of what you'd use in a superiority trial, or 95% CIs to be used in the final analysis</t>
        </r>
      </text>
    </comment>
    <comment ref="C16" authorId="0">
      <text>
        <r>
          <rPr>
            <b/>
            <sz val="9"/>
            <color indexed="81"/>
            <rFont val="Tahoma"/>
            <family val="2"/>
          </rPr>
          <t>NCt(t, df, delta=0, errBound=1e-8, maxIters=400)</t>
        </r>
      </text>
    </comment>
    <comment ref="C17" authorId="0">
      <text>
        <r>
          <rPr>
            <b/>
            <sz val="9"/>
            <color indexed="81"/>
            <rFont val="Tahoma"/>
            <family val="2"/>
          </rPr>
          <t>NCt(t, df, delta=0, errBound=1e-8, maxIters=400)</t>
        </r>
      </text>
    </comment>
  </commentList>
</comments>
</file>

<file path=xl/comments5.xml><?xml version="1.0" encoding="utf-8"?>
<comments xmlns="http://schemas.openxmlformats.org/spreadsheetml/2006/main">
  <authors>
    <author>David Dubins</author>
  </authors>
  <commentList>
    <comment ref="C17" authorId="0">
      <text>
        <r>
          <rPr>
            <b/>
            <sz val="9"/>
            <color indexed="81"/>
            <rFont val="Tahoma"/>
            <family val="2"/>
          </rPr>
          <t>NCt(t, df, delta=0, errBound=1e-8, maxIters=400)</t>
        </r>
      </text>
    </comment>
  </commentList>
</comments>
</file>

<file path=xl/comments6.xml><?xml version="1.0" encoding="utf-8"?>
<comments xmlns="http://schemas.openxmlformats.org/spreadsheetml/2006/main">
  <authors>
    <author>David Dubins</author>
  </authors>
  <commentList>
    <comment ref="C17" authorId="0">
      <text>
        <r>
          <rPr>
            <b/>
            <sz val="9"/>
            <color indexed="81"/>
            <rFont val="Tahoma"/>
            <family val="2"/>
          </rPr>
          <t>NCt(t, df, delta=0, errBound=1e-8, maxIters=400)</t>
        </r>
      </text>
    </comment>
  </commentList>
</comments>
</file>

<file path=xl/comments7.xml><?xml version="1.0" encoding="utf-8"?>
<comments xmlns="http://schemas.openxmlformats.org/spreadsheetml/2006/main">
  <authors>
    <author>David Dubins</author>
  </authors>
  <commentList>
    <comment ref="B5" authorId="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text>
        <r>
          <rPr>
            <b/>
            <sz val="9"/>
            <color indexed="81"/>
            <rFont val="Tahoma"/>
            <family val="2"/>
          </rPr>
          <t>NCt(t, df, delta=0, errBound=1e-8, maxIters=400)</t>
        </r>
      </text>
    </comment>
    <comment ref="C17" authorId="0">
      <text>
        <r>
          <rPr>
            <b/>
            <sz val="9"/>
            <color indexed="81"/>
            <rFont val="Tahoma"/>
            <family val="2"/>
          </rPr>
          <t>NCt(t, df, delta=0, errBound=1e-8, maxIters=400)</t>
        </r>
      </text>
    </comment>
  </commentList>
</comments>
</file>

<file path=xl/comments8.xml><?xml version="1.0" encoding="utf-8"?>
<comments xmlns="http://schemas.openxmlformats.org/spreadsheetml/2006/main">
  <authors>
    <author>David Dubins</author>
  </authors>
  <commentList>
    <comment ref="C16" authorId="0">
      <text>
        <r>
          <rPr>
            <b/>
            <sz val="9"/>
            <color indexed="81"/>
            <rFont val="Tahoma"/>
            <family val="2"/>
          </rPr>
          <t>NCt(t, df, delta=0, errBound=1e-8, maxIters=400)</t>
        </r>
      </text>
    </comment>
    <comment ref="C17" authorId="0">
      <text>
        <r>
          <rPr>
            <b/>
            <sz val="9"/>
            <color indexed="81"/>
            <rFont val="Tahoma"/>
            <family val="2"/>
          </rPr>
          <t>NCt(t, df, delta=0, errBound=1e-8, maxIters=400)</t>
        </r>
      </text>
    </comment>
  </commentList>
</comments>
</file>

<file path=xl/comments9.xml><?xml version="1.0" encoding="utf-8"?>
<comments xmlns="http://schemas.openxmlformats.org/spreadsheetml/2006/main">
  <authors>
    <author>David Dubins</author>
  </authors>
  <commentList>
    <comment ref="C16" authorId="0">
      <text>
        <r>
          <rPr>
            <b/>
            <sz val="9"/>
            <color indexed="81"/>
            <rFont val="Tahoma"/>
            <family val="2"/>
          </rPr>
          <t>NCt(t, df, delta=0, errBound=1e-8, maxIters=400)</t>
        </r>
      </text>
    </comment>
    <comment ref="C17" authorId="0">
      <text>
        <r>
          <rPr>
            <b/>
            <sz val="9"/>
            <color indexed="81"/>
            <rFont val="Tahoma"/>
            <family val="2"/>
          </rPr>
          <t>NCt(t, df, delta=0, errBound=1e-8, maxIters=400)</t>
        </r>
      </text>
    </comment>
  </commentList>
</comments>
</file>

<file path=xl/comments10.xml><?xml version="1.0" encoding="utf-8"?>
<comments xmlns="http://schemas.openxmlformats.org/spreadsheetml/2006/main">
  <authors>
    <author>ddubins</author>
  </authors>
  <commentList>
    <comment ref="B4" authorId="0">
      <text>
        <r>
          <rPr>
            <b/>
            <sz val="8"/>
            <color indexed="81"/>
            <rFont val="Tahoma"/>
            <family val="2"/>
          </rPr>
          <t>Also the "point estimate": a ratio of test to reference of the geometric means</t>
        </r>
      </text>
    </comment>
    <comment ref="B10" authorId="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<sst xmlns="http://schemas.openxmlformats.org/spreadsheetml/2006/main" count="996" uniqueCount="250">
  <si>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</si>
  <si>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</si>
  <si>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</si>
  <si>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</si>
  <si>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</si>
  <si>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</si>
  <si>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</si>
  <si>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</si>
  <si>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</si>
  <si>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</si>
  <si>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</si>
  <si>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</si>
  <si>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</si>
  <si>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</si>
  <si>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</si>
  <si>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</si>
  <si>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</si>
  <si>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</si>
  <si>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</si>
  <si>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</si>
  <si>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</si>
  <si>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</si>
  <si>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rPr>
      <t>*r=n</t>
    </r>
    <r>
      <rPr>
        <vertAlign val="subscript"/>
        <sz val="10"/>
        <rFont val="Arial"/>
        <family val="2"/>
      </rPr>
      <t>B</t>
    </r>
    <r>
      <rPr>
        <sz val="10"/>
        <rFont val="Arial"/>
      </rPr>
      <t>)</t>
    </r>
  </si>
  <si>
    <r>
      <t>This is the 'allocation ratio' of n</t>
    </r>
    <r>
      <rPr>
        <vertAlign val="subscript"/>
        <sz val="10"/>
        <rFont val="Arial"/>
        <family val="2"/>
      </rPr>
      <t>B</t>
    </r>
    <r>
      <rPr>
        <sz val="10"/>
        <rFont val="Arial"/>
      </rPr>
      <t xml:space="preserve"> over n</t>
    </r>
    <r>
      <rPr>
        <vertAlign val="subscript"/>
        <sz val="10"/>
        <rFont val="Arial"/>
        <family val="2"/>
      </rPr>
      <t>A</t>
    </r>
    <r>
      <rPr>
        <sz val="10"/>
        <rFont val="Arial"/>
      </rPr>
      <t xml:space="preserve"> (for equal sample sizes, r=1)</t>
    </r>
  </si>
  <si>
    <r>
      <t>Difference in means (</t>
    </r>
    <r>
      <rPr>
        <sz val="10"/>
        <rFont val="Symbol"/>
        <family val="1"/>
        <charset val="2"/>
      </rPr>
      <t>m</t>
    </r>
    <r>
      <rPr>
        <vertAlign val="subscript"/>
        <sz val="10"/>
        <rFont val="Arial"/>
        <family val="2"/>
      </rPr>
      <t>2</t>
    </r>
    <r>
      <rPr>
        <sz val="10"/>
        <rFont val="Arial"/>
      </rPr>
      <t>-</t>
    </r>
    <r>
      <rPr>
        <sz val="10"/>
        <rFont val="Symbol"/>
        <family val="1"/>
        <charset val="2"/>
      </rPr>
      <t>m</t>
    </r>
    <r>
      <rPr>
        <vertAlign val="subscript"/>
        <sz val="10"/>
        <rFont val="Arial"/>
        <family val="2"/>
      </rPr>
      <t>1</t>
    </r>
    <r>
      <rPr>
        <sz val="10"/>
        <rFont val="Arial"/>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</si>
  <si>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</si>
  <si>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</si>
  <si>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</si>
  <si>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rPr>
      <t>-</t>
    </r>
    <r>
      <rPr>
        <sz val="10"/>
        <rFont val="Symbol"/>
        <family val="1"/>
        <charset val="2"/>
      </rPr>
      <t>m</t>
    </r>
    <r>
      <rPr>
        <vertAlign val="subscript"/>
        <sz val="10"/>
        <rFont val="Arial"/>
        <family val="2"/>
      </rPr>
      <t>1</t>
    </r>
    <r>
      <rPr>
        <sz val="10"/>
        <rFont val="Arial"/>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</si>
  <si>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rPr>
      <t>-</t>
    </r>
    <r>
      <rPr>
        <sz val="10"/>
        <rFont val="Symbol"/>
        <family val="1"/>
        <charset val="2"/>
      </rPr>
      <t>m</t>
    </r>
    <r>
      <rPr>
        <vertAlign val="subscript"/>
        <sz val="10"/>
        <rFont val="Arial"/>
        <family val="2"/>
      </rPr>
      <t>B</t>
    </r>
    <r>
      <rPr>
        <sz val="10"/>
        <rFont val="Arial"/>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</si>
  <si>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</si>
  <si>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</si>
  <si>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</si>
  <si>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</si>
  <si>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rPr>
      <t>/</t>
    </r>
    <r>
      <rPr>
        <sz val="10"/>
        <rFont val="Symbol"/>
        <family val="1"/>
        <charset val="2"/>
      </rPr>
      <t>m</t>
    </r>
    <r>
      <rPr>
        <vertAlign val="subscript"/>
        <sz val="10"/>
        <rFont val="Arial"/>
        <family val="2"/>
      </rPr>
      <t>R</t>
    </r>
    <r>
      <rPr>
        <sz val="10"/>
        <rFont val="Arial"/>
      </rPr>
      <t xml:space="preserve"> Ratio</t>
    </r>
  </si>
  <si>
    <r>
      <t>n</t>
    </r>
    <r>
      <rPr>
        <vertAlign val="subscript"/>
        <sz val="10"/>
        <rFont val="Arial"/>
        <family val="2"/>
      </rPr>
      <t>T</t>
    </r>
  </si>
  <si>
    <r>
      <t>n</t>
    </r>
    <r>
      <rPr>
        <vertAlign val="subscript"/>
        <sz val="10"/>
        <rFont val="Arial"/>
        <family val="2"/>
      </rPr>
      <t>T</t>
    </r>
    <r>
      <rPr>
        <sz val="10"/>
        <rFont val="Arial"/>
      </rPr>
      <t>*(r+1)-2</t>
    </r>
  </si>
  <si>
    <r>
      <t>t(1-alpha,n</t>
    </r>
    <r>
      <rPr>
        <vertAlign val="subscript"/>
        <sz val="10"/>
        <rFont val="Arial"/>
        <family val="2"/>
      </rPr>
      <t>T</t>
    </r>
    <r>
      <rPr>
        <sz val="10"/>
        <rFont val="Arial"/>
      </rPr>
      <t>(r+1)-2)</t>
    </r>
  </si>
  <si>
    <t>w</t>
  </si>
  <si>
    <t>Half-width of the confidence interval desired.</t>
  </si>
  <si>
    <r>
      <t>(r+1)t^2*</t>
    </r>
    <r>
      <rPr>
        <sz val="10"/>
        <rFont val="Symbol"/>
        <family val="1"/>
        <charset val="2"/>
      </rPr>
      <t>s</t>
    </r>
    <r>
      <rPr>
        <sz val="10"/>
        <rFont val="Arial"/>
      </rPr>
      <t>^2/(rw^2)</t>
    </r>
  </si>
  <si>
    <r>
      <t>2t^2*</t>
    </r>
    <r>
      <rPr>
        <sz val="10"/>
        <rFont val="Symbol"/>
        <family val="1"/>
        <charset val="2"/>
      </rPr>
      <t>s</t>
    </r>
    <r>
      <rPr>
        <sz val="10"/>
        <rFont val="Arial"/>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</si>
  <si>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</si>
  <si>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</si>
  <si>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</si>
  <si>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</si>
  <si>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</si>
  <si>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</si>
  <si>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</si>
  <si>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</si>
  <si>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</si>
  <si>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</si>
  <si>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</si>
  <si>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</si>
  <si>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</si>
  <si>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</si>
  <si>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</si>
  <si>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rPr>
      <t>-</t>
    </r>
    <r>
      <rPr>
        <sz val="10"/>
        <rFont val="Symbol"/>
        <family val="1"/>
        <charset val="2"/>
      </rPr>
      <t>m</t>
    </r>
    <r>
      <rPr>
        <vertAlign val="subscript"/>
        <sz val="10"/>
        <rFont val="Arial"/>
        <family val="2"/>
      </rPr>
      <t>1</t>
    </r>
    <r>
      <rPr>
        <sz val="10"/>
        <rFont val="Arial"/>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</si>
  <si>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</si>
  <si>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</si>
  <si>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</si>
  <si>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rPr>
      <t>(r+1)-2</t>
    </r>
  </si>
  <si>
    <r>
      <t>t(1-alpha/2,n</t>
    </r>
    <r>
      <rPr>
        <vertAlign val="subscript"/>
        <sz val="10"/>
        <rFont val="Arial"/>
        <family val="2"/>
      </rPr>
      <t>A</t>
    </r>
    <r>
      <rPr>
        <sz val="10"/>
        <rFont val="Arial"/>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</si>
  <si>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</si>
  <si>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</si>
  <si>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</si>
  <si>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</si>
  <si>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</si>
  <si>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</si>
  <si>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</si>
  <si>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</si>
  <si>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</si>
  <si>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</si>
  <si>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</si>
  <si>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</si>
  <si>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</si>
  <si>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</si>
  <si>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</si>
  <si>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</si>
  <si>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</si>
  <si>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</si>
  <si>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</si>
  <si>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</si>
  <si>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</si>
  <si>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</si>
  <si>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</si>
  <si>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</si>
  <si>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</si>
  <si>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</si>
  <si>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</si>
  <si>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</si>
  <si>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</si>
  <si>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</si>
  <si>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</si>
  <si>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</si>
  <si>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</si>
  <si>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</si>
  <si>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</si>
  <si>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</si>
  <si>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</si>
  <si>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</si>
  <si>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</si>
  <si>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</si>
  <si>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</si>
  <si>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</si>
  <si>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</si>
  <si>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</si>
  <si>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</si>
  <si>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</si>
  <si>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</si>
  <si>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</si>
  <si>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</si>
  <si>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</si>
  <si>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</si>
  <si>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</si>
  <si>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rPr>
      <t xml:space="preserve"> responders, you can reject H0 and conclude there is a more than </t>
    </r>
    <r>
      <rPr>
        <sz val="10"/>
        <rFont val="Symbol"/>
        <family val="1"/>
        <charset val="2"/>
      </rPr>
      <t>d</t>
    </r>
    <r>
      <rPr>
        <sz val="10"/>
        <rFont val="Arial"/>
      </rPr>
      <t xml:space="preserve"> % difference.</t>
    </r>
  </si>
  <si>
    <t>Difference Between Proportions (Binomial Test)</t>
  </si>
  <si>
    <t>Intrasubject standard deviation, taken from the residual line of an ANOVA model</t>
  </si>
  <si>
    <r>
      <t xml:space="preserve">d = </t>
    </r>
    <r>
      <rPr>
        <sz val="10"/>
        <rFont val="Arial"/>
      </rPr>
      <t>d</t>
    </r>
    <r>
      <rPr>
        <sz val="10"/>
        <rFont val="Symbol"/>
        <family val="1"/>
        <charset val="2"/>
      </rPr>
      <t>/s</t>
    </r>
  </si>
  <si>
    <r>
      <t xml:space="preserve">d = </t>
    </r>
    <r>
      <rPr>
        <sz val="10"/>
        <rFont val="Arial"/>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</si>
  <si>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</si>
  <si>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</si>
  <si>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</si>
  <si>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</si>
  <si>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</si>
  <si>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</si>
  <si>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</si>
  <si>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rPr>
      <t xml:space="preserve"> + </t>
    </r>
    <r>
      <rPr>
        <sz val="10"/>
        <rFont val="Symbol"/>
        <family val="1"/>
        <charset val="2"/>
      </rPr>
      <t>m</t>
    </r>
    <r>
      <rPr>
        <vertAlign val="subscript"/>
        <sz val="10"/>
        <rFont val="Arial"/>
        <family val="2"/>
      </rPr>
      <t>B</t>
    </r>
    <r>
      <rPr>
        <sz val="10"/>
        <rFont val="Arial"/>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</si>
  <si>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</si>
  <si>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</si>
  <si>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</si>
  <si>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</si>
  <si>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</si>
  <si>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</si>
  <si>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</si>
  <si>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</si>
  <si>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</si>
  <si>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</si>
  <si>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</si>
  <si>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</si>
  <si>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</si>
  <si>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</si>
  <si>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</si>
  <si>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</si>
  <si>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</si>
  <si>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</si>
  <si>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</si>
  <si>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</si>
  <si>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</si>
  <si>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</si>
  <si>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</si>
  <si>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</si>
  <si>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</si>
  <si>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</si>
  <si>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</si>
  <si>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</si>
  <si>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</si>
  <si>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</si>
  <si>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</si>
  <si>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</si>
  <si>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</si>
  <si>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</si>
  <si>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</si>
  <si>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</si>
  <si>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</si>
  <si>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</si>
  <si>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</si>
  <si>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</si>
  <si>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</si>
  <si>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</si>
  <si>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</si>
  <si>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</si>
  <si>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</si>
  <si>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</si>
  <si>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</si>
  <si>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</si>
  <si>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</si>
  <si>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</si>
  <si>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</si>
  <si>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</si>
  <si>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</si>
  <si>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</si>
  <si>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</si>
  <si>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</si>
  <si>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</si>
  <si>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</si>
  <si>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</si>
  <si>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</si>
  <si>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</si>
  <si>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</si>
  <si>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</si>
  <si>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</si>
  <si>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</si>
  <si>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</si>
  <si>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</si>
  <si>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</si>
  <si>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</si>
  <si>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</si>
  <si>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</si>
  <si>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</si>
  <si>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</si>
  <si>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</si>
  <si>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</si>
  <si>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</si>
  <si>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</si>
  <si>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</si>
  <si>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</si>
  <si>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</si>
  <si>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</si>
  <si>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</si>
  <si>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</si>
  <si>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</si>
  <si>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</si>
  <si>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</si>
  <si>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</si>
  <si>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</si>
  <si>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</si>
  <si>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</si>
  <si>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</si>
  <si>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</si>
  <si>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</si>
  <si>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</si>
  <si>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</si>
  <si>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</si>
  <si>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</si>
  <si>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</si>
  <si>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</si>
  <si>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</si>
  <si>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</si>
  <si>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</si>
  <si>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</si>
  <si>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</si>
  <si>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rPr>
      <t>-</t>
    </r>
    <r>
      <rPr>
        <sz val="10"/>
        <rFont val="Symbol"/>
        <family val="1"/>
        <charset val="2"/>
      </rPr>
      <t>m</t>
    </r>
    <r>
      <rPr>
        <vertAlign val="subscript"/>
        <sz val="10"/>
        <rFont val="Arial"/>
        <family val="2"/>
      </rPr>
      <t>B</t>
    </r>
    <r>
      <rPr>
        <sz val="10"/>
        <rFont val="Arial"/>
      </rPr>
      <t xml:space="preserve"> expected). If Treatment A is better, </t>
    </r>
    <r>
      <rPr>
        <sz val="10"/>
        <rFont val="Symbol"/>
        <family val="1"/>
        <charset val="2"/>
      </rPr>
      <t>D</t>
    </r>
    <r>
      <rPr>
        <sz val="10"/>
        <rFont val="Arial"/>
      </rPr>
      <t>&lt;0.</t>
    </r>
  </si>
  <si>
    <t>© David Dubins, 2007-2021 (d.dubins@utoronto.ca)</t>
  </si>
  <si>
    <t>r (note: nT*r=nR)</t>
  </si>
  <si>
    <t>This is the 'allocation ratio' of nR over nT (for equal sample sizes, r=1)</t>
  </si>
  <si>
    <t>3 period replicate (ABB/BAA)</t>
  </si>
  <si>
    <r>
      <t>Dave's note:</t>
    </r>
    <r>
      <rPr>
        <sz val="10"/>
        <rFont val="Arial"/>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</si>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</sst>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 #,##0.00_-;_-* &quot;-&quot;??_-;_-@_-"/>
    <numFmt numFmtId="164" formatCode="0.0%"/>
    <numFmt numFmtId="165" formatCode="0.0"/>
    <numFmt numFmtId="166" formatCode="0.00000"/>
    <numFmt numFmtId="167" formatCode="0.00000000000000%"/>
  </numFmts>
  <fonts count="46" x14ac:knownFonts="1">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0.0</c:v>
                </c:pt>
                <c:pt idx="1">
                  <c:v>9.93939393939394</c:v>
                </c:pt>
                <c:pt idx="2">
                  <c:v>19.87878787878788</c:v>
                </c:pt>
                <c:pt idx="3">
                  <c:v>29.81818181818182</c:v>
                </c:pt>
                <c:pt idx="4">
                  <c:v>39.75757575757575</c:v>
                </c:pt>
                <c:pt idx="5">
                  <c:v>49.6969696969697</c:v>
                </c:pt>
                <c:pt idx="6">
                  <c:v>59.63636363636363</c:v>
                </c:pt>
                <c:pt idx="7">
                  <c:v>69.57575757575758</c:v>
                </c:pt>
                <c:pt idx="8">
                  <c:v>79.51515151515152</c:v>
                </c:pt>
                <c:pt idx="9">
                  <c:v>89.45454545454545</c:v>
                </c:pt>
                <c:pt idx="10">
                  <c:v>99.39393939393939</c:v>
                </c:pt>
                <c:pt idx="11">
                  <c:v>109.3333333333333</c:v>
                </c:pt>
                <c:pt idx="12">
                  <c:v>119.2727272727273</c:v>
                </c:pt>
                <c:pt idx="13">
                  <c:v>129.2121212121212</c:v>
                </c:pt>
                <c:pt idx="14">
                  <c:v>139.1515151515152</c:v>
                </c:pt>
                <c:pt idx="15">
                  <c:v>149.0909090909091</c:v>
                </c:pt>
                <c:pt idx="16">
                  <c:v>159.030303030303</c:v>
                </c:pt>
                <c:pt idx="17">
                  <c:v>168.969696969697</c:v>
                </c:pt>
                <c:pt idx="18">
                  <c:v>178.909090909091</c:v>
                </c:pt>
                <c:pt idx="19">
                  <c:v>188.8484848484848</c:v>
                </c:pt>
                <c:pt idx="20">
                  <c:v>198.7878787878788</c:v>
                </c:pt>
                <c:pt idx="21">
                  <c:v>208.7272727272727</c:v>
                </c:pt>
                <c:pt idx="22">
                  <c:v>218.6666666666667</c:v>
                </c:pt>
                <c:pt idx="23">
                  <c:v>228.6060606060606</c:v>
                </c:pt>
                <c:pt idx="24">
                  <c:v>238.5454545454545</c:v>
                </c:pt>
                <c:pt idx="25">
                  <c:v>248.4848484848485</c:v>
                </c:pt>
                <c:pt idx="26">
                  <c:v>258.4242424242424</c:v>
                </c:pt>
                <c:pt idx="27">
                  <c:v>268.3636363636364</c:v>
                </c:pt>
                <c:pt idx="28">
                  <c:v>278.3030303030303</c:v>
                </c:pt>
                <c:pt idx="29">
                  <c:v>288.2424242424242</c:v>
                </c:pt>
                <c:pt idx="30">
                  <c:v>298.1818181818182</c:v>
                </c:pt>
                <c:pt idx="31">
                  <c:v>308.1212121212121</c:v>
                </c:pt>
                <c:pt idx="32">
                  <c:v>318.0606060606061</c:v>
                </c:pt>
              </c:numCache>
            </c:numRef>
          </c:xVal>
          <c:yVal>
            <c:numRef>
              <c:f>'Superiority, Parallel'!$V$15:$V$47</c:f>
              <c:numCache>
                <c:formatCode>General</c:formatCode>
                <c:ptCount val="33"/>
                <c:pt idx="0">
                  <c:v>3.34575564412213E-6</c:v>
                </c:pt>
                <c:pt idx="1">
                  <c:v>8.7649394011784E-6</c:v>
                </c:pt>
                <c:pt idx="2">
                  <c:v>2.15867978822675E-5</c:v>
                </c:pt>
                <c:pt idx="3">
                  <c:v>4.99818286710861E-5</c:v>
                </c:pt>
                <c:pt idx="4">
                  <c:v>0.000108797938539047</c:v>
                </c:pt>
                <c:pt idx="5">
                  <c:v>0.000222645437835401</c:v>
                </c:pt>
                <c:pt idx="6">
                  <c:v>0.000428342871113496</c:v>
                </c:pt>
                <c:pt idx="7">
                  <c:v>0.000774736281896983</c:v>
                </c:pt>
                <c:pt idx="8">
                  <c:v>0.00131734902854711</c:v>
                </c:pt>
                <c:pt idx="9">
                  <c:v>0.00210587420475657</c:v>
                </c:pt>
                <c:pt idx="10">
                  <c:v>0.00316481700225104</c:v>
                </c:pt>
                <c:pt idx="11">
                  <c:v>0.00447146041236351</c:v>
                </c:pt>
                <c:pt idx="12">
                  <c:v>0.00593929348407526</c:v>
                </c:pt>
                <c:pt idx="13">
                  <c:v>0.00741659887225773</c:v>
                </c:pt>
                <c:pt idx="14">
                  <c:v>0.00870681675586756</c:v>
                </c:pt>
                <c:pt idx="15">
                  <c:v>0.00960945211143147</c:v>
                </c:pt>
                <c:pt idx="16">
                  <c:v>0.00997062673512648</c:v>
                </c:pt>
                <c:pt idx="17">
                  <c:v>0.00972592459720991</c:v>
                </c:pt>
                <c:pt idx="18">
                  <c:v>0.00891915984587179</c:v>
                </c:pt>
                <c:pt idx="19">
                  <c:v>0.00768956203816771</c:v>
                </c:pt>
                <c:pt idx="20">
                  <c:v>0.00623252274074005</c:v>
                </c:pt>
                <c:pt idx="21">
                  <c:v>0.00474909379853056</c:v>
                </c:pt>
                <c:pt idx="22">
                  <c:v>0.00340206206030695</c:v>
                </c:pt>
                <c:pt idx="23">
                  <c:v>0.00229117533288128</c:v>
                </c:pt>
                <c:pt idx="24">
                  <c:v>0.00145063792413909</c:v>
                </c:pt>
                <c:pt idx="25">
                  <c:v>0.000863464203918264</c:v>
                </c:pt>
                <c:pt idx="26">
                  <c:v>0.000483185905879771</c:v>
                </c:pt>
                <c:pt idx="27">
                  <c:v>0.000254196043415623</c:v>
                </c:pt>
                <c:pt idx="28">
                  <c:v>0.00012572102811928</c:v>
                </c:pt>
                <c:pt idx="29">
                  <c:v>5.84563467205105E-5</c:v>
                </c:pt>
                <c:pt idx="30">
                  <c:v>2.55528900022042E-5</c:v>
                </c:pt>
                <c:pt idx="31">
                  <c:v>1.05010563626039E-5</c:v>
                </c:pt>
                <c:pt idx="32">
                  <c:v>4.05705188974502E-6</c:v>
                </c:pt>
              </c:numCache>
            </c:numRef>
          </c:yVal>
          <c:smooth val="0"/>
          <c:extLst xmlns:c16r2="http://schemas.microsoft.com/office/drawing/2015/06/char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0.0</c:v>
                </c:pt>
                <c:pt idx="1">
                  <c:v>9.93939393939394</c:v>
                </c:pt>
                <c:pt idx="2">
                  <c:v>19.87878787878788</c:v>
                </c:pt>
                <c:pt idx="3">
                  <c:v>29.81818181818182</c:v>
                </c:pt>
                <c:pt idx="4">
                  <c:v>39.75757575757575</c:v>
                </c:pt>
                <c:pt idx="5">
                  <c:v>49.6969696969697</c:v>
                </c:pt>
                <c:pt idx="6">
                  <c:v>59.63636363636363</c:v>
                </c:pt>
                <c:pt idx="7">
                  <c:v>69.57575757575758</c:v>
                </c:pt>
                <c:pt idx="8">
                  <c:v>79.51515151515152</c:v>
                </c:pt>
                <c:pt idx="9">
                  <c:v>89.45454545454545</c:v>
                </c:pt>
                <c:pt idx="10">
                  <c:v>99.39393939393939</c:v>
                </c:pt>
                <c:pt idx="11">
                  <c:v>109.3333333333333</c:v>
                </c:pt>
                <c:pt idx="12">
                  <c:v>119.2727272727273</c:v>
                </c:pt>
                <c:pt idx="13">
                  <c:v>129.2121212121212</c:v>
                </c:pt>
                <c:pt idx="14">
                  <c:v>139.1515151515152</c:v>
                </c:pt>
                <c:pt idx="15">
                  <c:v>149.0909090909091</c:v>
                </c:pt>
                <c:pt idx="16">
                  <c:v>159.030303030303</c:v>
                </c:pt>
                <c:pt idx="17">
                  <c:v>168.969696969697</c:v>
                </c:pt>
                <c:pt idx="18">
                  <c:v>178.909090909091</c:v>
                </c:pt>
                <c:pt idx="19">
                  <c:v>188.8484848484848</c:v>
                </c:pt>
                <c:pt idx="20">
                  <c:v>198.7878787878788</c:v>
                </c:pt>
                <c:pt idx="21">
                  <c:v>208.7272727272727</c:v>
                </c:pt>
                <c:pt idx="22">
                  <c:v>218.6666666666667</c:v>
                </c:pt>
                <c:pt idx="23">
                  <c:v>228.6060606060606</c:v>
                </c:pt>
                <c:pt idx="24">
                  <c:v>238.5454545454545</c:v>
                </c:pt>
                <c:pt idx="25">
                  <c:v>248.4848484848485</c:v>
                </c:pt>
                <c:pt idx="26">
                  <c:v>258.4242424242424</c:v>
                </c:pt>
                <c:pt idx="27">
                  <c:v>268.3636363636364</c:v>
                </c:pt>
                <c:pt idx="28">
                  <c:v>278.3030303030303</c:v>
                </c:pt>
                <c:pt idx="29">
                  <c:v>288.2424242424242</c:v>
                </c:pt>
                <c:pt idx="30">
                  <c:v>298.1818181818182</c:v>
                </c:pt>
                <c:pt idx="31">
                  <c:v>308.1212121212121</c:v>
                </c:pt>
                <c:pt idx="32">
                  <c:v>318.0606060606061</c:v>
                </c:pt>
              </c:numCache>
            </c:numRef>
          </c:xVal>
          <c:yVal>
            <c:numRef>
              <c:f>'Superiority, Parallel'!$W$15:$W$47</c:f>
              <c:numCache>
                <c:formatCode>General</c:formatCode>
                <c:ptCount val="33"/>
                <c:pt idx="0">
                  <c:v>1.4735766939135E-6</c:v>
                </c:pt>
                <c:pt idx="1">
                  <c:v>4.05705188974502E-6</c:v>
                </c:pt>
                <c:pt idx="2">
                  <c:v>1.05010563626039E-5</c:v>
                </c:pt>
                <c:pt idx="3">
                  <c:v>2.55528900022042E-5</c:v>
                </c:pt>
                <c:pt idx="4">
                  <c:v>5.84563467205105E-5</c:v>
                </c:pt>
                <c:pt idx="5">
                  <c:v>0.00012572102811928</c:v>
                </c:pt>
                <c:pt idx="6">
                  <c:v>0.000254196043415623</c:v>
                </c:pt>
                <c:pt idx="7">
                  <c:v>0.000483185905879771</c:v>
                </c:pt>
                <c:pt idx="8">
                  <c:v>0.000863464203918264</c:v>
                </c:pt>
                <c:pt idx="9">
                  <c:v>0.00145063792413909</c:v>
                </c:pt>
                <c:pt idx="10">
                  <c:v>0.00229117533288128</c:v>
                </c:pt>
                <c:pt idx="11">
                  <c:v>0.00340206206030695</c:v>
                </c:pt>
                <c:pt idx="12">
                  <c:v>0.00474909379853056</c:v>
                </c:pt>
                <c:pt idx="13">
                  <c:v>0.00623252274074005</c:v>
                </c:pt>
                <c:pt idx="14">
                  <c:v>0.00768956203816771</c:v>
                </c:pt>
                <c:pt idx="15">
                  <c:v>0.00891915984587179</c:v>
                </c:pt>
                <c:pt idx="16">
                  <c:v>0.00972592459720991</c:v>
                </c:pt>
                <c:pt idx="17">
                  <c:v>0.00997062673512648</c:v>
                </c:pt>
                <c:pt idx="18">
                  <c:v>0.00960945211143147</c:v>
                </c:pt>
                <c:pt idx="19">
                  <c:v>0.00870681675586756</c:v>
                </c:pt>
                <c:pt idx="20">
                  <c:v>0.00741659887225773</c:v>
                </c:pt>
                <c:pt idx="21">
                  <c:v>0.00593929348407526</c:v>
                </c:pt>
                <c:pt idx="22">
                  <c:v>0.00447146041236351</c:v>
                </c:pt>
                <c:pt idx="23">
                  <c:v>0.00316481700225104</c:v>
                </c:pt>
                <c:pt idx="24">
                  <c:v>0.00210587420475657</c:v>
                </c:pt>
                <c:pt idx="25">
                  <c:v>0.00131734902854711</c:v>
                </c:pt>
                <c:pt idx="26">
                  <c:v>0.000774736281896983</c:v>
                </c:pt>
                <c:pt idx="27">
                  <c:v>0.000428342871113496</c:v>
                </c:pt>
                <c:pt idx="28">
                  <c:v>0.000222645437835401</c:v>
                </c:pt>
                <c:pt idx="29">
                  <c:v>0.000108797938539047</c:v>
                </c:pt>
                <c:pt idx="30">
                  <c:v>4.99818286710861E-5</c:v>
                </c:pt>
                <c:pt idx="31">
                  <c:v>2.15867978822675E-5</c:v>
                </c:pt>
                <c:pt idx="32">
                  <c:v>8.7649394011784E-6</c:v>
                </c:pt>
              </c:numCache>
            </c:numRef>
          </c:yVal>
          <c:smooth val="0"/>
          <c:extLst xmlns:c16r2="http://schemas.microsoft.com/office/drawing/2015/06/char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120.0</c:v>
                </c:pt>
                <c:pt idx="1">
                  <c:v>120.0</c:v>
                </c:pt>
              </c:numCache>
            </c:numRef>
          </c:xVal>
          <c:yVal>
            <c:numRef>
              <c:f>'Superiority, Parallel'!$AA$16:$AA$17</c:f>
              <c:numCache>
                <c:formatCode>General</c:formatCode>
                <c:ptCount val="2"/>
                <c:pt idx="0">
                  <c:v>0.0</c:v>
                </c:pt>
                <c:pt idx="1">
                  <c:v>0.00997062673512648</c:v>
                </c:pt>
              </c:numCache>
            </c:numRef>
          </c:yVal>
          <c:smooth val="0"/>
          <c:extLst xmlns:c16r2="http://schemas.microsoft.com/office/drawing/2015/06/char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200.0</c:v>
                </c:pt>
                <c:pt idx="1">
                  <c:v>200.0</c:v>
                </c:pt>
              </c:numCache>
            </c:numRef>
          </c:xVal>
          <c:yVal>
            <c:numRef>
              <c:f>'Superiority, Parallel'!$AA$19:$AA$20</c:f>
              <c:numCache>
                <c:formatCode>General</c:formatCode>
                <c:ptCount val="2"/>
                <c:pt idx="0">
                  <c:v>0.0</c:v>
                </c:pt>
                <c:pt idx="1">
                  <c:v>0.00997062673512648</c:v>
                </c:pt>
              </c:numCache>
            </c:numRef>
          </c:yVal>
          <c:smooth val="0"/>
          <c:extLst xmlns:c16r2="http://schemas.microsoft.com/office/drawing/2015/06/char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xmlns:c16r2="http://schemas.microsoft.com/office/drawing/2015/06/chart">
              <c:ext xmlns:c16="http://schemas.microsoft.com/office/drawing/2014/chart" uri="{C3380CC4-5D6E-409C-BE32-E72D297353CC}">
                <c16:uniqueId val="{00000005-2448-4DD7-BFD6-BC5B3E950BAD}"/>
              </c:ext>
            </c:extLst>
          </c:dPt>
          <c:xVal>
            <c:numRef>
              <c:f>'Superiority, Parallel'!$Z$24:$Z$25</c:f>
              <c:numCache>
                <c:formatCode>General</c:formatCode>
                <c:ptCount val="2"/>
                <c:pt idx="0">
                  <c:v>128.0</c:v>
                </c:pt>
                <c:pt idx="1">
                  <c:v>128.0</c:v>
                </c:pt>
              </c:numCache>
            </c:numRef>
          </c:xVal>
          <c:yVal>
            <c:numRef>
              <c:f>'Superiority, Parallel'!$AA$24:$AA$25</c:f>
              <c:numCache>
                <c:formatCode>General</c:formatCode>
                <c:ptCount val="2"/>
                <c:pt idx="0">
                  <c:v>0.0</c:v>
                </c:pt>
                <c:pt idx="1">
                  <c:v>0.00997062673512648</c:v>
                </c:pt>
              </c:numCache>
            </c:numRef>
          </c:yVal>
          <c:smooth val="0"/>
          <c:extLst xmlns:c16r2="http://schemas.microsoft.com/office/drawing/2015/06/char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208.0</c:v>
                </c:pt>
                <c:pt idx="1">
                  <c:v>208.0</c:v>
                </c:pt>
              </c:numCache>
            </c:numRef>
          </c:xVal>
          <c:yVal>
            <c:numRef>
              <c:f>'Superiority, Parallel'!$AA$27:$AA$28</c:f>
              <c:numCache>
                <c:formatCode>General</c:formatCode>
                <c:ptCount val="2"/>
                <c:pt idx="0">
                  <c:v>0.0</c:v>
                </c:pt>
                <c:pt idx="1">
                  <c:v>0.00997062673512648</c:v>
                </c:pt>
              </c:numCache>
            </c:numRef>
          </c:yVal>
          <c:smooth val="0"/>
          <c:extLst xmlns:c16r2="http://schemas.microsoft.com/office/drawing/2015/06/char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157.128905432086</c:v>
                </c:pt>
                <c:pt idx="1">
                  <c:v>157.128905432086</c:v>
                </c:pt>
              </c:numCache>
            </c:numRef>
          </c:xVal>
          <c:yVal>
            <c:numRef>
              <c:f>'Superiority, Parallel'!$AE$16:$AE$17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8-2448-4DD7-BFD6-BC5B3E950BAD}"/>
            </c:ext>
          </c:extLst>
        </c:ser>
        <c:ser>
          <c:idx val="7"/>
          <c:order val="7"/>
          <c:tx>
            <c:strRef>
              <c:f>'Superiority, Parallel'!$AD$19:$AD$20</c:f>
              <c:strCache>
                <c:ptCount val="1"/>
                <c:pt idx="0">
                  <c:v>162.8710946 162.8710946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165.128905432086</c:v>
                </c:pt>
                <c:pt idx="1">
                  <c:v>165.128905432086</c:v>
                </c:pt>
              </c:numCache>
            </c:numRef>
          </c:xVal>
          <c:yVal>
            <c:numRef>
              <c:f>'Superiority, Parallel'!$AE$24:$AE$25</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160.0</c:v>
                </c:pt>
                <c:pt idx="1">
                  <c:v>160.0</c:v>
                </c:pt>
              </c:numCache>
            </c:numRef>
          </c:xVal>
          <c:yVal>
            <c:numRef>
              <c:f>'Superiority, Parallel'!$AA$32:$AA$33</c:f>
              <c:numCache>
                <c:formatCode>General</c:formatCode>
                <c:ptCount val="2"/>
                <c:pt idx="0">
                  <c:v>0.0</c:v>
                </c:pt>
                <c:pt idx="1">
                  <c:v>0.00997062673512648</c:v>
                </c:pt>
              </c:numCache>
            </c:numRef>
          </c:yVal>
          <c:smooth val="0"/>
          <c:extLst xmlns:c16r2="http://schemas.microsoft.com/office/drawing/2015/06/char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168.0</c:v>
                </c:pt>
                <c:pt idx="1">
                  <c:v>168.0</c:v>
                </c:pt>
              </c:numCache>
            </c:numRef>
          </c:xVal>
          <c:yVal>
            <c:numRef>
              <c:f>'Superiority, Parallel'!$AA$35:$AA$36</c:f>
              <c:numCache>
                <c:formatCode>General</c:formatCode>
                <c:ptCount val="2"/>
                <c:pt idx="0">
                  <c:v>0.0</c:v>
                </c:pt>
                <c:pt idx="1">
                  <c:v>0.00997062673512648</c:v>
                </c:pt>
              </c:numCache>
            </c:numRef>
          </c:yVal>
          <c:smooth val="0"/>
          <c:extLst xmlns:c16r2="http://schemas.microsoft.com/office/drawing/2015/06/char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0.0</c:v>
                </c:pt>
                <c:pt idx="1">
                  <c:v>5.151515151515151</c:v>
                </c:pt>
                <c:pt idx="2">
                  <c:v>10.3030303030303</c:v>
                </c:pt>
                <c:pt idx="3">
                  <c:v>15.45454545454545</c:v>
                </c:pt>
                <c:pt idx="4">
                  <c:v>20.60606060606061</c:v>
                </c:pt>
                <c:pt idx="5">
                  <c:v>25.75757575757576</c:v>
                </c:pt>
                <c:pt idx="6">
                  <c:v>30.90909090909091</c:v>
                </c:pt>
                <c:pt idx="7">
                  <c:v>36.06060606060606</c:v>
                </c:pt>
                <c:pt idx="8">
                  <c:v>41.2121212121212</c:v>
                </c:pt>
                <c:pt idx="9">
                  <c:v>46.36363636363636</c:v>
                </c:pt>
                <c:pt idx="10">
                  <c:v>51.51515151515151</c:v>
                </c:pt>
                <c:pt idx="11">
                  <c:v>56.66666666666666</c:v>
                </c:pt>
                <c:pt idx="12">
                  <c:v>61.8181818181818</c:v>
                </c:pt>
                <c:pt idx="13">
                  <c:v>66.96969696969695</c:v>
                </c:pt>
                <c:pt idx="14">
                  <c:v>72.1212121212121</c:v>
                </c:pt>
                <c:pt idx="15">
                  <c:v>77.27272727272727</c:v>
                </c:pt>
                <c:pt idx="16">
                  <c:v>82.4242424242424</c:v>
                </c:pt>
                <c:pt idx="17">
                  <c:v>87.57575757575758</c:v>
                </c:pt>
                <c:pt idx="18">
                  <c:v>92.72727272727273</c:v>
                </c:pt>
                <c:pt idx="19">
                  <c:v>97.87878787878789</c:v>
                </c:pt>
                <c:pt idx="20">
                  <c:v>103.030303030303</c:v>
                </c:pt>
                <c:pt idx="21">
                  <c:v>108.1818181818182</c:v>
                </c:pt>
                <c:pt idx="22">
                  <c:v>113.3333333333334</c:v>
                </c:pt>
                <c:pt idx="23">
                  <c:v>118.4848484848485</c:v>
                </c:pt>
                <c:pt idx="24">
                  <c:v>123.6363636363637</c:v>
                </c:pt>
                <c:pt idx="25">
                  <c:v>128.7878787878788</c:v>
                </c:pt>
                <c:pt idx="26">
                  <c:v>133.939393939394</c:v>
                </c:pt>
                <c:pt idx="27">
                  <c:v>139.0909090909091</c:v>
                </c:pt>
                <c:pt idx="28">
                  <c:v>144.2424242424243</c:v>
                </c:pt>
                <c:pt idx="29">
                  <c:v>149.3939393939394</c:v>
                </c:pt>
                <c:pt idx="30">
                  <c:v>154.5454545454546</c:v>
                </c:pt>
                <c:pt idx="31">
                  <c:v>159.6969696969697</c:v>
                </c:pt>
                <c:pt idx="32">
                  <c:v>164.848484848485</c:v>
                </c:pt>
              </c:numCache>
            </c:numRef>
          </c:xVal>
          <c:yVal>
            <c:numRef>
              <c:f>'Superiority, Crossover'!$V$15:$V$47</c:f>
              <c:numCache>
                <c:formatCode>General</c:formatCode>
                <c:ptCount val="33"/>
                <c:pt idx="0">
                  <c:v>6.69151128824427E-6</c:v>
                </c:pt>
                <c:pt idx="1">
                  <c:v>1.81372919251268E-5</c:v>
                </c:pt>
                <c:pt idx="2">
                  <c:v>4.60052384811482E-5</c:v>
                </c:pt>
                <c:pt idx="3">
                  <c:v>0.000109201535340476</c:v>
                </c:pt>
                <c:pt idx="4">
                  <c:v>0.00024256984882431</c:v>
                </c:pt>
                <c:pt idx="5">
                  <c:v>0.000504233279222368</c:v>
                </c:pt>
                <c:pt idx="6">
                  <c:v>0.00098087306428737</c:v>
                </c:pt>
                <c:pt idx="7">
                  <c:v>0.0017855858122449</c:v>
                </c:pt>
                <c:pt idx="8">
                  <c:v>0.00304183224534479</c:v>
                </c:pt>
                <c:pt idx="9">
                  <c:v>0.00484927046416963</c:v>
                </c:pt>
                <c:pt idx="10">
                  <c:v>0.00723442752168762</c:v>
                </c:pt>
                <c:pt idx="11">
                  <c:v>0.0100999342777029</c:v>
                </c:pt>
                <c:pt idx="12">
                  <c:v>0.0131953082621865</c:v>
                </c:pt>
                <c:pt idx="13">
                  <c:v>0.0161327033525526</c:v>
                </c:pt>
                <c:pt idx="14">
                  <c:v>0.0184578609809849</c:v>
                </c:pt>
                <c:pt idx="15">
                  <c:v>0.0197625148026462</c:v>
                </c:pt>
                <c:pt idx="16">
                  <c:v>0.0198011156695316</c:v>
                </c:pt>
                <c:pt idx="17">
                  <c:v>0.0185662300840604</c:v>
                </c:pt>
                <c:pt idx="18">
                  <c:v>0.0162908749718845</c:v>
                </c:pt>
                <c:pt idx="19">
                  <c:v>0.0133767838012238</c:v>
                </c:pt>
                <c:pt idx="20">
                  <c:v>0.0102788758418211</c:v>
                </c:pt>
                <c:pt idx="21">
                  <c:v>0.00739139050182282</c:v>
                </c:pt>
                <c:pt idx="22">
                  <c:v>0.00497385693963742</c:v>
                </c:pt>
                <c:pt idx="23">
                  <c:v>0.00313218241445684</c:v>
                </c:pt>
                <c:pt idx="24">
                  <c:v>0.00184581180414642</c:v>
                </c:pt>
                <c:pt idx="25">
                  <c:v>0.00101792177817433</c:v>
                </c:pt>
                <c:pt idx="26">
                  <c:v>0.000525324926107509</c:v>
                </c:pt>
                <c:pt idx="27">
                  <c:v>0.000253704531912186</c:v>
                </c:pt>
                <c:pt idx="28">
                  <c:v>0.000114660823610995</c:v>
                </c:pt>
                <c:pt idx="29">
                  <c:v>4.84940553555972E-5</c:v>
                </c:pt>
                <c:pt idx="30">
                  <c:v>1.91932520104722E-5</c:v>
                </c:pt>
                <c:pt idx="31">
                  <c:v>7.10878275696157E-6</c:v>
                </c:pt>
                <c:pt idx="32">
                  <c:v>2.46393095766652E-6</c:v>
                </c:pt>
              </c:numCache>
            </c:numRef>
          </c:yVal>
          <c:smooth val="0"/>
          <c:extLst xmlns:c16r2="http://schemas.microsoft.com/office/drawing/2015/06/char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0.0</c:v>
                </c:pt>
                <c:pt idx="1">
                  <c:v>5.151515151515151</c:v>
                </c:pt>
                <c:pt idx="2">
                  <c:v>10.3030303030303</c:v>
                </c:pt>
                <c:pt idx="3">
                  <c:v>15.45454545454545</c:v>
                </c:pt>
                <c:pt idx="4">
                  <c:v>20.60606060606061</c:v>
                </c:pt>
                <c:pt idx="5">
                  <c:v>25.75757575757576</c:v>
                </c:pt>
                <c:pt idx="6">
                  <c:v>30.90909090909091</c:v>
                </c:pt>
                <c:pt idx="7">
                  <c:v>36.06060606060606</c:v>
                </c:pt>
                <c:pt idx="8">
                  <c:v>41.2121212121212</c:v>
                </c:pt>
                <c:pt idx="9">
                  <c:v>46.36363636363636</c:v>
                </c:pt>
                <c:pt idx="10">
                  <c:v>51.51515151515151</c:v>
                </c:pt>
                <c:pt idx="11">
                  <c:v>56.66666666666666</c:v>
                </c:pt>
                <c:pt idx="12">
                  <c:v>61.8181818181818</c:v>
                </c:pt>
                <c:pt idx="13">
                  <c:v>66.96969696969695</c:v>
                </c:pt>
                <c:pt idx="14">
                  <c:v>72.1212121212121</c:v>
                </c:pt>
                <c:pt idx="15">
                  <c:v>77.27272727272727</c:v>
                </c:pt>
                <c:pt idx="16">
                  <c:v>82.4242424242424</c:v>
                </c:pt>
                <c:pt idx="17">
                  <c:v>87.57575757575758</c:v>
                </c:pt>
                <c:pt idx="18">
                  <c:v>92.72727272727273</c:v>
                </c:pt>
                <c:pt idx="19">
                  <c:v>97.87878787878789</c:v>
                </c:pt>
                <c:pt idx="20">
                  <c:v>103.030303030303</c:v>
                </c:pt>
                <c:pt idx="21">
                  <c:v>108.1818181818182</c:v>
                </c:pt>
                <c:pt idx="22">
                  <c:v>113.3333333333334</c:v>
                </c:pt>
                <c:pt idx="23">
                  <c:v>118.4848484848485</c:v>
                </c:pt>
                <c:pt idx="24">
                  <c:v>123.6363636363637</c:v>
                </c:pt>
                <c:pt idx="25">
                  <c:v>128.7878787878788</c:v>
                </c:pt>
                <c:pt idx="26">
                  <c:v>133.939393939394</c:v>
                </c:pt>
                <c:pt idx="27">
                  <c:v>139.0909090909091</c:v>
                </c:pt>
                <c:pt idx="28">
                  <c:v>144.2424242424243</c:v>
                </c:pt>
                <c:pt idx="29">
                  <c:v>149.3939393939394</c:v>
                </c:pt>
                <c:pt idx="30">
                  <c:v>154.5454545454546</c:v>
                </c:pt>
                <c:pt idx="31">
                  <c:v>159.6969696969697</c:v>
                </c:pt>
                <c:pt idx="32">
                  <c:v>164.848484848485</c:v>
                </c:pt>
              </c:numCache>
            </c:numRef>
          </c:xVal>
          <c:yVal>
            <c:numRef>
              <c:f>'Superiority, Crossover'!$W$15:$W$47</c:f>
              <c:numCache>
                <c:formatCode>General</c:formatCode>
                <c:ptCount val="33"/>
                <c:pt idx="0">
                  <c:v>7.99187055345274E-7</c:v>
                </c:pt>
                <c:pt idx="1">
                  <c:v>2.46393095766655E-6</c:v>
                </c:pt>
                <c:pt idx="2">
                  <c:v>7.10878275696162E-6</c:v>
                </c:pt>
                <c:pt idx="3">
                  <c:v>1.91932520104723E-5</c:v>
                </c:pt>
                <c:pt idx="4">
                  <c:v>4.84940553555975E-5</c:v>
                </c:pt>
                <c:pt idx="5">
                  <c:v>0.000114660823610995</c:v>
                </c:pt>
                <c:pt idx="6">
                  <c:v>0.000253704531912187</c:v>
                </c:pt>
                <c:pt idx="7">
                  <c:v>0.000525324926107511</c:v>
                </c:pt>
                <c:pt idx="8">
                  <c:v>0.00101792177817433</c:v>
                </c:pt>
                <c:pt idx="9">
                  <c:v>0.00184581180414643</c:v>
                </c:pt>
                <c:pt idx="10">
                  <c:v>0.00313218241445685</c:v>
                </c:pt>
                <c:pt idx="11">
                  <c:v>0.00497385693963743</c:v>
                </c:pt>
                <c:pt idx="12">
                  <c:v>0.00739139050182282</c:v>
                </c:pt>
                <c:pt idx="13">
                  <c:v>0.0102788758418211</c:v>
                </c:pt>
                <c:pt idx="14">
                  <c:v>0.0133767838012238</c:v>
                </c:pt>
                <c:pt idx="15">
                  <c:v>0.0162908749718845</c:v>
                </c:pt>
                <c:pt idx="16">
                  <c:v>0.0185662300840604</c:v>
                </c:pt>
                <c:pt idx="17">
                  <c:v>0.0198011156695316</c:v>
                </c:pt>
                <c:pt idx="18">
                  <c:v>0.0197625148026462</c:v>
                </c:pt>
                <c:pt idx="19">
                  <c:v>0.0184578609809849</c:v>
                </c:pt>
                <c:pt idx="20">
                  <c:v>0.0161327033525526</c:v>
                </c:pt>
                <c:pt idx="21">
                  <c:v>0.0131953082621865</c:v>
                </c:pt>
                <c:pt idx="22">
                  <c:v>0.0100999342777029</c:v>
                </c:pt>
                <c:pt idx="23">
                  <c:v>0.00723442752168761</c:v>
                </c:pt>
                <c:pt idx="24">
                  <c:v>0.00484927046416961</c:v>
                </c:pt>
                <c:pt idx="25">
                  <c:v>0.00304183224534479</c:v>
                </c:pt>
                <c:pt idx="26">
                  <c:v>0.0017855858122449</c:v>
                </c:pt>
                <c:pt idx="27">
                  <c:v>0.000980873064287367</c:v>
                </c:pt>
                <c:pt idx="28">
                  <c:v>0.000504233279222366</c:v>
                </c:pt>
                <c:pt idx="29">
                  <c:v>0.000242569848824309</c:v>
                </c:pt>
                <c:pt idx="30">
                  <c:v>0.000109201535340476</c:v>
                </c:pt>
                <c:pt idx="31">
                  <c:v>4.60052384811479E-5</c:v>
                </c:pt>
                <c:pt idx="32">
                  <c:v>1.81372919251266E-5</c:v>
                </c:pt>
              </c:numCache>
            </c:numRef>
          </c:yVal>
          <c:smooth val="0"/>
          <c:extLst xmlns:c16r2="http://schemas.microsoft.com/office/drawing/2015/06/char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60.0</c:v>
                </c:pt>
                <c:pt idx="1">
                  <c:v>60.0</c:v>
                </c:pt>
              </c:numCache>
            </c:numRef>
          </c:xVal>
          <c:yVal>
            <c:numRef>
              <c:f>'Superiority, Crossover'!$AA$16:$AA$17</c:f>
              <c:numCache>
                <c:formatCode>General</c:formatCode>
                <c:ptCount val="2"/>
                <c:pt idx="0">
                  <c:v>0.0</c:v>
                </c:pt>
                <c:pt idx="1">
                  <c:v>0.0198011156695316</c:v>
                </c:pt>
              </c:numCache>
            </c:numRef>
          </c:yVal>
          <c:smooth val="0"/>
          <c:extLst xmlns:c16r2="http://schemas.microsoft.com/office/drawing/2015/06/char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100.0</c:v>
                </c:pt>
                <c:pt idx="1">
                  <c:v>100.0</c:v>
                </c:pt>
              </c:numCache>
            </c:numRef>
          </c:xVal>
          <c:yVal>
            <c:numRef>
              <c:f>'Superiority, Crossover'!$AA$19:$AA$20</c:f>
              <c:numCache>
                <c:formatCode>General</c:formatCode>
                <c:ptCount val="2"/>
                <c:pt idx="0">
                  <c:v>0.0</c:v>
                </c:pt>
                <c:pt idx="1">
                  <c:v>0.0198011156695316</c:v>
                </c:pt>
              </c:numCache>
            </c:numRef>
          </c:yVal>
          <c:smooth val="0"/>
          <c:extLst xmlns:c16r2="http://schemas.microsoft.com/office/drawing/2015/06/char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xmlns:c16r2="http://schemas.microsoft.com/office/drawing/2015/06/chart">
              <c:ext xmlns:c16="http://schemas.microsoft.com/office/drawing/2014/chart" uri="{C3380CC4-5D6E-409C-BE32-E72D297353CC}">
                <c16:uniqueId val="{00000005-B3CD-42A3-9500-9B1F917F71A4}"/>
              </c:ext>
            </c:extLst>
          </c:dPt>
          <c:xVal>
            <c:numRef>
              <c:f>'Superiority, Crossover'!$Z$24:$Z$25</c:f>
              <c:numCache>
                <c:formatCode>General</c:formatCode>
                <c:ptCount val="2"/>
                <c:pt idx="0">
                  <c:v>70.0</c:v>
                </c:pt>
                <c:pt idx="1">
                  <c:v>70.0</c:v>
                </c:pt>
              </c:numCache>
            </c:numRef>
          </c:xVal>
          <c:yVal>
            <c:numRef>
              <c:f>'Superiority, Crossover'!$AA$24:$AA$25</c:f>
              <c:numCache>
                <c:formatCode>General</c:formatCode>
                <c:ptCount val="2"/>
                <c:pt idx="0">
                  <c:v>0.0</c:v>
                </c:pt>
                <c:pt idx="1">
                  <c:v>0.0198011156695316</c:v>
                </c:pt>
              </c:numCache>
            </c:numRef>
          </c:yVal>
          <c:smooth val="0"/>
          <c:extLst xmlns:c16r2="http://schemas.microsoft.com/office/drawing/2015/06/char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110.0</c:v>
                </c:pt>
                <c:pt idx="1">
                  <c:v>110.0</c:v>
                </c:pt>
              </c:numCache>
            </c:numRef>
          </c:xVal>
          <c:yVal>
            <c:numRef>
              <c:f>'Superiority, Crossover'!$AA$27:$AA$28</c:f>
              <c:numCache>
                <c:formatCode>General</c:formatCode>
                <c:ptCount val="2"/>
                <c:pt idx="0">
                  <c:v>0.0</c:v>
                </c:pt>
                <c:pt idx="1">
                  <c:v>0.0198011156695316</c:v>
                </c:pt>
              </c:numCache>
            </c:numRef>
          </c:yVal>
          <c:smooth val="0"/>
          <c:extLst xmlns:c16r2="http://schemas.microsoft.com/office/drawing/2015/06/char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8-B3CD-42A3-9500-9B1F917F71A4}"/>
            </c:ext>
          </c:extLst>
        </c:ser>
        <c:ser>
          <c:idx val="7"/>
          <c:order val="7"/>
          <c:tx>
            <c:strRef>
              <c:f>'Superiority, Crossover'!$AD$19:$AD$20</c:f>
              <c:strCache>
                <c:ptCount val="1"/>
                <c:pt idx="0">
                  <c:v>83.56580019 83.56580019</c:v>
                </c:pt>
              </c:strCache>
            </c:strRef>
          </c:tx>
          <c:spPr>
            <a:ln>
              <a:solidFill>
                <a:srgbClr val="FFFF00"/>
              </a:solidFill>
            </a:ln>
          </c:spPr>
          <c:marker>
            <c:symbol val="none"/>
          </c:marker>
          <c:xVal>
            <c:numRef>
              <c:f>'Superiority, Crossover'!$AD$19:$AD$20</c:f>
              <c:numCache>
                <c:formatCode>General</c:formatCode>
                <c:ptCount val="2"/>
                <c:pt idx="0">
                  <c:v>83.56580018939231</c:v>
                </c:pt>
                <c:pt idx="1">
                  <c:v>83.56580018939231</c:v>
                </c:pt>
              </c:numCache>
            </c:numRef>
          </c:xVal>
          <c:yVal>
            <c:numRef>
              <c:f>'Superiority, Crossover'!$AE$19:$AE$20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93.56580018939231</c:v>
                </c:pt>
                <c:pt idx="1">
                  <c:v>93.56580018939231</c:v>
                </c:pt>
              </c:numCache>
            </c:numRef>
          </c:xVal>
          <c:yVal>
            <c:numRef>
              <c:f>'Superiority, Crossover'!$AE$27:$AE$28</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80.0</c:v>
                </c:pt>
                <c:pt idx="1">
                  <c:v>80.0</c:v>
                </c:pt>
              </c:numCache>
            </c:numRef>
          </c:xVal>
          <c:yVal>
            <c:numRef>
              <c:f>'Superiority, Crossover'!$AA$32:$AA$33</c:f>
              <c:numCache>
                <c:formatCode>General</c:formatCode>
                <c:ptCount val="2"/>
                <c:pt idx="0">
                  <c:v>0.0</c:v>
                </c:pt>
                <c:pt idx="1">
                  <c:v>0.0198011156695316</c:v>
                </c:pt>
              </c:numCache>
            </c:numRef>
          </c:yVal>
          <c:smooth val="0"/>
          <c:extLst xmlns:c16r2="http://schemas.microsoft.com/office/drawing/2015/06/char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90.0</c:v>
                </c:pt>
                <c:pt idx="1">
                  <c:v>90.0</c:v>
                </c:pt>
              </c:numCache>
            </c:numRef>
          </c:xVal>
          <c:yVal>
            <c:numRef>
              <c:f>'Superiority, Crossover'!$AA$35:$AA$36</c:f>
              <c:numCache>
                <c:formatCode>General</c:formatCode>
                <c:ptCount val="2"/>
                <c:pt idx="0">
                  <c:v>0.0</c:v>
                </c:pt>
                <c:pt idx="1">
                  <c:v>0.0198011156695316</c:v>
                </c:pt>
              </c:numCache>
            </c:numRef>
          </c:yVal>
          <c:smooth val="0"/>
          <c:extLst xmlns:c16r2="http://schemas.microsoft.com/office/drawing/2015/06/char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0.0</c:v>
                </c:pt>
                <c:pt idx="1">
                  <c:v>12.12121212121212</c:v>
                </c:pt>
                <c:pt idx="2">
                  <c:v>24.24242424242424</c:v>
                </c:pt>
                <c:pt idx="3">
                  <c:v>36.36363636363636</c:v>
                </c:pt>
                <c:pt idx="4">
                  <c:v>48.48484848484848</c:v>
                </c:pt>
                <c:pt idx="5">
                  <c:v>60.60606060606061</c:v>
                </c:pt>
                <c:pt idx="6">
                  <c:v>72.72727272727273</c:v>
                </c:pt>
                <c:pt idx="7">
                  <c:v>84.84848484848486</c:v>
                </c:pt>
                <c:pt idx="8">
                  <c:v>96.96969696969698</c:v>
                </c:pt>
                <c:pt idx="9">
                  <c:v>109.0909090909091</c:v>
                </c:pt>
                <c:pt idx="10">
                  <c:v>121.2121212121212</c:v>
                </c:pt>
                <c:pt idx="11">
                  <c:v>133.3333333333333</c:v>
                </c:pt>
                <c:pt idx="12">
                  <c:v>145.4545454545455</c:v>
                </c:pt>
                <c:pt idx="13">
                  <c:v>157.5757575757576</c:v>
                </c:pt>
                <c:pt idx="14">
                  <c:v>169.6969696969697</c:v>
                </c:pt>
                <c:pt idx="15">
                  <c:v>181.8181818181818</c:v>
                </c:pt>
                <c:pt idx="16">
                  <c:v>193.939393939394</c:v>
                </c:pt>
                <c:pt idx="17">
                  <c:v>206.0606060606061</c:v>
                </c:pt>
                <c:pt idx="18">
                  <c:v>218.1818181818182</c:v>
                </c:pt>
                <c:pt idx="19">
                  <c:v>230.3030303030303</c:v>
                </c:pt>
                <c:pt idx="20">
                  <c:v>242.4242424242425</c:v>
                </c:pt>
                <c:pt idx="21">
                  <c:v>254.5454545454546</c:v>
                </c:pt>
                <c:pt idx="22">
                  <c:v>266.6666666666666</c:v>
                </c:pt>
                <c:pt idx="23">
                  <c:v>278.7878787878788</c:v>
                </c:pt>
                <c:pt idx="24">
                  <c:v>290.9090909090909</c:v>
                </c:pt>
                <c:pt idx="25">
                  <c:v>303.0303030303031</c:v>
                </c:pt>
                <c:pt idx="26">
                  <c:v>315.1515151515152</c:v>
                </c:pt>
                <c:pt idx="27">
                  <c:v>327.2727272727273</c:v>
                </c:pt>
                <c:pt idx="28">
                  <c:v>339.3939393939394</c:v>
                </c:pt>
                <c:pt idx="29">
                  <c:v>351.5151515151516</c:v>
                </c:pt>
                <c:pt idx="30">
                  <c:v>363.6363636363636</c:v>
                </c:pt>
                <c:pt idx="31">
                  <c:v>375.7575757575758</c:v>
                </c:pt>
                <c:pt idx="32">
                  <c:v>387.8787878787879</c:v>
                </c:pt>
              </c:numCache>
            </c:numRef>
          </c:xVal>
          <c:yVal>
            <c:numRef>
              <c:f>'Equivalence, Parallel'!$V$15:$V$47</c:f>
              <c:numCache>
                <c:formatCode>General</c:formatCode>
                <c:ptCount val="33"/>
                <c:pt idx="0">
                  <c:v>2.67660451529771E-6</c:v>
                </c:pt>
                <c:pt idx="1">
                  <c:v>6.85419745917185E-6</c:v>
                </c:pt>
                <c:pt idx="2">
                  <c:v>1.65502950936388E-5</c:v>
                </c:pt>
                <c:pt idx="3">
                  <c:v>3.76817962030763E-5</c:v>
                </c:pt>
                <c:pt idx="4">
                  <c:v>8.08973277177296E-5</c:v>
                </c:pt>
                <c:pt idx="5">
                  <c:v>0.000163762130535745</c:v>
                </c:pt>
                <c:pt idx="6">
                  <c:v>0.000312585989537112</c:v>
                </c:pt>
                <c:pt idx="7">
                  <c:v>0.000562603282745569</c:v>
                </c:pt>
                <c:pt idx="8">
                  <c:v>0.00095479852613707</c:v>
                </c:pt>
                <c:pt idx="9">
                  <c:v>0.00152791059570134</c:v>
                </c:pt>
                <c:pt idx="10">
                  <c:v>0.00230547740368852</c:v>
                </c:pt>
                <c:pt idx="11">
                  <c:v>0.00328020149351987</c:v>
                </c:pt>
                <c:pt idx="12">
                  <c:v>0.00440065070739981</c:v>
                </c:pt>
                <c:pt idx="13">
                  <c:v>0.00556685616223426</c:v>
                </c:pt>
                <c:pt idx="14">
                  <c:v>0.00664017959950017</c:v>
                </c:pt>
                <c:pt idx="15">
                  <c:v>0.00746837947507958</c:v>
                </c:pt>
                <c:pt idx="16">
                  <c:v>0.00792044626781265</c:v>
                </c:pt>
                <c:pt idx="17">
                  <c:v>0.00792044626781265</c:v>
                </c:pt>
                <c:pt idx="18">
                  <c:v>0.00746837947507957</c:v>
                </c:pt>
                <c:pt idx="19">
                  <c:v>0.00664017959950016</c:v>
                </c:pt>
                <c:pt idx="20">
                  <c:v>0.00556685616223425</c:v>
                </c:pt>
                <c:pt idx="21">
                  <c:v>0.00440065070739981</c:v>
                </c:pt>
                <c:pt idx="22">
                  <c:v>0.00328020149351987</c:v>
                </c:pt>
                <c:pt idx="23">
                  <c:v>0.00230547740368851</c:v>
                </c:pt>
                <c:pt idx="24">
                  <c:v>0.00152791059570133</c:v>
                </c:pt>
                <c:pt idx="25">
                  <c:v>0.00095479852613707</c:v>
                </c:pt>
                <c:pt idx="26">
                  <c:v>0.000562603282745568</c:v>
                </c:pt>
                <c:pt idx="27">
                  <c:v>0.000312585989537111</c:v>
                </c:pt>
                <c:pt idx="28">
                  <c:v>0.000163762130535745</c:v>
                </c:pt>
                <c:pt idx="29">
                  <c:v>8.08973277177293E-5</c:v>
                </c:pt>
                <c:pt idx="30">
                  <c:v>3.76817962030761E-5</c:v>
                </c:pt>
                <c:pt idx="31">
                  <c:v>1.65502950936387E-5</c:v>
                </c:pt>
                <c:pt idx="32">
                  <c:v>6.85419745917181E-6</c:v>
                </c:pt>
              </c:numCache>
            </c:numRef>
          </c:yVal>
          <c:smooth val="0"/>
          <c:extLst xmlns:c16r2="http://schemas.microsoft.com/office/drawing/2015/06/char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0.0</c:v>
                </c:pt>
                <c:pt idx="1">
                  <c:v>12.12121212121212</c:v>
                </c:pt>
                <c:pt idx="2">
                  <c:v>24.24242424242424</c:v>
                </c:pt>
                <c:pt idx="3">
                  <c:v>36.36363636363636</c:v>
                </c:pt>
                <c:pt idx="4">
                  <c:v>48.48484848484848</c:v>
                </c:pt>
                <c:pt idx="5">
                  <c:v>60.60606060606061</c:v>
                </c:pt>
                <c:pt idx="6">
                  <c:v>72.72727272727273</c:v>
                </c:pt>
                <c:pt idx="7">
                  <c:v>84.84848484848486</c:v>
                </c:pt>
                <c:pt idx="8">
                  <c:v>96.96969696969698</c:v>
                </c:pt>
                <c:pt idx="9">
                  <c:v>109.0909090909091</c:v>
                </c:pt>
                <c:pt idx="10">
                  <c:v>121.2121212121212</c:v>
                </c:pt>
                <c:pt idx="11">
                  <c:v>133.3333333333333</c:v>
                </c:pt>
                <c:pt idx="12">
                  <c:v>145.4545454545455</c:v>
                </c:pt>
                <c:pt idx="13">
                  <c:v>157.5757575757576</c:v>
                </c:pt>
                <c:pt idx="14">
                  <c:v>169.6969696969697</c:v>
                </c:pt>
                <c:pt idx="15">
                  <c:v>181.8181818181818</c:v>
                </c:pt>
                <c:pt idx="16">
                  <c:v>193.939393939394</c:v>
                </c:pt>
                <c:pt idx="17">
                  <c:v>206.0606060606061</c:v>
                </c:pt>
                <c:pt idx="18">
                  <c:v>218.1818181818182</c:v>
                </c:pt>
                <c:pt idx="19">
                  <c:v>230.3030303030303</c:v>
                </c:pt>
                <c:pt idx="20">
                  <c:v>242.4242424242425</c:v>
                </c:pt>
                <c:pt idx="21">
                  <c:v>254.5454545454546</c:v>
                </c:pt>
                <c:pt idx="22">
                  <c:v>266.6666666666666</c:v>
                </c:pt>
                <c:pt idx="23">
                  <c:v>278.7878787878788</c:v>
                </c:pt>
                <c:pt idx="24">
                  <c:v>290.9090909090909</c:v>
                </c:pt>
                <c:pt idx="25">
                  <c:v>303.0303030303031</c:v>
                </c:pt>
                <c:pt idx="26">
                  <c:v>315.1515151515152</c:v>
                </c:pt>
                <c:pt idx="27">
                  <c:v>327.2727272727273</c:v>
                </c:pt>
                <c:pt idx="28">
                  <c:v>339.3939393939394</c:v>
                </c:pt>
                <c:pt idx="29">
                  <c:v>351.5151515151516</c:v>
                </c:pt>
                <c:pt idx="30">
                  <c:v>363.6363636363636</c:v>
                </c:pt>
                <c:pt idx="31">
                  <c:v>375.7575757575758</c:v>
                </c:pt>
                <c:pt idx="32">
                  <c:v>387.8787878787879</c:v>
                </c:pt>
              </c:numCache>
            </c:numRef>
          </c:xVal>
          <c:yVal>
            <c:numRef>
              <c:f>'Equivalence, Parallel'!$W$15:$W$47</c:f>
              <c:numCache>
                <c:formatCode>General</c:formatCode>
                <c:ptCount val="33"/>
                <c:pt idx="0">
                  <c:v>2.67660451529771E-6</c:v>
                </c:pt>
                <c:pt idx="1">
                  <c:v>6.85419745917185E-6</c:v>
                </c:pt>
                <c:pt idx="2">
                  <c:v>1.65502950936388E-5</c:v>
                </c:pt>
                <c:pt idx="3">
                  <c:v>3.76817962030763E-5</c:v>
                </c:pt>
                <c:pt idx="4">
                  <c:v>8.08973277177296E-5</c:v>
                </c:pt>
                <c:pt idx="5">
                  <c:v>0.000163762130535745</c:v>
                </c:pt>
                <c:pt idx="6">
                  <c:v>0.000312585989537112</c:v>
                </c:pt>
                <c:pt idx="7">
                  <c:v>0.000562603282745569</c:v>
                </c:pt>
                <c:pt idx="8">
                  <c:v>0.00095479852613707</c:v>
                </c:pt>
                <c:pt idx="9">
                  <c:v>0.00152791059570134</c:v>
                </c:pt>
                <c:pt idx="10">
                  <c:v>0.00230547740368852</c:v>
                </c:pt>
                <c:pt idx="11">
                  <c:v>0.00328020149351987</c:v>
                </c:pt>
                <c:pt idx="12">
                  <c:v>0.00440065070739981</c:v>
                </c:pt>
                <c:pt idx="13">
                  <c:v>0.00556685616223426</c:v>
                </c:pt>
                <c:pt idx="14">
                  <c:v>0.00664017959950017</c:v>
                </c:pt>
                <c:pt idx="15">
                  <c:v>0.00746837947507958</c:v>
                </c:pt>
                <c:pt idx="16">
                  <c:v>0.00792044626781265</c:v>
                </c:pt>
                <c:pt idx="17">
                  <c:v>0.00792044626781265</c:v>
                </c:pt>
                <c:pt idx="18">
                  <c:v>0.00746837947507957</c:v>
                </c:pt>
                <c:pt idx="19">
                  <c:v>0.00664017959950016</c:v>
                </c:pt>
                <c:pt idx="20">
                  <c:v>0.00556685616223425</c:v>
                </c:pt>
                <c:pt idx="21">
                  <c:v>0.00440065070739981</c:v>
                </c:pt>
                <c:pt idx="22">
                  <c:v>0.00328020149351987</c:v>
                </c:pt>
                <c:pt idx="23">
                  <c:v>0.00230547740368851</c:v>
                </c:pt>
                <c:pt idx="24">
                  <c:v>0.00152791059570133</c:v>
                </c:pt>
                <c:pt idx="25">
                  <c:v>0.00095479852613707</c:v>
                </c:pt>
                <c:pt idx="26">
                  <c:v>0.000562603282745568</c:v>
                </c:pt>
                <c:pt idx="27">
                  <c:v>0.000312585989537111</c:v>
                </c:pt>
                <c:pt idx="28">
                  <c:v>0.000163762130535745</c:v>
                </c:pt>
                <c:pt idx="29">
                  <c:v>8.08973277177293E-5</c:v>
                </c:pt>
                <c:pt idx="30">
                  <c:v>3.76817962030761E-5</c:v>
                </c:pt>
                <c:pt idx="31">
                  <c:v>1.65502950936387E-5</c:v>
                </c:pt>
                <c:pt idx="32">
                  <c:v>6.85419745917181E-6</c:v>
                </c:pt>
              </c:numCache>
            </c:numRef>
          </c:yVal>
          <c:smooth val="0"/>
          <c:extLst xmlns:c16r2="http://schemas.microsoft.com/office/drawing/2015/06/char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150.0</c:v>
                </c:pt>
                <c:pt idx="1">
                  <c:v>150.0</c:v>
                </c:pt>
              </c:numCache>
            </c:numRef>
          </c:xVal>
          <c:yVal>
            <c:numRef>
              <c:f>'Equivalence, Parallel'!$AA$16:$AA$17</c:f>
              <c:numCache>
                <c:formatCode>General</c:formatCode>
                <c:ptCount val="2"/>
                <c:pt idx="0">
                  <c:v>0.0</c:v>
                </c:pt>
                <c:pt idx="1">
                  <c:v>0.00792044626781265</c:v>
                </c:pt>
              </c:numCache>
            </c:numRef>
          </c:yVal>
          <c:smooth val="0"/>
          <c:extLst xmlns:c16r2="http://schemas.microsoft.com/office/drawing/2015/06/char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250.0</c:v>
                </c:pt>
                <c:pt idx="1">
                  <c:v>250.0</c:v>
                </c:pt>
              </c:numCache>
            </c:numRef>
          </c:xVal>
          <c:yVal>
            <c:numRef>
              <c:f>'Equivalence, Parallel'!$AA$19:$AA$20</c:f>
              <c:numCache>
                <c:formatCode>General</c:formatCode>
                <c:ptCount val="2"/>
                <c:pt idx="0">
                  <c:v>0.0</c:v>
                </c:pt>
                <c:pt idx="1">
                  <c:v>0.00792044626781265</c:v>
                </c:pt>
              </c:numCache>
            </c:numRef>
          </c:yVal>
          <c:smooth val="0"/>
          <c:extLst xmlns:c16r2="http://schemas.microsoft.com/office/drawing/2015/06/char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xmlns:c16r2="http://schemas.microsoft.com/office/drawing/2015/06/chart">
              <c:ext xmlns:c16="http://schemas.microsoft.com/office/drawing/2014/chart" uri="{C3380CC4-5D6E-409C-BE32-E72D297353CC}">
                <c16:uniqueId val="{00000005-8414-4708-A9D9-D854D68991D3}"/>
              </c:ext>
            </c:extLst>
          </c:dPt>
          <c:xVal>
            <c:numRef>
              <c:f>'Equivalence, Parallel'!$Z$24:$Z$25</c:f>
              <c:numCache>
                <c:formatCode>General</c:formatCode>
                <c:ptCount val="2"/>
                <c:pt idx="0">
                  <c:v>150.0</c:v>
                </c:pt>
                <c:pt idx="1">
                  <c:v>150.0</c:v>
                </c:pt>
              </c:numCache>
            </c:numRef>
          </c:xVal>
          <c:yVal>
            <c:numRef>
              <c:f>'Equivalence, Parallel'!$AA$24:$AA$25</c:f>
              <c:numCache>
                <c:formatCode>General</c:formatCode>
                <c:ptCount val="2"/>
                <c:pt idx="0">
                  <c:v>0.0</c:v>
                </c:pt>
                <c:pt idx="1">
                  <c:v>0.00792044626781265</c:v>
                </c:pt>
              </c:numCache>
            </c:numRef>
          </c:yVal>
          <c:smooth val="0"/>
          <c:extLst xmlns:c16r2="http://schemas.microsoft.com/office/drawing/2015/06/char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250.0</c:v>
                </c:pt>
                <c:pt idx="1">
                  <c:v>250.0</c:v>
                </c:pt>
              </c:numCache>
            </c:numRef>
          </c:xVal>
          <c:yVal>
            <c:numRef>
              <c:f>'Equivalence, Parallel'!$AA$27:$AA$28</c:f>
              <c:numCache>
                <c:formatCode>General</c:formatCode>
                <c:ptCount val="2"/>
                <c:pt idx="0">
                  <c:v>0.0</c:v>
                </c:pt>
                <c:pt idx="1">
                  <c:v>0.00792044626781265</c:v>
                </c:pt>
              </c:numCache>
            </c:numRef>
          </c:yVal>
          <c:smooth val="0"/>
          <c:extLst xmlns:c16r2="http://schemas.microsoft.com/office/drawing/2015/06/char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c:v>
                </c:pt>
                <c:pt idx="1">
                  <c:v>196.1519715302096</c:v>
                </c:pt>
              </c:numCache>
            </c:numRef>
          </c:xVal>
          <c:yVal>
            <c:numRef>
              <c:f>'Equivalence, Parallel'!$AE$16:$AE$17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8-8414-4708-A9D9-D854D68991D3}"/>
            </c:ext>
          </c:extLst>
        </c:ser>
        <c:ser>
          <c:idx val="7"/>
          <c:order val="7"/>
          <c:tx>
            <c:strRef>
              <c:f>'Equivalence, Parallel'!$AD$19:$AD$20</c:f>
              <c:strCache>
                <c:ptCount val="1"/>
                <c:pt idx="0">
                  <c:v>203.8480285 203.8480285</c:v>
                </c:pt>
              </c:strCache>
            </c:strRef>
          </c:tx>
          <c:spPr>
            <a:ln>
              <a:solidFill>
                <a:srgbClr val="FFFF00"/>
              </a:solidFill>
            </a:ln>
          </c:spPr>
          <c:marker>
            <c:symbol val="none"/>
          </c:marker>
          <c:xVal>
            <c:numRef>
              <c:f>'Equivalence, Parallel'!$AD$19:$AD$20</c:f>
              <c:numCache>
                <c:formatCode>General</c:formatCode>
                <c:ptCount val="2"/>
                <c:pt idx="0">
                  <c:v>203.8480284697904</c:v>
                </c:pt>
                <c:pt idx="1">
                  <c:v>203.8480284697904</c:v>
                </c:pt>
              </c:numCache>
            </c:numRef>
          </c:xVal>
          <c:yVal>
            <c:numRef>
              <c:f>'Equivalence, Parallel'!$AE$19:$AE$20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c:v>
                </c:pt>
                <c:pt idx="1">
                  <c:v>196.1519715302096</c:v>
                </c:pt>
              </c:numCache>
            </c:numRef>
          </c:xVal>
          <c:yVal>
            <c:numRef>
              <c:f>'Equivalence, Parallel'!$AE$24:$AE$25</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203.8480284697904</c:v>
                </c:pt>
                <c:pt idx="1">
                  <c:v>203.8480284697904</c:v>
                </c:pt>
              </c:numCache>
            </c:numRef>
          </c:xVal>
          <c:yVal>
            <c:numRef>
              <c:f>'Equivalence, Parallel'!$AE$27:$AE$28</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195.0</c:v>
                </c:pt>
                <c:pt idx="1">
                  <c:v>195.0</c:v>
                </c:pt>
              </c:numCache>
            </c:numRef>
          </c:xVal>
          <c:yVal>
            <c:numRef>
              <c:f>'Equivalence, Parallel'!$AA$32:$AA$33</c:f>
              <c:numCache>
                <c:formatCode>General</c:formatCode>
                <c:ptCount val="2"/>
                <c:pt idx="0">
                  <c:v>0.0</c:v>
                </c:pt>
                <c:pt idx="1">
                  <c:v>0.00792044626781265</c:v>
                </c:pt>
              </c:numCache>
            </c:numRef>
          </c:yVal>
          <c:smooth val="0"/>
          <c:extLst xmlns:c16r2="http://schemas.microsoft.com/office/drawing/2015/06/chart">
            <c:ext xmlns:c16="http://schemas.microsoft.com/office/drawing/2014/chart" uri="{C3380CC4-5D6E-409C-BE32-E72D297353CC}">
              <c16:uniqueId val="{0000000C-8414-4708-A9D9-D854D68991D3}"/>
            </c:ext>
          </c:extLst>
        </c:ser>
        <c:ser>
          <c:idx val="11"/>
          <c:order val="11"/>
          <c:tx>
            <c:strRef>
              <c:f>'Equivalence, Parallel'!$Z$35:$Z$36</c:f>
              <c:strCache>
                <c:ptCount val="1"/>
                <c:pt idx="0">
                  <c:v>205 205</c:v>
                </c:pt>
              </c:strCache>
            </c:strRef>
          </c:tx>
          <c:spPr>
            <a:ln>
              <a:solidFill>
                <a:srgbClr val="FF0000"/>
              </a:solidFill>
            </a:ln>
          </c:spPr>
          <c:marker>
            <c:symbol val="none"/>
          </c:marker>
          <c:xVal>
            <c:numRef>
              <c:f>'Equivalence, Parallel'!$Z$35:$Z$36</c:f>
              <c:numCache>
                <c:formatCode>General</c:formatCode>
                <c:ptCount val="2"/>
                <c:pt idx="0">
                  <c:v>205.0</c:v>
                </c:pt>
                <c:pt idx="1">
                  <c:v>205.0</c:v>
                </c:pt>
              </c:numCache>
            </c:numRef>
          </c:xVal>
          <c:yVal>
            <c:numRef>
              <c:f>'Equivalence, Parallel'!$AA$35:$AA$36</c:f>
              <c:numCache>
                <c:formatCode>General</c:formatCode>
                <c:ptCount val="2"/>
                <c:pt idx="0">
                  <c:v>0.0</c:v>
                </c:pt>
                <c:pt idx="1">
                  <c:v>0.00792044626781265</c:v>
                </c:pt>
              </c:numCache>
            </c:numRef>
          </c:yVal>
          <c:smooth val="0"/>
          <c:extLst xmlns:c16r2="http://schemas.microsoft.com/office/drawing/2015/06/char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0.0</c:v>
                </c:pt>
                <c:pt idx="1">
                  <c:v>4.90909090909091</c:v>
                </c:pt>
                <c:pt idx="2">
                  <c:v>9.818181818181818</c:v>
                </c:pt>
                <c:pt idx="3">
                  <c:v>14.72727272727273</c:v>
                </c:pt>
                <c:pt idx="4">
                  <c:v>19.63636363636364</c:v>
                </c:pt>
                <c:pt idx="5">
                  <c:v>24.54545454545455</c:v>
                </c:pt>
                <c:pt idx="6">
                  <c:v>29.45454545454546</c:v>
                </c:pt>
                <c:pt idx="7">
                  <c:v>34.36363636363637</c:v>
                </c:pt>
                <c:pt idx="8">
                  <c:v>39.27272727272727</c:v>
                </c:pt>
                <c:pt idx="9">
                  <c:v>44.18181818181818</c:v>
                </c:pt>
                <c:pt idx="10">
                  <c:v>49.09090909090908</c:v>
                </c:pt>
                <c:pt idx="11">
                  <c:v>54</c:v>
                </c:pt>
                <c:pt idx="12">
                  <c:v>58.9090909090909</c:v>
                </c:pt>
                <c:pt idx="13">
                  <c:v>63.8181818181818</c:v>
                </c:pt>
                <c:pt idx="14">
                  <c:v>68.72727272727271</c:v>
                </c:pt>
                <c:pt idx="15">
                  <c:v>73.63636363636363</c:v>
                </c:pt>
                <c:pt idx="16">
                  <c:v>78.54545454545453</c:v>
                </c:pt>
                <c:pt idx="17">
                  <c:v>83.45454545454543</c:v>
                </c:pt>
                <c:pt idx="18">
                  <c:v>88.36363636363635</c:v>
                </c:pt>
                <c:pt idx="19">
                  <c:v>93.27272727272725</c:v>
                </c:pt>
                <c:pt idx="20">
                  <c:v>98.18181818181815</c:v>
                </c:pt>
                <c:pt idx="21">
                  <c:v>103.0909090909091</c:v>
                </c:pt>
                <c:pt idx="22">
                  <c:v>108</c:v>
                </c:pt>
                <c:pt idx="23">
                  <c:v>112.9090909090909</c:v>
                </c:pt>
                <c:pt idx="24">
                  <c:v>117.8181818181818</c:v>
                </c:pt>
                <c:pt idx="25">
                  <c:v>122.7272727272727</c:v>
                </c:pt>
                <c:pt idx="26">
                  <c:v>127.6363636363636</c:v>
                </c:pt>
                <c:pt idx="27">
                  <c:v>132.5454545454545</c:v>
                </c:pt>
                <c:pt idx="28">
                  <c:v>137.4545454545454</c:v>
                </c:pt>
                <c:pt idx="29">
                  <c:v>142.3636363636363</c:v>
                </c:pt>
                <c:pt idx="30">
                  <c:v>147.2727272727272</c:v>
                </c:pt>
                <c:pt idx="31">
                  <c:v>152.1818181818181</c:v>
                </c:pt>
                <c:pt idx="32">
                  <c:v>157.090909090909</c:v>
                </c:pt>
              </c:numCache>
            </c:numRef>
          </c:xVal>
          <c:yVal>
            <c:numRef>
              <c:f>'Equivalence, Crossover'!$V$15:$V$47</c:f>
              <c:numCache>
                <c:formatCode>General</c:formatCode>
                <c:ptCount val="33"/>
                <c:pt idx="0">
                  <c:v>6.69151128824427E-6</c:v>
                </c:pt>
                <c:pt idx="1">
                  <c:v>1.73316440425747E-5</c:v>
                </c:pt>
                <c:pt idx="2">
                  <c:v>4.22658844759125E-5</c:v>
                </c:pt>
                <c:pt idx="3">
                  <c:v>9.70453693275886E-5</c:v>
                </c:pt>
                <c:pt idx="4">
                  <c:v>0.000209794610609705</c:v>
                </c:pt>
                <c:pt idx="5">
                  <c:v>0.000427020271671733</c:v>
                </c:pt>
                <c:pt idx="6">
                  <c:v>0.000818346656429597</c:v>
                </c:pt>
                <c:pt idx="7">
                  <c:v>0.00147659293764955</c:v>
                </c:pt>
                <c:pt idx="8">
                  <c:v>0.002508527788136</c:v>
                </c:pt>
                <c:pt idx="9">
                  <c:v>0.00401246909510943</c:v>
                </c:pt>
                <c:pt idx="10">
                  <c:v>0.00604281278357494</c:v>
                </c:pt>
                <c:pt idx="11">
                  <c:v>0.00856842960239036</c:v>
                </c:pt>
                <c:pt idx="12">
                  <c:v>0.0114392613249804</c:v>
                </c:pt>
                <c:pt idx="13">
                  <c:v>0.0143790232047208</c:v>
                </c:pt>
                <c:pt idx="14">
                  <c:v>0.0170174875887485</c:v>
                </c:pt>
                <c:pt idx="15">
                  <c:v>0.0189625245154579</c:v>
                </c:pt>
                <c:pt idx="16">
                  <c:v>0.0198944310160188</c:v>
                </c:pt>
                <c:pt idx="17">
                  <c:v>0.019651764227432</c:v>
                </c:pt>
                <c:pt idx="18">
                  <c:v>0.018277055140371</c:v>
                </c:pt>
                <c:pt idx="19">
                  <c:v>0.0160046268834878</c:v>
                </c:pt>
                <c:pt idx="20">
                  <c:v>0.0131953082621865</c:v>
                </c:pt>
                <c:pt idx="21">
                  <c:v>0.0102430237992621</c:v>
                </c:pt>
                <c:pt idx="22">
                  <c:v>0.00748637328178726</c:v>
                </c:pt>
                <c:pt idx="23">
                  <c:v>0.0051516865249838</c:v>
                </c:pt>
                <c:pt idx="24">
                  <c:v>0.00333781325060828</c:v>
                </c:pt>
                <c:pt idx="25">
                  <c:v>0.00203614777854165</c:v>
                </c:pt>
                <c:pt idx="26">
                  <c:v>0.00116947572091925</c:v>
                </c:pt>
                <c:pt idx="27">
                  <c:v>0.000632423180499651</c:v>
                </c:pt>
                <c:pt idx="28">
                  <c:v>0.000322002322892445</c:v>
                </c:pt>
                <c:pt idx="29">
                  <c:v>0.000154363594918991</c:v>
                </c:pt>
                <c:pt idx="30">
                  <c:v>6.96731455861746E-5</c:v>
                </c:pt>
                <c:pt idx="31">
                  <c:v>2.96087864309139E-5</c:v>
                </c:pt>
                <c:pt idx="32">
                  <c:v>1.18470562692903E-5</c:v>
                </c:pt>
              </c:numCache>
            </c:numRef>
          </c:yVal>
          <c:smooth val="0"/>
          <c:extLst xmlns:c16r2="http://schemas.microsoft.com/office/drawing/2015/06/char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0.0</c:v>
                </c:pt>
                <c:pt idx="1">
                  <c:v>4.90909090909091</c:v>
                </c:pt>
                <c:pt idx="2">
                  <c:v>9.818181818181818</c:v>
                </c:pt>
                <c:pt idx="3">
                  <c:v>14.72727272727273</c:v>
                </c:pt>
                <c:pt idx="4">
                  <c:v>19.63636363636364</c:v>
                </c:pt>
                <c:pt idx="5">
                  <c:v>24.54545454545455</c:v>
                </c:pt>
                <c:pt idx="6">
                  <c:v>29.45454545454546</c:v>
                </c:pt>
                <c:pt idx="7">
                  <c:v>34.36363636363637</c:v>
                </c:pt>
                <c:pt idx="8">
                  <c:v>39.27272727272727</c:v>
                </c:pt>
                <c:pt idx="9">
                  <c:v>44.18181818181818</c:v>
                </c:pt>
                <c:pt idx="10">
                  <c:v>49.09090909090908</c:v>
                </c:pt>
                <c:pt idx="11">
                  <c:v>54</c:v>
                </c:pt>
                <c:pt idx="12">
                  <c:v>58.9090909090909</c:v>
                </c:pt>
                <c:pt idx="13">
                  <c:v>63.8181818181818</c:v>
                </c:pt>
                <c:pt idx="14">
                  <c:v>68.72727272727271</c:v>
                </c:pt>
                <c:pt idx="15">
                  <c:v>73.63636363636363</c:v>
                </c:pt>
                <c:pt idx="16">
                  <c:v>78.54545454545453</c:v>
                </c:pt>
                <c:pt idx="17">
                  <c:v>83.45454545454543</c:v>
                </c:pt>
                <c:pt idx="18">
                  <c:v>88.36363636363635</c:v>
                </c:pt>
                <c:pt idx="19">
                  <c:v>93.27272727272725</c:v>
                </c:pt>
                <c:pt idx="20">
                  <c:v>98.18181818181815</c:v>
                </c:pt>
                <c:pt idx="21">
                  <c:v>103.0909090909091</c:v>
                </c:pt>
                <c:pt idx="22">
                  <c:v>108</c:v>
                </c:pt>
                <c:pt idx="23">
                  <c:v>112.9090909090909</c:v>
                </c:pt>
                <c:pt idx="24">
                  <c:v>117.8181818181818</c:v>
                </c:pt>
                <c:pt idx="25">
                  <c:v>122.7272727272727</c:v>
                </c:pt>
                <c:pt idx="26">
                  <c:v>127.6363636363636</c:v>
                </c:pt>
                <c:pt idx="27">
                  <c:v>132.5454545454545</c:v>
                </c:pt>
                <c:pt idx="28">
                  <c:v>137.4545454545454</c:v>
                </c:pt>
                <c:pt idx="29">
                  <c:v>142.3636363636363</c:v>
                </c:pt>
                <c:pt idx="30">
                  <c:v>147.2727272727272</c:v>
                </c:pt>
                <c:pt idx="31">
                  <c:v>152.1818181818181</c:v>
                </c:pt>
                <c:pt idx="32">
                  <c:v>157.090909090909</c:v>
                </c:pt>
              </c:numCache>
            </c:numRef>
          </c:xVal>
          <c:yVal>
            <c:numRef>
              <c:f>'Equivalence, Crossover'!$W$15:$W$47</c:f>
              <c:numCache>
                <c:formatCode>General</c:formatCode>
                <c:ptCount val="33"/>
                <c:pt idx="0">
                  <c:v>4.46308285885665E-6</c:v>
                </c:pt>
                <c:pt idx="1">
                  <c:v>1.18470562692902E-5</c:v>
                </c:pt>
                <c:pt idx="2">
                  <c:v>2.96087864309136E-5</c:v>
                </c:pt>
                <c:pt idx="3">
                  <c:v>6.9673145586174E-5</c:v>
                </c:pt>
                <c:pt idx="4">
                  <c:v>0.00015436359491899</c:v>
                </c:pt>
                <c:pt idx="5">
                  <c:v>0.000322002322892443</c:v>
                </c:pt>
                <c:pt idx="6">
                  <c:v>0.000632423180499648</c:v>
                </c:pt>
                <c:pt idx="7">
                  <c:v>0.00116947572091925</c:v>
                </c:pt>
                <c:pt idx="8">
                  <c:v>0.00203614777854165</c:v>
                </c:pt>
                <c:pt idx="9">
                  <c:v>0.00333781325060827</c:v>
                </c:pt>
                <c:pt idx="10">
                  <c:v>0.00515168652498379</c:v>
                </c:pt>
                <c:pt idx="11">
                  <c:v>0.00748637328178724</c:v>
                </c:pt>
                <c:pt idx="12">
                  <c:v>0.0102430237992621</c:v>
                </c:pt>
                <c:pt idx="13">
                  <c:v>0.0131953082621865</c:v>
                </c:pt>
                <c:pt idx="14">
                  <c:v>0.0160046268834877</c:v>
                </c:pt>
                <c:pt idx="15">
                  <c:v>0.018277055140371</c:v>
                </c:pt>
                <c:pt idx="16">
                  <c:v>0.019651764227432</c:v>
                </c:pt>
                <c:pt idx="17">
                  <c:v>0.0198944310160188</c:v>
                </c:pt>
                <c:pt idx="18">
                  <c:v>0.0189625245154579</c:v>
                </c:pt>
                <c:pt idx="19">
                  <c:v>0.0170174875887486</c:v>
                </c:pt>
                <c:pt idx="20">
                  <c:v>0.0143790232047209</c:v>
                </c:pt>
                <c:pt idx="21">
                  <c:v>0.0114392613249804</c:v>
                </c:pt>
                <c:pt idx="22">
                  <c:v>0.00856842960239038</c:v>
                </c:pt>
                <c:pt idx="23">
                  <c:v>0.00604281278357496</c:v>
                </c:pt>
                <c:pt idx="24">
                  <c:v>0.00401246909510944</c:v>
                </c:pt>
                <c:pt idx="25">
                  <c:v>0.00250852778813601</c:v>
                </c:pt>
                <c:pt idx="26">
                  <c:v>0.00147659293764955</c:v>
                </c:pt>
                <c:pt idx="27">
                  <c:v>0.000818346656429601</c:v>
                </c:pt>
                <c:pt idx="28">
                  <c:v>0.000427020271671735</c:v>
                </c:pt>
                <c:pt idx="29">
                  <c:v>0.000209794610609706</c:v>
                </c:pt>
                <c:pt idx="30">
                  <c:v>9.70453693275897E-5</c:v>
                </c:pt>
                <c:pt idx="31">
                  <c:v>4.22658844759129E-5</c:v>
                </c:pt>
                <c:pt idx="32">
                  <c:v>1.73316440425749E-5</c:v>
                </c:pt>
              </c:numCache>
            </c:numRef>
          </c:yVal>
          <c:smooth val="0"/>
          <c:extLst xmlns:c16r2="http://schemas.microsoft.com/office/drawing/2015/06/char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60.0</c:v>
                </c:pt>
                <c:pt idx="1">
                  <c:v>60.0</c:v>
                </c:pt>
              </c:numCache>
            </c:numRef>
          </c:xVal>
          <c:yVal>
            <c:numRef>
              <c:f>'Equivalence, Crossover'!$AA$16:$AA$17</c:f>
              <c:numCache>
                <c:formatCode>General</c:formatCode>
                <c:ptCount val="2"/>
                <c:pt idx="0">
                  <c:v>0.0</c:v>
                </c:pt>
                <c:pt idx="1">
                  <c:v>0.0198944310160188</c:v>
                </c:pt>
              </c:numCache>
            </c:numRef>
          </c:yVal>
          <c:smooth val="0"/>
          <c:extLst xmlns:c16r2="http://schemas.microsoft.com/office/drawing/2015/06/char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100.0</c:v>
                </c:pt>
                <c:pt idx="1">
                  <c:v>100.0</c:v>
                </c:pt>
              </c:numCache>
            </c:numRef>
          </c:xVal>
          <c:yVal>
            <c:numRef>
              <c:f>'Equivalence, Crossover'!$AA$19:$AA$20</c:f>
              <c:numCache>
                <c:formatCode>General</c:formatCode>
                <c:ptCount val="2"/>
                <c:pt idx="0">
                  <c:v>0.0</c:v>
                </c:pt>
                <c:pt idx="1">
                  <c:v>0.0198944310160188</c:v>
                </c:pt>
              </c:numCache>
            </c:numRef>
          </c:yVal>
          <c:smooth val="0"/>
          <c:extLst xmlns:c16r2="http://schemas.microsoft.com/office/drawing/2015/06/char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xmlns:c16r2="http://schemas.microsoft.com/office/drawing/2015/06/chart">
              <c:ext xmlns:c16="http://schemas.microsoft.com/office/drawing/2014/chart" uri="{C3380CC4-5D6E-409C-BE32-E72D297353CC}">
                <c16:uniqueId val="{00000005-34A1-4754-9638-10B62AB0402B}"/>
              </c:ext>
            </c:extLst>
          </c:dPt>
          <c:xVal>
            <c:numRef>
              <c:f>'Equivalence, Crossover'!$Z$24:$Z$25</c:f>
              <c:numCache>
                <c:formatCode>General</c:formatCode>
                <c:ptCount val="2"/>
                <c:pt idx="0">
                  <c:v>62.0</c:v>
                </c:pt>
                <c:pt idx="1">
                  <c:v>62.0</c:v>
                </c:pt>
              </c:numCache>
            </c:numRef>
          </c:xVal>
          <c:yVal>
            <c:numRef>
              <c:f>'Equivalence, Crossover'!$AA$24:$AA$25</c:f>
              <c:numCache>
                <c:formatCode>General</c:formatCode>
                <c:ptCount val="2"/>
                <c:pt idx="0">
                  <c:v>0.0</c:v>
                </c:pt>
                <c:pt idx="1">
                  <c:v>0.0198944310160188</c:v>
                </c:pt>
              </c:numCache>
            </c:numRef>
          </c:yVal>
          <c:smooth val="0"/>
          <c:extLst xmlns:c16r2="http://schemas.microsoft.com/office/drawing/2015/06/char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102.0</c:v>
                </c:pt>
                <c:pt idx="1">
                  <c:v>102.0</c:v>
                </c:pt>
              </c:numCache>
            </c:numRef>
          </c:xVal>
          <c:yVal>
            <c:numRef>
              <c:f>'Equivalence, Crossover'!$AA$27:$AA$28</c:f>
              <c:numCache>
                <c:formatCode>General</c:formatCode>
                <c:ptCount val="2"/>
                <c:pt idx="0">
                  <c:v>0.0</c:v>
                </c:pt>
                <c:pt idx="1">
                  <c:v>0.0198944310160188</c:v>
                </c:pt>
              </c:numCache>
            </c:numRef>
          </c:yVal>
          <c:smooth val="0"/>
          <c:extLst xmlns:c16r2="http://schemas.microsoft.com/office/drawing/2015/06/char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c:v>
                </c:pt>
                <c:pt idx="1">
                  <c:v>76.59528398419334</c:v>
                </c:pt>
              </c:numCache>
            </c:numRef>
          </c:xVal>
          <c:yVal>
            <c:numRef>
              <c:f>'Equivalence, Crossover'!$AE$16:$AE$17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c:v>
                </c:pt>
                <c:pt idx="1">
                  <c:v>83.40471601580665</c:v>
                </c:pt>
              </c:numCache>
            </c:numRef>
          </c:xVal>
          <c:yVal>
            <c:numRef>
              <c:f>'Equivalence, Crossover'!$AE$19:$AE$20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c:v>
                </c:pt>
                <c:pt idx="1">
                  <c:v>78.59528398419334</c:v>
                </c:pt>
              </c:numCache>
            </c:numRef>
          </c:xVal>
          <c:yVal>
            <c:numRef>
              <c:f>'Equivalence, Crossover'!$AE$24:$AE$25</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c:v>
                </c:pt>
                <c:pt idx="1">
                  <c:v>85.40471601580665</c:v>
                </c:pt>
              </c:numCache>
            </c:numRef>
          </c:xVal>
          <c:yVal>
            <c:numRef>
              <c:f>'Equivalence, Crossover'!$AE$27:$AE$28</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76.0</c:v>
                </c:pt>
                <c:pt idx="1">
                  <c:v>76.0</c:v>
                </c:pt>
              </c:numCache>
            </c:numRef>
          </c:xVal>
          <c:yVal>
            <c:numRef>
              <c:f>'Equivalence, Crossover'!$AA$32:$AA$33</c:f>
              <c:numCache>
                <c:formatCode>General</c:formatCode>
                <c:ptCount val="2"/>
                <c:pt idx="0">
                  <c:v>0.0</c:v>
                </c:pt>
                <c:pt idx="1">
                  <c:v>0.0198944310160188</c:v>
                </c:pt>
              </c:numCache>
            </c:numRef>
          </c:yVal>
          <c:smooth val="0"/>
          <c:extLst xmlns:c16r2="http://schemas.microsoft.com/office/drawing/2015/06/char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86.0</c:v>
                </c:pt>
                <c:pt idx="1">
                  <c:v>86.0</c:v>
                </c:pt>
              </c:numCache>
            </c:numRef>
          </c:xVal>
          <c:yVal>
            <c:numRef>
              <c:f>'Equivalence, Crossover'!$AA$35:$AA$36</c:f>
              <c:numCache>
                <c:formatCode>General</c:formatCode>
                <c:ptCount val="2"/>
                <c:pt idx="0">
                  <c:v>0.0</c:v>
                </c:pt>
                <c:pt idx="1">
                  <c:v>0.0198944310160188</c:v>
                </c:pt>
              </c:numCache>
            </c:numRef>
          </c:yVal>
          <c:smooth val="0"/>
          <c:extLst xmlns:c16r2="http://schemas.microsoft.com/office/drawing/2015/06/char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0.0</c:v>
                </c:pt>
                <c:pt idx="1">
                  <c:v>9.636363636363637</c:v>
                </c:pt>
                <c:pt idx="2">
                  <c:v>19.27272727272727</c:v>
                </c:pt>
                <c:pt idx="3">
                  <c:v>28.90909090909091</c:v>
                </c:pt>
                <c:pt idx="4">
                  <c:v>38.54545454545455</c:v>
                </c:pt>
                <c:pt idx="5">
                  <c:v>48.18181818181819</c:v>
                </c:pt>
                <c:pt idx="6">
                  <c:v>57.81818181818182</c:v>
                </c:pt>
                <c:pt idx="7">
                  <c:v>67.45454545454546</c:v>
                </c:pt>
                <c:pt idx="8">
                  <c:v>77.0909090909091</c:v>
                </c:pt>
                <c:pt idx="9">
                  <c:v>86.72727272727274</c:v>
                </c:pt>
                <c:pt idx="10">
                  <c:v>96.36363636363639</c:v>
                </c:pt>
                <c:pt idx="11">
                  <c:v>106.0</c:v>
                </c:pt>
                <c:pt idx="12">
                  <c:v>115.6363636363637</c:v>
                </c:pt>
                <c:pt idx="13">
                  <c:v>125.2727272727273</c:v>
                </c:pt>
                <c:pt idx="14">
                  <c:v>134.9090909090909</c:v>
                </c:pt>
                <c:pt idx="15">
                  <c:v>144.5454545454546</c:v>
                </c:pt>
                <c:pt idx="16">
                  <c:v>154.1818181818182</c:v>
                </c:pt>
                <c:pt idx="17">
                  <c:v>163.8181818181818</c:v>
                </c:pt>
                <c:pt idx="18">
                  <c:v>173.4545454545454</c:v>
                </c:pt>
                <c:pt idx="19">
                  <c:v>183.0909090909091</c:v>
                </c:pt>
                <c:pt idx="20">
                  <c:v>192.7272727272727</c:v>
                </c:pt>
                <c:pt idx="21">
                  <c:v>202.3636363636363</c:v>
                </c:pt>
                <c:pt idx="22">
                  <c:v>211.9999999999999</c:v>
                </c:pt>
                <c:pt idx="23">
                  <c:v>221.6363636363636</c:v>
                </c:pt>
                <c:pt idx="24">
                  <c:v>231.2727272727272</c:v>
                </c:pt>
                <c:pt idx="25">
                  <c:v>240.9090909090908</c:v>
                </c:pt>
                <c:pt idx="26">
                  <c:v>250.5454545454544</c:v>
                </c:pt>
                <c:pt idx="27">
                  <c:v>260.1818181818181</c:v>
                </c:pt>
                <c:pt idx="28">
                  <c:v>269.8181818181817</c:v>
                </c:pt>
                <c:pt idx="29">
                  <c:v>279.4545454545453</c:v>
                </c:pt>
                <c:pt idx="30">
                  <c:v>289.090909090909</c:v>
                </c:pt>
                <c:pt idx="31">
                  <c:v>298.7272727272726</c:v>
                </c:pt>
                <c:pt idx="32">
                  <c:v>308.3636363636362</c:v>
                </c:pt>
              </c:numCache>
            </c:numRef>
          </c:xVal>
          <c:yVal>
            <c:numRef>
              <c:f>'Non-inferiority, Parallel'!$V$15:$V$47</c:f>
              <c:numCache>
                <c:formatCode>General</c:formatCode>
                <c:ptCount val="33"/>
                <c:pt idx="0">
                  <c:v>3.34575564412213E-6</c:v>
                </c:pt>
                <c:pt idx="1">
                  <c:v>8.5190969142287E-6</c:v>
                </c:pt>
                <c:pt idx="2">
                  <c:v>2.04685777545064E-5</c:v>
                </c:pt>
                <c:pt idx="3">
                  <c:v>4.64062573203907E-5</c:v>
                </c:pt>
                <c:pt idx="4">
                  <c:v>9.92796389822013E-5</c:v>
                </c:pt>
                <c:pt idx="5">
                  <c:v>0.000200418867262279</c:v>
                </c:pt>
                <c:pt idx="6">
                  <c:v>0.000381778780025291</c:v>
                </c:pt>
                <c:pt idx="7">
                  <c:v>0.000686245859352705</c:v>
                </c:pt>
                <c:pt idx="8">
                  <c:v>0.00116397179522557</c:v>
                </c:pt>
                <c:pt idx="9">
                  <c:v>0.00186294462207544</c:v>
                </c:pt>
                <c:pt idx="10">
                  <c:v>0.00281353422363266</c:v>
                </c:pt>
                <c:pt idx="11">
                  <c:v>0.00400958318354799</c:v>
                </c:pt>
                <c:pt idx="12">
                  <c:v>0.00539188998134967</c:v>
                </c:pt>
                <c:pt idx="13">
                  <c:v>0.00684191358880449</c:v>
                </c:pt>
                <c:pt idx="14">
                  <c:v>0.00819235788497345</c:v>
                </c:pt>
                <c:pt idx="15">
                  <c:v>0.00925624873075985</c:v>
                </c:pt>
                <c:pt idx="16">
                  <c:v>0.00986860769606902</c:v>
                </c:pt>
                <c:pt idx="17">
                  <c:v>0.00992822297185448</c:v>
                </c:pt>
                <c:pt idx="18">
                  <c:v>0.00942501235048633</c:v>
                </c:pt>
                <c:pt idx="19">
                  <c:v>0.00844281168224929</c:v>
                </c:pt>
                <c:pt idx="20">
                  <c:v>0.00713652917246013</c:v>
                </c:pt>
                <c:pt idx="21">
                  <c:v>0.00569222105070115</c:v>
                </c:pt>
                <c:pt idx="22">
                  <c:v>0.00428421480119519</c:v>
                </c:pt>
                <c:pt idx="23">
                  <c:v>0.00304267443931685</c:v>
                </c:pt>
                <c:pt idx="24">
                  <c:v>0.00203908112025634</c:v>
                </c:pt>
                <c:pt idx="25">
                  <c:v>0.00128946123228999</c:v>
                </c:pt>
                <c:pt idx="26">
                  <c:v>0.000769443693111489</c:v>
                </c:pt>
                <c:pt idx="27">
                  <c:v>0.000433251592243383</c:v>
                </c:pt>
                <c:pt idx="28">
                  <c:v>0.00023019625784843</c:v>
                </c:pt>
                <c:pt idx="29">
                  <c:v>0.000115412040572537</c:v>
                </c:pt>
                <c:pt idx="30">
                  <c:v>5.46007676702387E-5</c:v>
                </c:pt>
                <c:pt idx="31">
                  <c:v>2.43748048003776E-5</c:v>
                </c:pt>
                <c:pt idx="32">
                  <c:v>1.02678215610262E-5</c:v>
                </c:pt>
              </c:numCache>
            </c:numRef>
          </c:yVal>
          <c:smooth val="0"/>
          <c:extLst xmlns:c16r2="http://schemas.microsoft.com/office/drawing/2015/06/char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0.0</c:v>
                </c:pt>
                <c:pt idx="1">
                  <c:v>9.636363636363637</c:v>
                </c:pt>
                <c:pt idx="2">
                  <c:v>19.27272727272727</c:v>
                </c:pt>
                <c:pt idx="3">
                  <c:v>28.90909090909091</c:v>
                </c:pt>
                <c:pt idx="4">
                  <c:v>38.54545454545455</c:v>
                </c:pt>
                <c:pt idx="5">
                  <c:v>48.18181818181819</c:v>
                </c:pt>
                <c:pt idx="6">
                  <c:v>57.81818181818182</c:v>
                </c:pt>
                <c:pt idx="7">
                  <c:v>67.45454545454546</c:v>
                </c:pt>
                <c:pt idx="8">
                  <c:v>77.0909090909091</c:v>
                </c:pt>
                <c:pt idx="9">
                  <c:v>86.72727272727274</c:v>
                </c:pt>
                <c:pt idx="10">
                  <c:v>96.36363636363639</c:v>
                </c:pt>
                <c:pt idx="11">
                  <c:v>106.0</c:v>
                </c:pt>
                <c:pt idx="12">
                  <c:v>115.6363636363637</c:v>
                </c:pt>
                <c:pt idx="13">
                  <c:v>125.2727272727273</c:v>
                </c:pt>
                <c:pt idx="14">
                  <c:v>134.9090909090909</c:v>
                </c:pt>
                <c:pt idx="15">
                  <c:v>144.5454545454546</c:v>
                </c:pt>
                <c:pt idx="16">
                  <c:v>154.1818181818182</c:v>
                </c:pt>
                <c:pt idx="17">
                  <c:v>163.8181818181818</c:v>
                </c:pt>
                <c:pt idx="18">
                  <c:v>173.4545454545454</c:v>
                </c:pt>
                <c:pt idx="19">
                  <c:v>183.0909090909091</c:v>
                </c:pt>
                <c:pt idx="20">
                  <c:v>192.7272727272727</c:v>
                </c:pt>
                <c:pt idx="21">
                  <c:v>202.3636363636363</c:v>
                </c:pt>
                <c:pt idx="22">
                  <c:v>211.9999999999999</c:v>
                </c:pt>
                <c:pt idx="23">
                  <c:v>221.6363636363636</c:v>
                </c:pt>
                <c:pt idx="24">
                  <c:v>231.2727272727272</c:v>
                </c:pt>
                <c:pt idx="25">
                  <c:v>240.9090909090908</c:v>
                </c:pt>
                <c:pt idx="26">
                  <c:v>250.5454545454544</c:v>
                </c:pt>
                <c:pt idx="27">
                  <c:v>260.1818181818181</c:v>
                </c:pt>
                <c:pt idx="28">
                  <c:v>269.8181818181817</c:v>
                </c:pt>
                <c:pt idx="29">
                  <c:v>279.4545454545453</c:v>
                </c:pt>
                <c:pt idx="30">
                  <c:v>289.090909090909</c:v>
                </c:pt>
                <c:pt idx="31">
                  <c:v>298.7272727272726</c:v>
                </c:pt>
                <c:pt idx="32">
                  <c:v>308.3636363636362</c:v>
                </c:pt>
              </c:numCache>
            </c:numRef>
          </c:xVal>
          <c:yVal>
            <c:numRef>
              <c:f>'Non-inferiority, Parallel'!$W$15:$W$47</c:f>
              <c:numCache>
                <c:formatCode>General</c:formatCode>
                <c:ptCount val="33"/>
                <c:pt idx="0">
                  <c:v>4.08141021915605E-6</c:v>
                </c:pt>
                <c:pt idx="1">
                  <c:v>1.0267821561026E-5</c:v>
                </c:pt>
                <c:pt idx="2">
                  <c:v>2.43748048003773E-5</c:v>
                </c:pt>
                <c:pt idx="3">
                  <c:v>5.46007676702381E-5</c:v>
                </c:pt>
                <c:pt idx="4">
                  <c:v>0.000115412040572536</c:v>
                </c:pt>
                <c:pt idx="5">
                  <c:v>0.000230196257848428</c:v>
                </c:pt>
                <c:pt idx="6">
                  <c:v>0.000433251592243381</c:v>
                </c:pt>
                <c:pt idx="7">
                  <c:v>0.000769443693111486</c:v>
                </c:pt>
                <c:pt idx="8">
                  <c:v>0.00128946123228998</c:v>
                </c:pt>
                <c:pt idx="9">
                  <c:v>0.00203908112025633</c:v>
                </c:pt>
                <c:pt idx="10">
                  <c:v>0.00304267443931684</c:v>
                </c:pt>
                <c:pt idx="11">
                  <c:v>0.00428421480119519</c:v>
                </c:pt>
                <c:pt idx="12">
                  <c:v>0.00569222105070115</c:v>
                </c:pt>
                <c:pt idx="13">
                  <c:v>0.00713652917246013</c:v>
                </c:pt>
                <c:pt idx="14">
                  <c:v>0.00844281168224929</c:v>
                </c:pt>
                <c:pt idx="15">
                  <c:v>0.00942501235048633</c:v>
                </c:pt>
                <c:pt idx="16">
                  <c:v>0.00992822297185448</c:v>
                </c:pt>
                <c:pt idx="17">
                  <c:v>0.00986860769606902</c:v>
                </c:pt>
                <c:pt idx="18">
                  <c:v>0.00925624873075985</c:v>
                </c:pt>
                <c:pt idx="19">
                  <c:v>0.00819235788497345</c:v>
                </c:pt>
                <c:pt idx="20">
                  <c:v>0.00684191358880449</c:v>
                </c:pt>
                <c:pt idx="21">
                  <c:v>0.00539188998134967</c:v>
                </c:pt>
                <c:pt idx="22">
                  <c:v>0.004009583183548</c:v>
                </c:pt>
                <c:pt idx="23">
                  <c:v>0.00281353422363267</c:v>
                </c:pt>
                <c:pt idx="24">
                  <c:v>0.00186294462207544</c:v>
                </c:pt>
                <c:pt idx="25">
                  <c:v>0.00116397179522558</c:v>
                </c:pt>
                <c:pt idx="26">
                  <c:v>0.000686245859352709</c:v>
                </c:pt>
                <c:pt idx="27">
                  <c:v>0.000381778780025293</c:v>
                </c:pt>
                <c:pt idx="28">
                  <c:v>0.00020041886726228</c:v>
                </c:pt>
                <c:pt idx="29">
                  <c:v>9.92796389822022E-5</c:v>
                </c:pt>
                <c:pt idx="30">
                  <c:v>4.64062573203913E-5</c:v>
                </c:pt>
                <c:pt idx="31">
                  <c:v>2.04685777545067E-5</c:v>
                </c:pt>
                <c:pt idx="32">
                  <c:v>8.51909691422882E-6</c:v>
                </c:pt>
              </c:numCache>
            </c:numRef>
          </c:yVal>
          <c:smooth val="0"/>
          <c:extLst xmlns:c16r2="http://schemas.microsoft.com/office/drawing/2015/06/char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120.0</c:v>
                </c:pt>
                <c:pt idx="1">
                  <c:v>120.0</c:v>
                </c:pt>
              </c:numCache>
            </c:numRef>
          </c:xVal>
          <c:yVal>
            <c:numRef>
              <c:f>'Non-inferiority, Parallel'!$AA$16:$AA$17</c:f>
              <c:numCache>
                <c:formatCode>General</c:formatCode>
                <c:ptCount val="2"/>
                <c:pt idx="0">
                  <c:v>0.0</c:v>
                </c:pt>
                <c:pt idx="1">
                  <c:v>0.00992822297185448</c:v>
                </c:pt>
              </c:numCache>
            </c:numRef>
          </c:yVal>
          <c:smooth val="0"/>
          <c:extLst xmlns:c16r2="http://schemas.microsoft.com/office/drawing/2015/06/char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200.0</c:v>
                </c:pt>
                <c:pt idx="1">
                  <c:v>200.0</c:v>
                </c:pt>
              </c:numCache>
            </c:numRef>
          </c:xVal>
          <c:yVal>
            <c:numRef>
              <c:f>'Non-inferiority, Parallel'!$AA$19:$AA$20</c:f>
              <c:numCache>
                <c:formatCode>General</c:formatCode>
                <c:ptCount val="2"/>
                <c:pt idx="0">
                  <c:v>0.0</c:v>
                </c:pt>
                <c:pt idx="1">
                  <c:v>0.00992822297185448</c:v>
                </c:pt>
              </c:numCache>
            </c:numRef>
          </c:yVal>
          <c:smooth val="0"/>
          <c:extLst xmlns:c16r2="http://schemas.microsoft.com/office/drawing/2015/06/char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xmlns:c16r2="http://schemas.microsoft.com/office/drawing/2015/06/chart">
              <c:ext xmlns:c16="http://schemas.microsoft.com/office/drawing/2014/chart" uri="{C3380CC4-5D6E-409C-BE32-E72D297353CC}">
                <c16:uniqueId val="{00000005-6272-4FF0-8F86-F6199285B9C3}"/>
              </c:ext>
            </c:extLst>
          </c:dPt>
          <c:xVal>
            <c:numRef>
              <c:f>'Non-inferiority, Parallel'!$Z$24:$Z$25</c:f>
              <c:numCache>
                <c:formatCode>General</c:formatCode>
                <c:ptCount val="2"/>
                <c:pt idx="0">
                  <c:v>118.0</c:v>
                </c:pt>
                <c:pt idx="1">
                  <c:v>118.0</c:v>
                </c:pt>
              </c:numCache>
            </c:numRef>
          </c:xVal>
          <c:yVal>
            <c:numRef>
              <c:f>'Non-inferiority, Parallel'!$AA$24:$AA$25</c:f>
              <c:numCache>
                <c:formatCode>General</c:formatCode>
                <c:ptCount val="2"/>
                <c:pt idx="0">
                  <c:v>0.0</c:v>
                </c:pt>
                <c:pt idx="1">
                  <c:v>0.00992822297185448</c:v>
                </c:pt>
              </c:numCache>
            </c:numRef>
          </c:yVal>
          <c:smooth val="0"/>
          <c:extLst xmlns:c16r2="http://schemas.microsoft.com/office/drawing/2015/06/char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198.0</c:v>
                </c:pt>
                <c:pt idx="1">
                  <c:v>198.0</c:v>
                </c:pt>
              </c:numCache>
            </c:numRef>
          </c:xVal>
          <c:yVal>
            <c:numRef>
              <c:f>'Non-inferiority, Parallel'!$AA$27:$AA$28</c:f>
              <c:numCache>
                <c:formatCode>General</c:formatCode>
                <c:ptCount val="2"/>
                <c:pt idx="0">
                  <c:v>0.0</c:v>
                </c:pt>
                <c:pt idx="1">
                  <c:v>0.00992822297185448</c:v>
                </c:pt>
              </c:numCache>
            </c:numRef>
          </c:yVal>
          <c:smooth val="0"/>
          <c:extLst xmlns:c16r2="http://schemas.microsoft.com/office/drawing/2015/06/char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154.859139186911</c:v>
                </c:pt>
                <c:pt idx="1">
                  <c:v>154.859139186911</c:v>
                </c:pt>
              </c:numCache>
            </c:numRef>
          </c:xVal>
          <c:yVal>
            <c:numRef>
              <c:f>'Non-inferiority, Parallel'!$AE$16:$AE$17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165.1408608130891</c:v>
                </c:pt>
                <c:pt idx="1">
                  <c:v>165.1408608130891</c:v>
                </c:pt>
              </c:numCache>
            </c:numRef>
          </c:xVal>
          <c:yVal>
            <c:numRef>
              <c:f>'Non-inferiority, Parallel'!$AE$19:$AE$20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152.859139186911</c:v>
                </c:pt>
                <c:pt idx="1">
                  <c:v>152.859139186911</c:v>
                </c:pt>
              </c:numCache>
            </c:numRef>
          </c:xVal>
          <c:yVal>
            <c:numRef>
              <c:f>'Non-inferiority, Parallel'!$AE$24:$AE$25</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163.1408608130891</c:v>
                </c:pt>
                <c:pt idx="1">
                  <c:v>163.1408608130891</c:v>
                </c:pt>
              </c:numCache>
            </c:numRef>
          </c:xVal>
          <c:yVal>
            <c:numRef>
              <c:f>'Non-inferiority, Parallel'!$AE$27:$AE$28</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148.0</c:v>
                </c:pt>
                <c:pt idx="1">
                  <c:v>148.0</c:v>
                </c:pt>
              </c:numCache>
            </c:numRef>
          </c:xVal>
          <c:yVal>
            <c:numRef>
              <c:f>'Non-inferiority, Parallel'!$AA$32:$AA$33</c:f>
              <c:numCache>
                <c:formatCode>General</c:formatCode>
                <c:ptCount val="2"/>
                <c:pt idx="0">
                  <c:v>0.0</c:v>
                </c:pt>
                <c:pt idx="1">
                  <c:v>0.00992822297185448</c:v>
                </c:pt>
              </c:numCache>
            </c:numRef>
          </c:yVal>
          <c:smooth val="0"/>
          <c:extLst xmlns:c16r2="http://schemas.microsoft.com/office/drawing/2015/06/char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0.0</c:v>
                </c:pt>
                <c:pt idx="1">
                  <c:v>4.787878787878788</c:v>
                </c:pt>
                <c:pt idx="2">
                  <c:v>9.575757575757576</c:v>
                </c:pt>
                <c:pt idx="3">
                  <c:v>14.36363636363636</c:v>
                </c:pt>
                <c:pt idx="4">
                  <c:v>19.15151515151515</c:v>
                </c:pt>
                <c:pt idx="5">
                  <c:v>23.93939393939394</c:v>
                </c:pt>
                <c:pt idx="6">
                  <c:v>28.72727272727273</c:v>
                </c:pt>
                <c:pt idx="7">
                  <c:v>33.51515151515152</c:v>
                </c:pt>
                <c:pt idx="8">
                  <c:v>38.3030303030303</c:v>
                </c:pt>
                <c:pt idx="9">
                  <c:v>43.0909090909091</c:v>
                </c:pt>
                <c:pt idx="10">
                  <c:v>47.87878787878788</c:v>
                </c:pt>
                <c:pt idx="11">
                  <c:v>52.66666666666667</c:v>
                </c:pt>
                <c:pt idx="12">
                  <c:v>57.45454545454546</c:v>
                </c:pt>
                <c:pt idx="13">
                  <c:v>62.24242424242424</c:v>
                </c:pt>
                <c:pt idx="14">
                  <c:v>67.03030303030303</c:v>
                </c:pt>
                <c:pt idx="15">
                  <c:v>71.81818181818181</c:v>
                </c:pt>
                <c:pt idx="16">
                  <c:v>76.60606060606059</c:v>
                </c:pt>
                <c:pt idx="17">
                  <c:v>81.39393939393938</c:v>
                </c:pt>
                <c:pt idx="18">
                  <c:v>86.18181818181815</c:v>
                </c:pt>
                <c:pt idx="19">
                  <c:v>90.96969696969694</c:v>
                </c:pt>
                <c:pt idx="20">
                  <c:v>95.75757575757572</c:v>
                </c:pt>
                <c:pt idx="21">
                  <c:v>100.5454545454545</c:v>
                </c:pt>
                <c:pt idx="22">
                  <c:v>105.3333333333333</c:v>
                </c:pt>
                <c:pt idx="23">
                  <c:v>110.1212121212121</c:v>
                </c:pt>
                <c:pt idx="24">
                  <c:v>114.9090909090908</c:v>
                </c:pt>
                <c:pt idx="25">
                  <c:v>119.6969696969696</c:v>
                </c:pt>
                <c:pt idx="26">
                  <c:v>124.4848484848484</c:v>
                </c:pt>
                <c:pt idx="27">
                  <c:v>129.2727272727272</c:v>
                </c:pt>
                <c:pt idx="28">
                  <c:v>134.060606060606</c:v>
                </c:pt>
                <c:pt idx="29">
                  <c:v>138.8484848484847</c:v>
                </c:pt>
                <c:pt idx="30">
                  <c:v>143.6363636363635</c:v>
                </c:pt>
                <c:pt idx="31">
                  <c:v>148.4242424242423</c:v>
                </c:pt>
                <c:pt idx="32">
                  <c:v>153.2121212121211</c:v>
                </c:pt>
              </c:numCache>
            </c:numRef>
          </c:xVal>
          <c:yVal>
            <c:numRef>
              <c:f>'Non-inferiority, Crossover'!$V$15:$V$47</c:f>
              <c:numCache>
                <c:formatCode>General</c:formatCode>
                <c:ptCount val="33"/>
                <c:pt idx="0">
                  <c:v>6.69151128824427E-6</c:v>
                </c:pt>
                <c:pt idx="1">
                  <c:v>1.69414076106709E-5</c:v>
                </c:pt>
                <c:pt idx="2">
                  <c:v>4.05028503205008E-5</c:v>
                </c:pt>
                <c:pt idx="3">
                  <c:v>9.14392175021517E-5</c:v>
                </c:pt>
                <c:pt idx="4">
                  <c:v>0.00019493518442765</c:v>
                </c:pt>
                <c:pt idx="5">
                  <c:v>0.000392426913151595</c:v>
                </c:pt>
                <c:pt idx="6">
                  <c:v>0.000745998842598691</c:v>
                </c:pt>
                <c:pt idx="7">
                  <c:v>0.00133914727425142</c:v>
                </c:pt>
                <c:pt idx="8">
                  <c:v>0.00227001824711115</c:v>
                </c:pt>
                <c:pt idx="9">
                  <c:v>0.00363363393865433</c:v>
                </c:pt>
                <c:pt idx="10">
                  <c:v>0.00549242097325351</c:v>
                </c:pt>
                <c:pt idx="11">
                  <c:v>0.00783966091927543</c:v>
                </c:pt>
                <c:pt idx="12">
                  <c:v>0.0105667530937089</c:v>
                </c:pt>
                <c:pt idx="13">
                  <c:v>0.0134492064087599</c:v>
                </c:pt>
                <c:pt idx="14">
                  <c:v>0.0161645112050908</c:v>
                </c:pt>
                <c:pt idx="15">
                  <c:v>0.0183459122913886</c:v>
                </c:pt>
                <c:pt idx="16">
                  <c:v>0.0196619626917163</c:v>
                </c:pt>
                <c:pt idx="17">
                  <c:v>0.0198987245842143</c:v>
                </c:pt>
                <c:pt idx="18">
                  <c:v>0.0190166683694605</c:v>
                </c:pt>
                <c:pt idx="19">
                  <c:v>0.0171614683351358</c:v>
                </c:pt>
                <c:pt idx="20">
                  <c:v>0.0146246429629298</c:v>
                </c:pt>
                <c:pt idx="21">
                  <c:v>0.0117686573885515</c:v>
                </c:pt>
                <c:pt idx="22">
                  <c:v>0.00894292082472705</c:v>
                </c:pt>
                <c:pt idx="23">
                  <c:v>0.00641715708296793</c:v>
                </c:pt>
                <c:pt idx="24">
                  <c:v>0.00434827270572237</c:v>
                </c:pt>
                <c:pt idx="25">
                  <c:v>0.00278228551689834</c:v>
                </c:pt>
                <c:pt idx="26">
                  <c:v>0.00168111504636068</c:v>
                </c:pt>
                <c:pt idx="27">
                  <c:v>0.000959188567724575</c:v>
                </c:pt>
                <c:pt idx="28">
                  <c:v>0.000516798650733698</c:v>
                </c:pt>
                <c:pt idx="29">
                  <c:v>0.000262935706417913</c:v>
                </c:pt>
                <c:pt idx="30">
                  <c:v>0.000126324788905198</c:v>
                </c:pt>
                <c:pt idx="31">
                  <c:v>5.73110564323387E-5</c:v>
                </c:pt>
                <c:pt idx="32">
                  <c:v>2.45526891454036E-5</c:v>
                </c:pt>
              </c:numCache>
            </c:numRef>
          </c:yVal>
          <c:smooth val="0"/>
          <c:extLst xmlns:c16r2="http://schemas.microsoft.com/office/drawing/2015/06/char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0.0</c:v>
                </c:pt>
                <c:pt idx="1">
                  <c:v>4.787878787878788</c:v>
                </c:pt>
                <c:pt idx="2">
                  <c:v>9.575757575757576</c:v>
                </c:pt>
                <c:pt idx="3">
                  <c:v>14.36363636363636</c:v>
                </c:pt>
                <c:pt idx="4">
                  <c:v>19.15151515151515</c:v>
                </c:pt>
                <c:pt idx="5">
                  <c:v>23.93939393939394</c:v>
                </c:pt>
                <c:pt idx="6">
                  <c:v>28.72727272727273</c:v>
                </c:pt>
                <c:pt idx="7">
                  <c:v>33.51515151515152</c:v>
                </c:pt>
                <c:pt idx="8">
                  <c:v>38.3030303030303</c:v>
                </c:pt>
                <c:pt idx="9">
                  <c:v>43.0909090909091</c:v>
                </c:pt>
                <c:pt idx="10">
                  <c:v>47.87878787878788</c:v>
                </c:pt>
                <c:pt idx="11">
                  <c:v>52.66666666666667</c:v>
                </c:pt>
                <c:pt idx="12">
                  <c:v>57.45454545454546</c:v>
                </c:pt>
                <c:pt idx="13">
                  <c:v>62.24242424242424</c:v>
                </c:pt>
                <c:pt idx="14">
                  <c:v>67.03030303030303</c:v>
                </c:pt>
                <c:pt idx="15">
                  <c:v>71.81818181818181</c:v>
                </c:pt>
                <c:pt idx="16">
                  <c:v>76.60606060606059</c:v>
                </c:pt>
                <c:pt idx="17">
                  <c:v>81.39393939393938</c:v>
                </c:pt>
                <c:pt idx="18">
                  <c:v>86.18181818181815</c:v>
                </c:pt>
                <c:pt idx="19">
                  <c:v>90.96969696969694</c:v>
                </c:pt>
                <c:pt idx="20">
                  <c:v>95.75757575757572</c:v>
                </c:pt>
                <c:pt idx="21">
                  <c:v>100.5454545454545</c:v>
                </c:pt>
                <c:pt idx="22">
                  <c:v>105.3333333333333</c:v>
                </c:pt>
                <c:pt idx="23">
                  <c:v>110.1212121212121</c:v>
                </c:pt>
                <c:pt idx="24">
                  <c:v>114.9090909090908</c:v>
                </c:pt>
                <c:pt idx="25">
                  <c:v>119.6969696969696</c:v>
                </c:pt>
                <c:pt idx="26">
                  <c:v>124.4848484848484</c:v>
                </c:pt>
                <c:pt idx="27">
                  <c:v>129.2727272727272</c:v>
                </c:pt>
                <c:pt idx="28">
                  <c:v>134.060606060606</c:v>
                </c:pt>
                <c:pt idx="29">
                  <c:v>138.8484848484847</c:v>
                </c:pt>
                <c:pt idx="30">
                  <c:v>143.6363636363635</c:v>
                </c:pt>
                <c:pt idx="31">
                  <c:v>148.4242424242423</c:v>
                </c:pt>
                <c:pt idx="32">
                  <c:v>153.2121212121211</c:v>
                </c:pt>
              </c:numCache>
            </c:numRef>
          </c:xVal>
          <c:yVal>
            <c:numRef>
              <c:f>'Non-inferiority, Crossover'!$W$15:$W$47</c:f>
              <c:numCache>
                <c:formatCode>General</c:formatCode>
                <c:ptCount val="33"/>
                <c:pt idx="0">
                  <c:v>9.93277356963863E-6</c:v>
                </c:pt>
                <c:pt idx="1">
                  <c:v>2.45526891454031E-5</c:v>
                </c:pt>
                <c:pt idx="2">
                  <c:v>5.73110564323377E-5</c:v>
                </c:pt>
                <c:pt idx="3">
                  <c:v>0.000126324788905197</c:v>
                </c:pt>
                <c:pt idx="4">
                  <c:v>0.00026293570641791</c:v>
                </c:pt>
                <c:pt idx="5">
                  <c:v>0.000516798650733692</c:v>
                </c:pt>
                <c:pt idx="6">
                  <c:v>0.000959188567724567</c:v>
                </c:pt>
                <c:pt idx="7">
                  <c:v>0.00168111504636067</c:v>
                </c:pt>
                <c:pt idx="8">
                  <c:v>0.00278228551689832</c:v>
                </c:pt>
                <c:pt idx="9">
                  <c:v>0.00434827270572235</c:v>
                </c:pt>
                <c:pt idx="10">
                  <c:v>0.00641715708296791</c:v>
                </c:pt>
                <c:pt idx="11">
                  <c:v>0.00894292082472703</c:v>
                </c:pt>
                <c:pt idx="12">
                  <c:v>0.0117686573885515</c:v>
                </c:pt>
                <c:pt idx="13">
                  <c:v>0.0146246429629298</c:v>
                </c:pt>
                <c:pt idx="14">
                  <c:v>0.0171614683351358</c:v>
                </c:pt>
                <c:pt idx="15">
                  <c:v>0.0190166683694605</c:v>
                </c:pt>
                <c:pt idx="16">
                  <c:v>0.0198987245842143</c:v>
                </c:pt>
                <c:pt idx="17">
                  <c:v>0.0196619626917163</c:v>
                </c:pt>
                <c:pt idx="18">
                  <c:v>0.0183459122913886</c:v>
                </c:pt>
                <c:pt idx="19">
                  <c:v>0.0161645112050908</c:v>
                </c:pt>
                <c:pt idx="20">
                  <c:v>0.0134492064087599</c:v>
                </c:pt>
                <c:pt idx="21">
                  <c:v>0.0105667530937089</c:v>
                </c:pt>
                <c:pt idx="22">
                  <c:v>0.00783966091927545</c:v>
                </c:pt>
                <c:pt idx="23">
                  <c:v>0.00549242097325353</c:v>
                </c:pt>
                <c:pt idx="24">
                  <c:v>0.00363363393865435</c:v>
                </c:pt>
                <c:pt idx="25">
                  <c:v>0.00227001824711117</c:v>
                </c:pt>
                <c:pt idx="26">
                  <c:v>0.00133914727425143</c:v>
                </c:pt>
                <c:pt idx="27">
                  <c:v>0.000745998842598698</c:v>
                </c:pt>
                <c:pt idx="28">
                  <c:v>0.0003924269131516</c:v>
                </c:pt>
                <c:pt idx="29">
                  <c:v>0.000194935184427653</c:v>
                </c:pt>
                <c:pt idx="30">
                  <c:v>9.14392175021532E-5</c:v>
                </c:pt>
                <c:pt idx="31">
                  <c:v>4.05028503205015E-5</c:v>
                </c:pt>
                <c:pt idx="32">
                  <c:v>1.69414076106713E-5</c:v>
                </c:pt>
              </c:numCache>
            </c:numRef>
          </c:yVal>
          <c:smooth val="0"/>
          <c:extLst xmlns:c16r2="http://schemas.microsoft.com/office/drawing/2015/06/char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60.0</c:v>
                </c:pt>
                <c:pt idx="1">
                  <c:v>60.0</c:v>
                </c:pt>
              </c:numCache>
            </c:numRef>
          </c:xVal>
          <c:yVal>
            <c:numRef>
              <c:f>'Non-inferiority, Crossover'!$AA$16:$AA$17</c:f>
              <c:numCache>
                <c:formatCode>General</c:formatCode>
                <c:ptCount val="2"/>
                <c:pt idx="0">
                  <c:v>0.0</c:v>
                </c:pt>
                <c:pt idx="1">
                  <c:v>0.0198987245842143</c:v>
                </c:pt>
              </c:numCache>
            </c:numRef>
          </c:yVal>
          <c:smooth val="0"/>
          <c:extLst xmlns:c16r2="http://schemas.microsoft.com/office/drawing/2015/06/char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100.0</c:v>
                </c:pt>
                <c:pt idx="1">
                  <c:v>100.0</c:v>
                </c:pt>
              </c:numCache>
            </c:numRef>
          </c:xVal>
          <c:yVal>
            <c:numRef>
              <c:f>'Non-inferiority, Crossover'!$AA$19:$AA$20</c:f>
              <c:numCache>
                <c:formatCode>General</c:formatCode>
                <c:ptCount val="2"/>
                <c:pt idx="0">
                  <c:v>0.0</c:v>
                </c:pt>
                <c:pt idx="1">
                  <c:v>0.0198987245842143</c:v>
                </c:pt>
              </c:numCache>
            </c:numRef>
          </c:yVal>
          <c:smooth val="0"/>
          <c:extLst xmlns:c16r2="http://schemas.microsoft.com/office/drawing/2015/06/char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xmlns:c16r2="http://schemas.microsoft.com/office/drawing/2015/06/chart">
              <c:ext xmlns:c16="http://schemas.microsoft.com/office/drawing/2014/chart" uri="{C3380CC4-5D6E-409C-BE32-E72D297353CC}">
                <c16:uniqueId val="{00000005-9691-48AB-9DA8-8576BB330780}"/>
              </c:ext>
            </c:extLst>
          </c:dPt>
          <c:xVal>
            <c:numRef>
              <c:f>'Non-inferiority, Crossover'!$Z$24:$Z$25</c:f>
              <c:numCache>
                <c:formatCode>General</c:formatCode>
                <c:ptCount val="2"/>
                <c:pt idx="0">
                  <c:v>58.0</c:v>
                </c:pt>
                <c:pt idx="1">
                  <c:v>58.0</c:v>
                </c:pt>
              </c:numCache>
            </c:numRef>
          </c:xVal>
          <c:yVal>
            <c:numRef>
              <c:f>'Non-inferiority, Crossover'!$AA$24:$AA$25</c:f>
              <c:numCache>
                <c:formatCode>General</c:formatCode>
                <c:ptCount val="2"/>
                <c:pt idx="0">
                  <c:v>0.0</c:v>
                </c:pt>
                <c:pt idx="1">
                  <c:v>0.0198987245842143</c:v>
                </c:pt>
              </c:numCache>
            </c:numRef>
          </c:yVal>
          <c:smooth val="0"/>
          <c:extLst xmlns:c16r2="http://schemas.microsoft.com/office/drawing/2015/06/char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98.0</c:v>
                </c:pt>
                <c:pt idx="1">
                  <c:v>98.0</c:v>
                </c:pt>
              </c:numCache>
            </c:numRef>
          </c:xVal>
          <c:yVal>
            <c:numRef>
              <c:f>'Non-inferiority, Crossover'!$AA$27:$AA$28</c:f>
              <c:numCache>
                <c:formatCode>General</c:formatCode>
                <c:ptCount val="2"/>
                <c:pt idx="0">
                  <c:v>0.0</c:v>
                </c:pt>
                <c:pt idx="1">
                  <c:v>0.0198987245842143</c:v>
                </c:pt>
              </c:numCache>
            </c:numRef>
          </c:yVal>
          <c:smooth val="0"/>
          <c:extLst xmlns:c16r2="http://schemas.microsoft.com/office/drawing/2015/06/char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74.87597590058866</c:v>
                </c:pt>
                <c:pt idx="1">
                  <c:v>74.87597590058866</c:v>
                </c:pt>
              </c:numCache>
            </c:numRef>
          </c:xVal>
          <c:yVal>
            <c:numRef>
              <c:f>'Non-inferiority, Crossover'!$AE$16:$AE$17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c:v>
                </c:pt>
                <c:pt idx="1">
                  <c:v>85.12402409941134</c:v>
                </c:pt>
              </c:numCache>
            </c:numRef>
          </c:xVal>
          <c:yVal>
            <c:numRef>
              <c:f>'Non-inferiority, Crossover'!$AE$19:$AE$20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72.87597590058866</c:v>
                </c:pt>
                <c:pt idx="1">
                  <c:v>72.87597590058866</c:v>
                </c:pt>
              </c:numCache>
            </c:numRef>
          </c:xVal>
          <c:yVal>
            <c:numRef>
              <c:f>'Non-inferiority, Crossover'!$AE$24:$AE$25</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c:v>
                </c:pt>
                <c:pt idx="1">
                  <c:v>83.12402409941134</c:v>
                </c:pt>
              </c:numCache>
            </c:numRef>
          </c:xVal>
          <c:yVal>
            <c:numRef>
              <c:f>'Non-inferiority, Crossover'!$AE$27:$AE$28</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68.0</c:v>
                </c:pt>
                <c:pt idx="1">
                  <c:v>68.0</c:v>
                </c:pt>
              </c:numCache>
            </c:numRef>
          </c:xVal>
          <c:yVal>
            <c:numRef>
              <c:f>'Non-inferiority, Crossover'!$AA$32:$AA$33</c:f>
              <c:numCache>
                <c:formatCode>General</c:formatCode>
                <c:ptCount val="2"/>
                <c:pt idx="0">
                  <c:v>0.0</c:v>
                </c:pt>
                <c:pt idx="1">
                  <c:v>0.0198987245842143</c:v>
                </c:pt>
              </c:numCache>
            </c:numRef>
          </c:yVal>
          <c:smooth val="0"/>
          <c:extLst xmlns:c16r2="http://schemas.microsoft.com/office/drawing/2015/06/char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0.0</c:v>
                </c:pt>
                <c:pt idx="1">
                  <c:v>0.115557146584081</c:v>
                </c:pt>
                <c:pt idx="2">
                  <c:v>0.231114293168162</c:v>
                </c:pt>
                <c:pt idx="3">
                  <c:v>0.346671439752243</c:v>
                </c:pt>
                <c:pt idx="4">
                  <c:v>0.462228586336324</c:v>
                </c:pt>
                <c:pt idx="5">
                  <c:v>0.577785732920405</c:v>
                </c:pt>
                <c:pt idx="6">
                  <c:v>0.693342879504486</c:v>
                </c:pt>
                <c:pt idx="7">
                  <c:v>0.808900026088567</c:v>
                </c:pt>
                <c:pt idx="8">
                  <c:v>0.924457172672648</c:v>
                </c:pt>
                <c:pt idx="9">
                  <c:v>1.04001431925673</c:v>
                </c:pt>
                <c:pt idx="10">
                  <c:v>1.15557146584081</c:v>
                </c:pt>
                <c:pt idx="11">
                  <c:v>1.271128612424891</c:v>
                </c:pt>
                <c:pt idx="12">
                  <c:v>1.386685759008972</c:v>
                </c:pt>
                <c:pt idx="13">
                  <c:v>1.502242905593053</c:v>
                </c:pt>
                <c:pt idx="14">
                  <c:v>1.617800052177134</c:v>
                </c:pt>
                <c:pt idx="15">
                  <c:v>1.733357198761215</c:v>
                </c:pt>
                <c:pt idx="16">
                  <c:v>1.848914345345296</c:v>
                </c:pt>
                <c:pt idx="17">
                  <c:v>1.964471491929377</c:v>
                </c:pt>
                <c:pt idx="18">
                  <c:v>2.080028638513458</c:v>
                </c:pt>
                <c:pt idx="19">
                  <c:v>2.19558578509754</c:v>
                </c:pt>
                <c:pt idx="20">
                  <c:v>2.31114293168162</c:v>
                </c:pt>
                <c:pt idx="21">
                  <c:v>2.426700078265701</c:v>
                </c:pt>
                <c:pt idx="22">
                  <c:v>2.542257224849782</c:v>
                </c:pt>
                <c:pt idx="23">
                  <c:v>2.657814371433862</c:v>
                </c:pt>
                <c:pt idx="24">
                  <c:v>2.773371518017943</c:v>
                </c:pt>
                <c:pt idx="25">
                  <c:v>2.888928664602024</c:v>
                </c:pt>
                <c:pt idx="26">
                  <c:v>3.004485811186105</c:v>
                </c:pt>
                <c:pt idx="27">
                  <c:v>3.120042957770186</c:v>
                </c:pt>
                <c:pt idx="28">
                  <c:v>3.235600104354266</c:v>
                </c:pt>
                <c:pt idx="29">
                  <c:v>3.351157250938347</c:v>
                </c:pt>
                <c:pt idx="30">
                  <c:v>3.466714397522428</c:v>
                </c:pt>
                <c:pt idx="31">
                  <c:v>3.582271544106509</c:v>
                </c:pt>
                <c:pt idx="32">
                  <c:v>3.697828690690589</c:v>
                </c:pt>
              </c:numCache>
            </c:numRef>
          </c:xVal>
          <c:yVal>
            <c:numRef>
              <c:f>'Bioequivalence, Parallel'!$V$15:$V$47</c:f>
              <c:numCache>
                <c:formatCode>General</c:formatCode>
                <c:ptCount val="33"/>
                <c:pt idx="0">
                  <c:v>0.228311356736277</c:v>
                </c:pt>
                <c:pt idx="1">
                  <c:v>0.270652565598201</c:v>
                </c:pt>
                <c:pt idx="2">
                  <c:v>0.314221086732277</c:v>
                </c:pt>
                <c:pt idx="3">
                  <c:v>0.35727041047792</c:v>
                </c:pt>
                <c:pt idx="4">
                  <c:v>0.397829804387585</c:v>
                </c:pt>
                <c:pt idx="5">
                  <c:v>0.433846529920655</c:v>
                </c:pt>
                <c:pt idx="6">
                  <c:v>0.463354606172534</c:v>
                </c:pt>
                <c:pt idx="7">
                  <c:v>0.484651304258123</c:v>
                </c:pt>
                <c:pt idx="8">
                  <c:v>0.496459506900188</c:v>
                </c:pt>
                <c:pt idx="9">
                  <c:v>0.49805444680288</c:v>
                </c:pt>
                <c:pt idx="10">
                  <c:v>0.489337340166035</c:v>
                </c:pt>
                <c:pt idx="11">
                  <c:v>0.470845513592672</c:v>
                </c:pt>
                <c:pt idx="12">
                  <c:v>0.443697580914113</c:v>
                </c:pt>
                <c:pt idx="13">
                  <c:v>0.409481447460864</c:v>
                </c:pt>
                <c:pt idx="14">
                  <c:v>0.37010073134879</c:v>
                </c:pt>
                <c:pt idx="15">
                  <c:v>0.32760023258826</c:v>
                </c:pt>
                <c:pt idx="16">
                  <c:v>0.283992587185981</c:v>
                </c:pt>
                <c:pt idx="17">
                  <c:v>0.241106185140698</c:v>
                </c:pt>
                <c:pt idx="18">
                  <c:v>0.200469470628205</c:v>
                </c:pt>
                <c:pt idx="19">
                  <c:v>0.163240035359562</c:v>
                </c:pt>
                <c:pt idx="20">
                  <c:v>0.130179818414693</c:v>
                </c:pt>
                <c:pt idx="21">
                  <c:v>0.101671489783533</c:v>
                </c:pt>
                <c:pt idx="22">
                  <c:v>0.0777666261439327</c:v>
                </c:pt>
                <c:pt idx="23">
                  <c:v>0.05825401628546</c:v>
                </c:pt>
                <c:pt idx="24">
                  <c:v>0.0427363111462413</c:v>
                </c:pt>
                <c:pt idx="25">
                  <c:v>0.0307048328108189</c:v>
                </c:pt>
                <c:pt idx="26">
                  <c:v>0.0216050355844693</c:v>
                </c:pt>
                <c:pt idx="27">
                  <c:v>0.0148881857839895</c:v>
                </c:pt>
                <c:pt idx="28">
                  <c:v>0.0100477106000974</c:v>
                </c:pt>
                <c:pt idx="29">
                  <c:v>0.00664096208312366</c:v>
                </c:pt>
                <c:pt idx="30">
                  <c:v>0.00429866328499364</c:v>
                </c:pt>
                <c:pt idx="31">
                  <c:v>0.00272504952900197</c:v>
                </c:pt>
                <c:pt idx="32">
                  <c:v>0.00169181907360305</c:v>
                </c:pt>
              </c:numCache>
            </c:numRef>
          </c:yVal>
          <c:smooth val="0"/>
          <c:extLst xmlns:c16r2="http://schemas.microsoft.com/office/drawing/2015/06/char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0.296653540681332</c:v>
                </c:pt>
                <c:pt idx="1">
                  <c:v>0.296653540681332</c:v>
                </c:pt>
              </c:numCache>
            </c:numRef>
          </c:xVal>
          <c:yVal>
            <c:numRef>
              <c:f>'Bioequivalence, Parallel'!$AA$16:$AA$17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c:v>
                </c:pt>
                <c:pt idx="1">
                  <c:v>1.703346459318668</c:v>
                </c:pt>
              </c:numCache>
            </c:numRef>
          </c:xVal>
          <c:yVal>
            <c:numRef>
              <c:f>'Bioequivalence, Parallel'!$AA$19:$AA$20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0.920940542797201</c:v>
                </c:pt>
                <c:pt idx="1">
                  <c:v>0.920940542797201</c:v>
                </c:pt>
              </c:numCache>
            </c:numRef>
          </c:xVal>
          <c:yVal>
            <c:numRef>
              <c:f>'Bioequivalence, Parallel'!$AE$16:$AE$17</c:f>
              <c:numCache>
                <c:formatCode>General</c:formatCode>
                <c:ptCount val="2"/>
                <c:pt idx="0">
                  <c:v>0.0</c:v>
                </c:pt>
                <c:pt idx="1">
                  <c:v>0.49805444680288</c:v>
                </c:pt>
              </c:numCache>
            </c:numRef>
          </c:yVal>
          <c:smooth val="0"/>
          <c:extLst xmlns:c16r2="http://schemas.microsoft.com/office/drawing/2015/06/char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1.079059457202799</c:v>
                </c:pt>
                <c:pt idx="1">
                  <c:v>1.079059457202799</c:v>
                </c:pt>
              </c:numCache>
            </c:numRef>
          </c:xVal>
          <c:yVal>
            <c:numRef>
              <c:f>'Bioequivalence, Parallel'!$AE$19:$AE$20</c:f>
              <c:numCache>
                <c:formatCode>General</c:formatCode>
                <c:ptCount val="2"/>
                <c:pt idx="0">
                  <c:v>0.0</c:v>
                </c:pt>
                <c:pt idx="1">
                  <c:v>0.49805444680288</c:v>
                </c:pt>
              </c:numCache>
            </c:numRef>
          </c:yVal>
          <c:smooth val="0"/>
          <c:extLst xmlns:c16r2="http://schemas.microsoft.com/office/drawing/2015/06/char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0.0</c:v>
                </c:pt>
                <c:pt idx="1">
                  <c:v>0.49805444680288</c:v>
                </c:pt>
              </c:numCache>
            </c:numRef>
          </c:yVal>
          <c:smooth val="0"/>
          <c:extLst xmlns:c16r2="http://schemas.microsoft.com/office/drawing/2015/06/char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0.0</c:v>
                </c:pt>
                <c:pt idx="1">
                  <c:v>0.49805444680288</c:v>
                </c:pt>
              </c:numCache>
            </c:numRef>
          </c:yVal>
          <c:smooth val="0"/>
          <c:extLst xmlns:c16r2="http://schemas.microsoft.com/office/drawing/2015/06/char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0.0</c:v>
                </c:pt>
                <c:pt idx="1">
                  <c:v>0.058632809341726</c:v>
                </c:pt>
                <c:pt idx="2">
                  <c:v>0.117265618683452</c:v>
                </c:pt>
                <c:pt idx="3">
                  <c:v>0.175898428025178</c:v>
                </c:pt>
                <c:pt idx="4">
                  <c:v>0.234531237366904</c:v>
                </c:pt>
                <c:pt idx="5">
                  <c:v>0.29316404670863</c:v>
                </c:pt>
                <c:pt idx="6">
                  <c:v>0.351796856050356</c:v>
                </c:pt>
                <c:pt idx="7">
                  <c:v>0.410429665392082</c:v>
                </c:pt>
                <c:pt idx="8">
                  <c:v>0.469062474733808</c:v>
                </c:pt>
                <c:pt idx="9">
                  <c:v>0.527695284075534</c:v>
                </c:pt>
                <c:pt idx="10">
                  <c:v>0.58632809341726</c:v>
                </c:pt>
                <c:pt idx="11">
                  <c:v>0.644960902758986</c:v>
                </c:pt>
                <c:pt idx="12">
                  <c:v>0.703593712100712</c:v>
                </c:pt>
                <c:pt idx="13">
                  <c:v>0.762226521442438</c:v>
                </c:pt>
                <c:pt idx="14">
                  <c:v>0.820859330784164</c:v>
                </c:pt>
                <c:pt idx="15">
                  <c:v>0.87949214012589</c:v>
                </c:pt>
                <c:pt idx="16">
                  <c:v>0.938124949467616</c:v>
                </c:pt>
                <c:pt idx="17">
                  <c:v>0.996757758809342</c:v>
                </c:pt>
                <c:pt idx="18">
                  <c:v>1.055390568151068</c:v>
                </c:pt>
                <c:pt idx="19">
                  <c:v>1.114023377492794</c:v>
                </c:pt>
                <c:pt idx="20">
                  <c:v>1.17265618683452</c:v>
                </c:pt>
                <c:pt idx="21">
                  <c:v>1.231288996176247</c:v>
                </c:pt>
                <c:pt idx="22">
                  <c:v>1.289921805517973</c:v>
                </c:pt>
                <c:pt idx="23">
                  <c:v>1.348554614859699</c:v>
                </c:pt>
                <c:pt idx="24">
                  <c:v>1.407187424201425</c:v>
                </c:pt>
                <c:pt idx="25">
                  <c:v>1.465820233543151</c:v>
                </c:pt>
                <c:pt idx="26">
                  <c:v>1.524453042884877</c:v>
                </c:pt>
                <c:pt idx="27">
                  <c:v>1.583085852226603</c:v>
                </c:pt>
                <c:pt idx="28">
                  <c:v>1.64171866156833</c:v>
                </c:pt>
                <c:pt idx="29">
                  <c:v>1.700351470910055</c:v>
                </c:pt>
                <c:pt idx="30">
                  <c:v>1.758984280251781</c:v>
                </c:pt>
                <c:pt idx="31">
                  <c:v>1.817617089593507</c:v>
                </c:pt>
                <c:pt idx="32">
                  <c:v>1.876249898935234</c:v>
                </c:pt>
              </c:numCache>
            </c:numRef>
          </c:xVal>
          <c:yVal>
            <c:numRef>
              <c:f>'Bioequivalence, Crossover'!$V$15:$V$47</c:f>
              <c:numCache>
                <c:formatCode>General</c:formatCode>
                <c:ptCount val="33"/>
                <c:pt idx="0">
                  <c:v>0.00116778770316584</c:v>
                </c:pt>
                <c:pt idx="1">
                  <c:v>0.002769944705928</c:v>
                </c:pt>
                <c:pt idx="2">
                  <c:v>0.00621856211176067</c:v>
                </c:pt>
                <c:pt idx="3">
                  <c:v>0.0132135809037388</c:v>
                </c:pt>
                <c:pt idx="4">
                  <c:v>0.0265743563676584</c:v>
                </c:pt>
                <c:pt idx="5">
                  <c:v>0.0505844061836432</c:v>
                </c:pt>
                <c:pt idx="6">
                  <c:v>0.0911343777114338</c:v>
                </c:pt>
                <c:pt idx="7">
                  <c:v>0.155403030493124</c:v>
                </c:pt>
                <c:pt idx="8">
                  <c:v>0.250812056864081</c:v>
                </c:pt>
                <c:pt idx="9">
                  <c:v>0.383132515250854</c:v>
                </c:pt>
                <c:pt idx="10">
                  <c:v>0.553938163228956</c:v>
                </c:pt>
                <c:pt idx="11">
                  <c:v>0.758027981699944</c:v>
                </c:pt>
                <c:pt idx="12">
                  <c:v>0.981795106272264</c:v>
                </c:pt>
                <c:pt idx="13">
                  <c:v>1.203561158221602</c:v>
                </c:pt>
                <c:pt idx="14">
                  <c:v>1.396455622655516</c:v>
                </c:pt>
                <c:pt idx="15">
                  <c:v>1.53354946677058</c:v>
                </c:pt>
                <c:pt idx="16">
                  <c:v>1.593969894320262</c:v>
                </c:pt>
                <c:pt idx="17">
                  <c:v>1.568101299076343</c:v>
                </c:pt>
                <c:pt idx="18">
                  <c:v>1.460090548143615</c:v>
                </c:pt>
                <c:pt idx="19">
                  <c:v>1.286758777532451</c:v>
                </c:pt>
                <c:pt idx="20">
                  <c:v>1.073312442972507</c:v>
                </c:pt>
                <c:pt idx="21">
                  <c:v>0.847357863020172</c:v>
                </c:pt>
                <c:pt idx="22">
                  <c:v>0.633168409146895</c:v>
                </c:pt>
                <c:pt idx="23">
                  <c:v>0.447799173597057</c:v>
                </c:pt>
                <c:pt idx="24">
                  <c:v>0.299749875965353</c:v>
                </c:pt>
                <c:pt idx="25">
                  <c:v>0.189909377952925</c:v>
                </c:pt>
                <c:pt idx="26">
                  <c:v>0.113879482604473</c:v>
                </c:pt>
                <c:pt idx="27">
                  <c:v>0.0646332856986478</c:v>
                </c:pt>
                <c:pt idx="28">
                  <c:v>0.0347199153878158</c:v>
                </c:pt>
                <c:pt idx="29">
                  <c:v>0.0176527656953185</c:v>
                </c:pt>
                <c:pt idx="30">
                  <c:v>0.00849490507924811</c:v>
                </c:pt>
                <c:pt idx="31">
                  <c:v>0.00386915367176667</c:v>
                </c:pt>
                <c:pt idx="32">
                  <c:v>0.00166795796816483</c:v>
                </c:pt>
              </c:numCache>
            </c:numRef>
          </c:yVal>
          <c:smooth val="0"/>
          <c:extLst xmlns:c16r2="http://schemas.microsoft.com/office/drawing/2015/06/char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c:v>
                </c:pt>
                <c:pt idx="1">
                  <c:v>0.70377932293076</c:v>
                </c:pt>
              </c:numCache>
            </c:numRef>
          </c:xVal>
          <c:yVal>
            <c:numRef>
              <c:f>'Bioequivalence, Crossover'!$AA$16:$AA$17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1.19622067706924</c:v>
                </c:pt>
                <c:pt idx="1">
                  <c:v>1.19622067706924</c:v>
                </c:pt>
              </c:numCache>
            </c:numRef>
          </c:xVal>
          <c:yVal>
            <c:numRef>
              <c:f>'Bioequivalence, Crossover'!$AA$19:$AA$20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0.910869529833339</c:v>
                </c:pt>
                <c:pt idx="1">
                  <c:v>0.910869529833339</c:v>
                </c:pt>
              </c:numCache>
            </c:numRef>
          </c:xVal>
          <c:yVal>
            <c:numRef>
              <c:f>'Bioequivalence, Crossover'!$AE$16:$AE$17</c:f>
              <c:numCache>
                <c:formatCode>General</c:formatCode>
                <c:ptCount val="2"/>
                <c:pt idx="0">
                  <c:v>0.0</c:v>
                </c:pt>
                <c:pt idx="1">
                  <c:v>1.593969894320262</c:v>
                </c:pt>
              </c:numCache>
            </c:numRef>
          </c:yVal>
          <c:smooth val="0"/>
          <c:extLst xmlns:c16r2="http://schemas.microsoft.com/office/drawing/2015/06/char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c:v>
                </c:pt>
                <c:pt idx="1">
                  <c:v>0.989130470166661</c:v>
                </c:pt>
              </c:numCache>
            </c:numRef>
          </c:xVal>
          <c:yVal>
            <c:numRef>
              <c:f>'Bioequivalence, Crossover'!$AE$19:$AE$20</c:f>
              <c:numCache>
                <c:formatCode>General</c:formatCode>
                <c:ptCount val="2"/>
                <c:pt idx="0">
                  <c:v>0.0</c:v>
                </c:pt>
                <c:pt idx="1">
                  <c:v>1.593969894320262</c:v>
                </c:pt>
              </c:numCache>
            </c:numRef>
          </c:yVal>
          <c:smooth val="0"/>
          <c:extLst xmlns:c16r2="http://schemas.microsoft.com/office/drawing/2015/06/char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0.0</c:v>
                </c:pt>
                <c:pt idx="1">
                  <c:v>1.593969894320262</c:v>
                </c:pt>
              </c:numCache>
            </c:numRef>
          </c:yVal>
          <c:smooth val="0"/>
          <c:extLst xmlns:c16r2="http://schemas.microsoft.com/office/drawing/2015/06/char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0.0</c:v>
                </c:pt>
                <c:pt idx="1">
                  <c:v>1.593969894320262</c:v>
                </c:pt>
              </c:numCache>
            </c:numRef>
          </c:yVal>
          <c:smooth val="0"/>
          <c:extLst xmlns:c16r2="http://schemas.microsoft.com/office/drawing/2015/06/char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0.0514005540974045"/>
          <c:w val="0.849233158355206"/>
          <c:h val="0.832619568387285"/>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0.0</c:v>
                </c:pt>
                <c:pt idx="1">
                  <c:v>0.0628558035404272</c:v>
                </c:pt>
                <c:pt idx="2">
                  <c:v>0.125711607080854</c:v>
                </c:pt>
                <c:pt idx="3">
                  <c:v>0.188567410621281</c:v>
                </c:pt>
                <c:pt idx="4">
                  <c:v>0.251423214161709</c:v>
                </c:pt>
                <c:pt idx="5">
                  <c:v>0.314279017702136</c:v>
                </c:pt>
                <c:pt idx="6">
                  <c:v>0.377134821242563</c:v>
                </c:pt>
                <c:pt idx="7">
                  <c:v>0.43999062478299</c:v>
                </c:pt>
                <c:pt idx="8">
                  <c:v>0.502846428323417</c:v>
                </c:pt>
                <c:pt idx="9">
                  <c:v>0.565702231863845</c:v>
                </c:pt>
                <c:pt idx="10">
                  <c:v>0.628558035404272</c:v>
                </c:pt>
                <c:pt idx="11">
                  <c:v>0.691413838944699</c:v>
                </c:pt>
                <c:pt idx="12">
                  <c:v>0.754269642485126</c:v>
                </c:pt>
                <c:pt idx="13">
                  <c:v>0.817125446025553</c:v>
                </c:pt>
                <c:pt idx="14">
                  <c:v>0.879981249565981</c:v>
                </c:pt>
                <c:pt idx="15">
                  <c:v>0.942837053106408</c:v>
                </c:pt>
                <c:pt idx="16">
                  <c:v>1.005692856646835</c:v>
                </c:pt>
                <c:pt idx="17">
                  <c:v>1.068548660187262</c:v>
                </c:pt>
                <c:pt idx="18">
                  <c:v>1.131404463727689</c:v>
                </c:pt>
                <c:pt idx="19">
                  <c:v>1.194260267268116</c:v>
                </c:pt>
                <c:pt idx="20">
                  <c:v>1.257116070808544</c:v>
                </c:pt>
                <c:pt idx="21">
                  <c:v>1.319971874348971</c:v>
                </c:pt>
                <c:pt idx="22">
                  <c:v>1.382827677889398</c:v>
                </c:pt>
                <c:pt idx="23">
                  <c:v>1.445683481429825</c:v>
                </c:pt>
                <c:pt idx="24">
                  <c:v>1.508539284970252</c:v>
                </c:pt>
                <c:pt idx="25">
                  <c:v>1.57139508851068</c:v>
                </c:pt>
                <c:pt idx="26">
                  <c:v>1.634250892051107</c:v>
                </c:pt>
                <c:pt idx="27">
                  <c:v>1.697106695591534</c:v>
                </c:pt>
                <c:pt idx="28">
                  <c:v>1.759962499131961</c:v>
                </c:pt>
                <c:pt idx="29">
                  <c:v>1.822818302672388</c:v>
                </c:pt>
                <c:pt idx="30">
                  <c:v>1.885674106212815</c:v>
                </c:pt>
                <c:pt idx="31">
                  <c:v>1.948529909753243</c:v>
                </c:pt>
                <c:pt idx="32">
                  <c:v>2.01138571329367</c:v>
                </c:pt>
              </c:numCache>
            </c:numRef>
          </c:xVal>
          <c:yVal>
            <c:numRef>
              <c:f>'Bioequivalence, Replicate'!$V$15:$V$47</c:f>
              <c:numCache>
                <c:formatCode>General</c:formatCode>
                <c:ptCount val="33"/>
                <c:pt idx="0">
                  <c:v>0.0147728280397934</c:v>
                </c:pt>
                <c:pt idx="1">
                  <c:v>0.0270963330660615</c:v>
                </c:pt>
                <c:pt idx="2">
                  <c:v>0.0475655570979618</c:v>
                </c:pt>
                <c:pt idx="3">
                  <c:v>0.0799116024508338</c:v>
                </c:pt>
                <c:pt idx="4">
                  <c:v>0.128487913794129</c:v>
                </c:pt>
                <c:pt idx="5">
                  <c:v>0.197719681446601</c:v>
                </c:pt>
                <c:pt idx="6">
                  <c:v>0.29118748986943</c:v>
                </c:pt>
                <c:pt idx="7">
                  <c:v>0.410422072901665</c:v>
                </c:pt>
                <c:pt idx="8">
                  <c:v>0.553635452290583</c:v>
                </c:pt>
                <c:pt idx="9">
                  <c:v>0.714746869486679</c:v>
                </c:pt>
                <c:pt idx="10">
                  <c:v>0.883112063569701</c:v>
                </c:pt>
                <c:pt idx="11">
                  <c:v>1.044274225876861</c:v>
                </c:pt>
                <c:pt idx="12">
                  <c:v>1.181812249506596</c:v>
                </c:pt>
                <c:pt idx="13">
                  <c:v>1.280022493194533</c:v>
                </c:pt>
                <c:pt idx="14">
                  <c:v>1.326850223106118</c:v>
                </c:pt>
                <c:pt idx="15">
                  <c:v>1.316319722724967</c:v>
                </c:pt>
                <c:pt idx="16">
                  <c:v>1.249787168253646</c:v>
                </c:pt>
                <c:pt idx="17">
                  <c:v>1.135653700890985</c:v>
                </c:pt>
                <c:pt idx="18">
                  <c:v>0.987622478255266</c:v>
                </c:pt>
                <c:pt idx="19">
                  <c:v>0.821998826439641</c:v>
                </c:pt>
                <c:pt idx="20">
                  <c:v>0.654766747188049</c:v>
                </c:pt>
                <c:pt idx="21">
                  <c:v>0.499157061507213</c:v>
                </c:pt>
                <c:pt idx="22">
                  <c:v>0.364185801271502</c:v>
                </c:pt>
                <c:pt idx="23">
                  <c:v>0.254298609938098</c:v>
                </c:pt>
                <c:pt idx="24">
                  <c:v>0.169941774582163</c:v>
                </c:pt>
                <c:pt idx="25">
                  <c:v>0.108690477813661</c:v>
                </c:pt>
                <c:pt idx="26">
                  <c:v>0.0665300780859678</c:v>
                </c:pt>
                <c:pt idx="27">
                  <c:v>0.038974428408072</c:v>
                </c:pt>
                <c:pt idx="28">
                  <c:v>0.0218512689425579</c:v>
                </c:pt>
                <c:pt idx="29">
                  <c:v>0.0117248894397408</c:v>
                </c:pt>
                <c:pt idx="30">
                  <c:v>0.00602110272025222</c:v>
                </c:pt>
                <c:pt idx="31">
                  <c:v>0.00295922851194665</c:v>
                </c:pt>
                <c:pt idx="32">
                  <c:v>0.00139192602614505</c:v>
                </c:pt>
              </c:numCache>
            </c:numRef>
          </c:yVal>
          <c:smooth val="0"/>
          <c:extLst xmlns:c16r2="http://schemas.microsoft.com/office/drawing/2015/06/char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0.606439620791476</c:v>
                </c:pt>
                <c:pt idx="1">
                  <c:v>0.606439620791476</c:v>
                </c:pt>
              </c:numCache>
            </c:numRef>
          </c:xVal>
          <c:yVal>
            <c:numRef>
              <c:f>'Bioequivalence, Replicate'!$AA$16:$AA$17</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c:v>
                </c:pt>
                <c:pt idx="1">
                  <c:v>1.193560379208524</c:v>
                </c:pt>
              </c:numCache>
            </c:numRef>
          </c:xVal>
          <c:yVal>
            <c:numRef>
              <c:f>'Bioequivalence, Replicate'!$AA$19:$AA$20</c:f>
              <c:numCache>
                <c:formatCode>General</c:formatCode>
                <c:ptCount val="2"/>
                <c:pt idx="0">
                  <c:v>0.0</c:v>
                </c:pt>
                <c:pt idx="1">
                  <c:v>0.0</c:v>
                </c:pt>
              </c:numCache>
            </c:numRef>
          </c:yVal>
          <c:smooth val="0"/>
          <c:extLst xmlns:c16r2="http://schemas.microsoft.com/office/drawing/2015/06/char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0.845011988582993</c:v>
                </c:pt>
                <c:pt idx="1">
                  <c:v>0.845011988582993</c:v>
                </c:pt>
              </c:numCache>
            </c:numRef>
          </c:xVal>
          <c:yVal>
            <c:numRef>
              <c:f>'Bioequivalence, Replicate'!$AE$16:$AE$17</c:f>
              <c:numCache>
                <c:formatCode>General</c:formatCode>
                <c:ptCount val="2"/>
                <c:pt idx="0">
                  <c:v>0.0</c:v>
                </c:pt>
                <c:pt idx="1">
                  <c:v>1.326850223106118</c:v>
                </c:pt>
              </c:numCache>
            </c:numRef>
          </c:yVal>
          <c:smooth val="0"/>
          <c:extLst xmlns:c16r2="http://schemas.microsoft.com/office/drawing/2015/06/char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c:v>
                </c:pt>
                <c:pt idx="1">
                  <c:v>0.954988011417007</c:v>
                </c:pt>
              </c:numCache>
            </c:numRef>
          </c:xVal>
          <c:yVal>
            <c:numRef>
              <c:f>'Bioequivalence, Replicate'!$AE$19:$AE$20</c:f>
              <c:numCache>
                <c:formatCode>General</c:formatCode>
                <c:ptCount val="2"/>
                <c:pt idx="0">
                  <c:v>0.0</c:v>
                </c:pt>
                <c:pt idx="1">
                  <c:v>1.326850223106118</c:v>
                </c:pt>
              </c:numCache>
            </c:numRef>
          </c:yVal>
          <c:smooth val="0"/>
          <c:extLst xmlns:c16r2="http://schemas.microsoft.com/office/drawing/2015/06/char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0.0</c:v>
                </c:pt>
                <c:pt idx="1">
                  <c:v>1.326850223106118</c:v>
                </c:pt>
              </c:numCache>
            </c:numRef>
          </c:yVal>
          <c:smooth val="0"/>
          <c:extLst xmlns:c16r2="http://schemas.microsoft.com/office/drawing/2015/06/char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0.0</c:v>
                </c:pt>
                <c:pt idx="1">
                  <c:v>1.326850223106118</c:v>
                </c:pt>
              </c:numCache>
            </c:numRef>
          </c:yVal>
          <c:smooth val="0"/>
          <c:extLst xmlns:c16r2="http://schemas.microsoft.com/office/drawing/2015/06/char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4" Type="http://schemas.openxmlformats.org/officeDocument/2006/relationships/image" Target="../media/image5.emf"/><Relationship Id="rId5" Type="http://schemas.openxmlformats.org/officeDocument/2006/relationships/image" Target="../media/image6.emf"/><Relationship Id="rId6" Type="http://schemas.openxmlformats.org/officeDocument/2006/relationships/chart" Target="../charts/chart1.xml"/><Relationship Id="rId1" Type="http://schemas.openxmlformats.org/officeDocument/2006/relationships/image" Target="../media/image2.emf"/><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4" Type="http://schemas.openxmlformats.org/officeDocument/2006/relationships/image" Target="../media/image8.emf"/><Relationship Id="rId5" Type="http://schemas.openxmlformats.org/officeDocument/2006/relationships/chart" Target="../charts/chart2.xml"/><Relationship Id="rId1" Type="http://schemas.openxmlformats.org/officeDocument/2006/relationships/image" Target="../media/image7.emf"/><Relationship Id="rId2" Type="http://schemas.openxmlformats.org/officeDocument/2006/relationships/image" Target="../media/image3.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4" Type="http://schemas.openxmlformats.org/officeDocument/2006/relationships/image" Target="../media/image12.emf"/><Relationship Id="rId5" Type="http://schemas.openxmlformats.org/officeDocument/2006/relationships/image" Target="../media/image13.emf"/><Relationship Id="rId6" Type="http://schemas.openxmlformats.org/officeDocument/2006/relationships/image" Target="../media/image14.emf"/><Relationship Id="rId7" Type="http://schemas.openxmlformats.org/officeDocument/2006/relationships/chart" Target="../charts/chart3.xml"/><Relationship Id="rId1" Type="http://schemas.openxmlformats.org/officeDocument/2006/relationships/image" Target="../media/image9.emf"/><Relationship Id="rId2" Type="http://schemas.openxmlformats.org/officeDocument/2006/relationships/image" Target="../media/image10.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4" Type="http://schemas.openxmlformats.org/officeDocument/2006/relationships/image" Target="../media/image10.emf"/><Relationship Id="rId5" Type="http://schemas.openxmlformats.org/officeDocument/2006/relationships/image" Target="../media/image16.emf"/><Relationship Id="rId6" Type="http://schemas.openxmlformats.org/officeDocument/2006/relationships/image" Target="../media/image17.emf"/><Relationship Id="rId7" Type="http://schemas.openxmlformats.org/officeDocument/2006/relationships/chart" Target="../charts/chart4.xml"/><Relationship Id="rId1" Type="http://schemas.openxmlformats.org/officeDocument/2006/relationships/image" Target="../media/image15.emf"/><Relationship Id="rId2" Type="http://schemas.openxmlformats.org/officeDocument/2006/relationships/image" Target="../media/image11.emf"/></Relationships>
</file>

<file path=xl/drawings/_rels/drawing6.xml.rels><?xml version="1.0" encoding="UTF-8" standalone="yes"?>
<Relationships xmlns="http://schemas.openxmlformats.org/package/2006/relationships"><Relationship Id="rId3" Type="http://schemas.openxmlformats.org/officeDocument/2006/relationships/image" Target="../media/image20.emf"/><Relationship Id="rId4" Type="http://schemas.openxmlformats.org/officeDocument/2006/relationships/image" Target="../media/image21.emf"/><Relationship Id="rId5" Type="http://schemas.openxmlformats.org/officeDocument/2006/relationships/image" Target="../media/image22.emf"/><Relationship Id="rId6" Type="http://schemas.openxmlformats.org/officeDocument/2006/relationships/image" Target="../media/image23.emf"/><Relationship Id="rId7" Type="http://schemas.openxmlformats.org/officeDocument/2006/relationships/image" Target="../media/image24.emf"/><Relationship Id="rId8" Type="http://schemas.openxmlformats.org/officeDocument/2006/relationships/image" Target="../media/image25.emf"/><Relationship Id="rId9" Type="http://schemas.openxmlformats.org/officeDocument/2006/relationships/chart" Target="../charts/chart5.xml"/><Relationship Id="rId1" Type="http://schemas.openxmlformats.org/officeDocument/2006/relationships/image" Target="../media/image18.emf"/><Relationship Id="rId2" Type="http://schemas.openxmlformats.org/officeDocument/2006/relationships/image" Target="../media/image19.emf"/></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4" Type="http://schemas.openxmlformats.org/officeDocument/2006/relationships/image" Target="../media/image21.emf"/><Relationship Id="rId5" Type="http://schemas.openxmlformats.org/officeDocument/2006/relationships/image" Target="../media/image22.emf"/><Relationship Id="rId6" Type="http://schemas.openxmlformats.org/officeDocument/2006/relationships/image" Target="../media/image28.emf"/><Relationship Id="rId7" Type="http://schemas.openxmlformats.org/officeDocument/2006/relationships/chart" Target="../charts/chart6.xml"/><Relationship Id="rId1" Type="http://schemas.openxmlformats.org/officeDocument/2006/relationships/image" Target="../media/image26.emf"/><Relationship Id="rId2" Type="http://schemas.openxmlformats.org/officeDocument/2006/relationships/image" Target="../media/image27.emf"/></Relationships>
</file>

<file path=xl/drawings/_rels/drawing8.xml.rels><?xml version="1.0" encoding="UTF-8" standalone="yes"?>
<Relationships xmlns="http://schemas.openxmlformats.org/package/2006/relationships"><Relationship Id="rId3" Type="http://schemas.openxmlformats.org/officeDocument/2006/relationships/image" Target="../media/image30.emf"/><Relationship Id="rId4" Type="http://schemas.openxmlformats.org/officeDocument/2006/relationships/image" Target="../media/image31.emf"/><Relationship Id="rId5" Type="http://schemas.openxmlformats.org/officeDocument/2006/relationships/image" Target="../media/image32.emf"/><Relationship Id="rId6" Type="http://schemas.openxmlformats.org/officeDocument/2006/relationships/image" Target="../media/image33.emf"/><Relationship Id="rId7" Type="http://schemas.openxmlformats.org/officeDocument/2006/relationships/image" Target="../media/image34.png"/><Relationship Id="rId8" Type="http://schemas.openxmlformats.org/officeDocument/2006/relationships/image" Target="../media/image35.png"/><Relationship Id="rId9" Type="http://schemas.openxmlformats.org/officeDocument/2006/relationships/image" Target="../media/image36.png"/><Relationship Id="rId1" Type="http://schemas.openxmlformats.org/officeDocument/2006/relationships/image" Target="../media/image29.emf"/><Relationship Id="rId2"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4" Type="http://schemas.openxmlformats.org/officeDocument/2006/relationships/image" Target="../media/image38.emf"/><Relationship Id="rId5" Type="http://schemas.openxmlformats.org/officeDocument/2006/relationships/image" Target="../media/image39.emf"/><Relationship Id="rId6" Type="http://schemas.openxmlformats.org/officeDocument/2006/relationships/chart" Target="../charts/chart8.xml"/><Relationship Id="rId1" Type="http://schemas.openxmlformats.org/officeDocument/2006/relationships/image" Target="../media/image37.emf"/><Relationship Id="rId2" Type="http://schemas.openxmlformats.org/officeDocument/2006/relationships/image" Target="../media/image29.emf"/></Relationships>
</file>

<file path=xl/drawings/_rels/drawing10.xml.rels><?xml version="1.0" encoding="UTF-8" standalone="yes"?>
<Relationships xmlns="http://schemas.openxmlformats.org/package/2006/relationships"><Relationship Id="rId3" Type="http://schemas.openxmlformats.org/officeDocument/2006/relationships/image" Target="../media/image32.emf"/><Relationship Id="rId4" Type="http://schemas.openxmlformats.org/officeDocument/2006/relationships/chart" Target="../charts/chart9.xml"/><Relationship Id="rId5" Type="http://schemas.openxmlformats.org/officeDocument/2006/relationships/image" Target="../media/image40.emf"/><Relationship Id="rId6" Type="http://schemas.openxmlformats.org/officeDocument/2006/relationships/image" Target="../media/image41.emf"/><Relationship Id="rId7" Type="http://schemas.openxmlformats.org/officeDocument/2006/relationships/image" Target="../media/image42.emf"/><Relationship Id="rId8" Type="http://schemas.openxmlformats.org/officeDocument/2006/relationships/image" Target="../media/image43.emf"/><Relationship Id="rId9" Type="http://schemas.openxmlformats.org/officeDocument/2006/relationships/image" Target="../media/image44.emf"/><Relationship Id="rId1" Type="http://schemas.openxmlformats.org/officeDocument/2006/relationships/image" Target="../media/image37.emf"/><Relationship Id="rId2" Type="http://schemas.openxmlformats.org/officeDocument/2006/relationships/image" Target="../media/image29.emf"/></Relationships>
</file>

<file path=xl/drawings/_rels/drawing11.xml.rels><?xml version="1.0" encoding="UTF-8" standalone="yes"?>
<Relationships xmlns="http://schemas.openxmlformats.org/package/2006/relationships"><Relationship Id="rId11" Type="http://schemas.openxmlformats.org/officeDocument/2006/relationships/image" Target="../media/image56.emf"/><Relationship Id="rId12" Type="http://schemas.openxmlformats.org/officeDocument/2006/relationships/image" Target="../media/image57.emf"/><Relationship Id="rId13" Type="http://schemas.openxmlformats.org/officeDocument/2006/relationships/image" Target="../media/image58.emf"/><Relationship Id="rId1" Type="http://schemas.openxmlformats.org/officeDocument/2006/relationships/image" Target="../media/image46.emf"/><Relationship Id="rId2" Type="http://schemas.openxmlformats.org/officeDocument/2006/relationships/image" Target="../media/image47.emf"/><Relationship Id="rId3" Type="http://schemas.openxmlformats.org/officeDocument/2006/relationships/image" Target="../media/image48.emf"/><Relationship Id="rId4" Type="http://schemas.openxmlformats.org/officeDocument/2006/relationships/image" Target="../media/image49.emf"/><Relationship Id="rId5" Type="http://schemas.openxmlformats.org/officeDocument/2006/relationships/image" Target="../media/image50.emf"/><Relationship Id="rId6" Type="http://schemas.openxmlformats.org/officeDocument/2006/relationships/image" Target="../media/image51.emf"/><Relationship Id="rId7" Type="http://schemas.openxmlformats.org/officeDocument/2006/relationships/image" Target="../media/image52.emf"/><Relationship Id="rId8" Type="http://schemas.openxmlformats.org/officeDocument/2006/relationships/image" Target="../media/image53.emf"/><Relationship Id="rId9" Type="http://schemas.openxmlformats.org/officeDocument/2006/relationships/image" Target="../media/image54.emf"/><Relationship Id="rId10" Type="http://schemas.openxmlformats.org/officeDocument/2006/relationships/image" Target="../media/image55.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4" Type="http://schemas.openxmlformats.org/officeDocument/2006/relationships/image" Target="../media/image62.emf"/><Relationship Id="rId1" Type="http://schemas.openxmlformats.org/officeDocument/2006/relationships/image" Target="../media/image59.emf"/><Relationship Id="rId2" Type="http://schemas.openxmlformats.org/officeDocument/2006/relationships/image" Target="../media/image60.emf"/></Relationships>
</file>

<file path=xl/drawings/_rels/drawing13.xml.rels><?xml version="1.0" encoding="UTF-8" standalone="yes"?>
<Relationships xmlns="http://schemas.openxmlformats.org/package/2006/relationships"><Relationship Id="rId1" Type="http://schemas.openxmlformats.org/officeDocument/2006/relationships/image" Target="../media/image63.emf"/><Relationship Id="rId2" Type="http://schemas.openxmlformats.org/officeDocument/2006/relationships/image" Target="../media/image64.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4" Type="http://schemas.openxmlformats.org/officeDocument/2006/relationships/image" Target="../media/image68.png"/><Relationship Id="rId5" Type="http://schemas.openxmlformats.org/officeDocument/2006/relationships/image" Target="../media/image69.emf"/><Relationship Id="rId1" Type="http://schemas.openxmlformats.org/officeDocument/2006/relationships/image" Target="../media/image65.png"/><Relationship Id="rId2" Type="http://schemas.openxmlformats.org/officeDocument/2006/relationships/image" Target="../media/image6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70.emf"/><Relationship Id="rId2" Type="http://schemas.openxmlformats.org/officeDocument/2006/relationships/image" Target="../media/image71.emf"/><Relationship Id="rId3" Type="http://schemas.openxmlformats.org/officeDocument/2006/relationships/image" Target="../media/image7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xmlns=""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xmlns=""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xmlns=""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xmlns=""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xmlns=""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xmlns=""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xmlns=""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xmlns=""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520700</xdr:colOff>
          <xdr:row>23</xdr:row>
          <xdr:rowOff>25400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21</xdr:row>
          <xdr:rowOff>76200</xdr:rowOff>
        </xdr:from>
        <xdr:to>
          <xdr:col>4</xdr:col>
          <xdr:colOff>215900</xdr:colOff>
          <xdr:row>23</xdr:row>
          <xdr:rowOff>25400</xdr:rowOff>
        </xdr:to>
        <xdr:sp macro="" textlink="">
          <xdr:nvSpPr>
            <xdr:cNvPr id="11273" name="Button 9" hidden="1">
              <a:extLst>
                <a:ext uri="{63B3BB69-23CF-44E3-9099-C40C66FF867C}">
                  <a14:compatExt spid="_x0000_s112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482600</xdr:colOff>
          <xdr:row>7</xdr:row>
          <xdr:rowOff>101600</xdr:rowOff>
        </xdr:from>
        <xdr:to>
          <xdr:col>13</xdr:col>
          <xdr:colOff>25400</xdr:colOff>
          <xdr:row>8</xdr:row>
          <xdr:rowOff>139700</xdr:rowOff>
        </xdr:to>
        <xdr:sp macro="" textlink="">
          <xdr:nvSpPr>
            <xdr:cNvPr id="11276" name="Check Box 12" hidden="1">
              <a:extLst>
                <a:ext uri="{63B3BB69-23CF-44E3-9099-C40C66FF867C}">
                  <a14:compatExt spid="_x0000_s112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482600</xdr:colOff>
          <xdr:row>8</xdr:row>
          <xdr:rowOff>139700</xdr:rowOff>
        </xdr:from>
        <xdr:to>
          <xdr:col>13</xdr:col>
          <xdr:colOff>25400</xdr:colOff>
          <xdr:row>10</xdr:row>
          <xdr:rowOff>12700</xdr:rowOff>
        </xdr:to>
        <xdr:sp macro="" textlink="">
          <xdr:nvSpPr>
            <xdr:cNvPr id="11277" name="Check Box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482600</xdr:colOff>
          <xdr:row>10</xdr:row>
          <xdr:rowOff>12700</xdr:rowOff>
        </xdr:from>
        <xdr:to>
          <xdr:col>13</xdr:col>
          <xdr:colOff>25400</xdr:colOff>
          <xdr:row>11</xdr:row>
          <xdr:rowOff>25400</xdr:rowOff>
        </xdr:to>
        <xdr:sp macro="" textlink="">
          <xdr:nvSpPr>
            <xdr:cNvPr id="11278" name="Check Box 14" hidden="1">
              <a:extLst>
                <a:ext uri="{63B3BB69-23CF-44E3-9099-C40C66FF867C}">
                  <a14:compatExt spid="_x0000_s112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xmlns=""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xmlns=""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xmlns=""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xmlns=""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520700</xdr:colOff>
          <xdr:row>23</xdr:row>
          <xdr:rowOff>25400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21</xdr:row>
          <xdr:rowOff>76200</xdr:rowOff>
        </xdr:from>
        <xdr:to>
          <xdr:col>4</xdr:col>
          <xdr:colOff>215900</xdr:colOff>
          <xdr:row>23</xdr:row>
          <xdr:rowOff>25400</xdr:rowOff>
        </xdr:to>
        <xdr:sp macro="" textlink="">
          <xdr:nvSpPr>
            <xdr:cNvPr id="12300" name="Button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xmlns=""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558800</xdr:colOff>
          <xdr:row>7</xdr:row>
          <xdr:rowOff>25400</xdr:rowOff>
        </xdr:from>
        <xdr:to>
          <xdr:col>12</xdr:col>
          <xdr:colOff>76200</xdr:colOff>
          <xdr:row>8</xdr:row>
          <xdr:rowOff>38100</xdr:rowOff>
        </xdr:to>
        <xdr:sp macro="" textlink="">
          <xdr:nvSpPr>
            <xdr:cNvPr id="12304" name="Check Box 16" hidden="1">
              <a:extLst>
                <a:ext uri="{63B3BB69-23CF-44E3-9099-C40C66FF867C}">
                  <a14:compatExt spid="_x0000_s12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558800</xdr:colOff>
          <xdr:row>8</xdr:row>
          <xdr:rowOff>38100</xdr:rowOff>
        </xdr:from>
        <xdr:to>
          <xdr:col>12</xdr:col>
          <xdr:colOff>76200</xdr:colOff>
          <xdr:row>9</xdr:row>
          <xdr:rowOff>101600</xdr:rowOff>
        </xdr:to>
        <xdr:sp macro="" textlink="">
          <xdr:nvSpPr>
            <xdr:cNvPr id="12305" name="Check Box 17" hidden="1">
              <a:extLst>
                <a:ext uri="{63B3BB69-23CF-44E3-9099-C40C66FF867C}">
                  <a14:compatExt spid="_x0000_s123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558800</xdr:colOff>
          <xdr:row>9</xdr:row>
          <xdr:rowOff>101600</xdr:rowOff>
        </xdr:from>
        <xdr:to>
          <xdr:col>12</xdr:col>
          <xdr:colOff>76200</xdr:colOff>
          <xdr:row>10</xdr:row>
          <xdr:rowOff>114300</xdr:rowOff>
        </xdr:to>
        <xdr:sp macro="" textlink="">
          <xdr:nvSpPr>
            <xdr:cNvPr id="12306" name="Check Box 18" hidden="1">
              <a:extLst>
                <a:ext uri="{63B3BB69-23CF-44E3-9099-C40C66FF867C}">
                  <a14:compatExt spid="_x0000_s123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xmlns=""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xmlns=""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xmlns=""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xmlns=""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xmlns=""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xmlns=""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533400</xdr:colOff>
          <xdr:row>23</xdr:row>
          <xdr:rowOff>25400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25400</xdr:rowOff>
        </xdr:to>
        <xdr:sp macro="" textlink="">
          <xdr:nvSpPr>
            <xdr:cNvPr id="15370" name="Button 10" hidden="1">
              <a:extLst>
                <a:ext uri="{63B3BB69-23CF-44E3-9099-C40C66FF867C}">
                  <a14:compatExt spid="_x0000_s153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xmlns=""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330200</xdr:colOff>
          <xdr:row>8</xdr:row>
          <xdr:rowOff>114300</xdr:rowOff>
        </xdr:from>
        <xdr:to>
          <xdr:col>12</xdr:col>
          <xdr:colOff>482600</xdr:colOff>
          <xdr:row>9</xdr:row>
          <xdr:rowOff>177800</xdr:rowOff>
        </xdr:to>
        <xdr:sp macro="" textlink="">
          <xdr:nvSpPr>
            <xdr:cNvPr id="15376" name="Check Box 16" hidden="1">
              <a:extLst>
                <a:ext uri="{63B3BB69-23CF-44E3-9099-C40C66FF867C}">
                  <a14:compatExt spid="_x0000_s153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330200</xdr:colOff>
          <xdr:row>9</xdr:row>
          <xdr:rowOff>177800</xdr:rowOff>
        </xdr:from>
        <xdr:to>
          <xdr:col>12</xdr:col>
          <xdr:colOff>482600</xdr:colOff>
          <xdr:row>11</xdr:row>
          <xdr:rowOff>25400</xdr:rowOff>
        </xdr:to>
        <xdr:sp macro="" textlink="">
          <xdr:nvSpPr>
            <xdr:cNvPr id="15377" name="Check Box 17" hidden="1">
              <a:extLst>
                <a:ext uri="{63B3BB69-23CF-44E3-9099-C40C66FF867C}">
                  <a14:compatExt spid="_x0000_s153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330200</xdr:colOff>
          <xdr:row>11</xdr:row>
          <xdr:rowOff>25400</xdr:rowOff>
        </xdr:from>
        <xdr:to>
          <xdr:col>12</xdr:col>
          <xdr:colOff>482600</xdr:colOff>
          <xdr:row>12</xdr:row>
          <xdr:rowOff>63500</xdr:rowOff>
        </xdr:to>
        <xdr:sp macro="" textlink="">
          <xdr:nvSpPr>
            <xdr:cNvPr id="15378" name="Check Box 18" hidden="1">
              <a:extLst>
                <a:ext uri="{63B3BB69-23CF-44E3-9099-C40C66FF867C}">
                  <a14:compatExt spid="_x0000_s153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xmlns=""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xmlns=""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xmlns=""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xmlns=""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xmlns=""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xmlns=""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533400</xdr:colOff>
          <xdr:row>23</xdr:row>
          <xdr:rowOff>25400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25400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xmlns=""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368300</xdr:colOff>
          <xdr:row>7</xdr:row>
          <xdr:rowOff>215900</xdr:rowOff>
        </xdr:from>
        <xdr:to>
          <xdr:col>11</xdr:col>
          <xdr:colOff>520700</xdr:colOff>
          <xdr:row>9</xdr:row>
          <xdr:rowOff>38100</xdr:rowOff>
        </xdr:to>
        <xdr:sp macro="" textlink="">
          <xdr:nvSpPr>
            <xdr:cNvPr id="16393" name="Check Box 9"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368300</xdr:colOff>
          <xdr:row>9</xdr:row>
          <xdr:rowOff>38100</xdr:rowOff>
        </xdr:from>
        <xdr:to>
          <xdr:col>11</xdr:col>
          <xdr:colOff>520700</xdr:colOff>
          <xdr:row>10</xdr:row>
          <xdr:rowOff>63500</xdr:rowOff>
        </xdr:to>
        <xdr:sp macro="" textlink="">
          <xdr:nvSpPr>
            <xdr:cNvPr id="16394" name="Check Box 10"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368300</xdr:colOff>
          <xdr:row>10</xdr:row>
          <xdr:rowOff>63500</xdr:rowOff>
        </xdr:from>
        <xdr:to>
          <xdr:col>11</xdr:col>
          <xdr:colOff>520700</xdr:colOff>
          <xdr:row>11</xdr:row>
          <xdr:rowOff>101600</xdr:rowOff>
        </xdr:to>
        <xdr:sp macro="" textlink="">
          <xdr:nvSpPr>
            <xdr:cNvPr id="16395" name="Check Box 11" hidden="1">
              <a:extLst>
                <a:ext uri="{63B3BB69-23CF-44E3-9099-C40C66FF867C}">
                  <a14:compatExt spid="_x0000_s163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xmlns=""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xmlns=""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xmlns=""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xmlns=""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xmlns=""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xmlns=""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xmlns=""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xmlns=""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520700</xdr:colOff>
          <xdr:row>23</xdr:row>
          <xdr:rowOff>25400</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21</xdr:row>
          <xdr:rowOff>76200</xdr:rowOff>
        </xdr:from>
        <xdr:to>
          <xdr:col>4</xdr:col>
          <xdr:colOff>215900</xdr:colOff>
          <xdr:row>23</xdr:row>
          <xdr:rowOff>25400</xdr:rowOff>
        </xdr:to>
        <xdr:sp macro="" textlink="">
          <xdr:nvSpPr>
            <xdr:cNvPr id="17419" name="Button 11" hidden="1">
              <a:extLst>
                <a:ext uri="{63B3BB69-23CF-44E3-9099-C40C66FF867C}">
                  <a14:compatExt spid="_x0000_s1741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xmlns=""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596900</xdr:colOff>
          <xdr:row>7</xdr:row>
          <xdr:rowOff>177800</xdr:rowOff>
        </xdr:from>
        <xdr:to>
          <xdr:col>13</xdr:col>
          <xdr:colOff>139700</xdr:colOff>
          <xdr:row>9</xdr:row>
          <xdr:rowOff>38100</xdr:rowOff>
        </xdr:to>
        <xdr:sp macro="" textlink="">
          <xdr:nvSpPr>
            <xdr:cNvPr id="17421" name="Check Box 13" hidden="1">
              <a:extLst>
                <a:ext uri="{63B3BB69-23CF-44E3-9099-C40C66FF867C}">
                  <a14:compatExt spid="_x0000_s174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596900</xdr:colOff>
          <xdr:row>9</xdr:row>
          <xdr:rowOff>38100</xdr:rowOff>
        </xdr:from>
        <xdr:to>
          <xdr:col>13</xdr:col>
          <xdr:colOff>139700</xdr:colOff>
          <xdr:row>10</xdr:row>
          <xdr:rowOff>101600</xdr:rowOff>
        </xdr:to>
        <xdr:sp macro="" textlink="">
          <xdr:nvSpPr>
            <xdr:cNvPr id="17422" name="Check Box 14" hidden="1">
              <a:extLst>
                <a:ext uri="{63B3BB69-23CF-44E3-9099-C40C66FF867C}">
                  <a14:compatExt spid="_x0000_s174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596900</xdr:colOff>
          <xdr:row>10</xdr:row>
          <xdr:rowOff>101600</xdr:rowOff>
        </xdr:from>
        <xdr:to>
          <xdr:col>13</xdr:col>
          <xdr:colOff>139700</xdr:colOff>
          <xdr:row>11</xdr:row>
          <xdr:rowOff>139700</xdr:rowOff>
        </xdr:to>
        <xdr:sp macro="" textlink="">
          <xdr:nvSpPr>
            <xdr:cNvPr id="17423" name="Check Box 15" hidden="1">
              <a:extLst>
                <a:ext uri="{63B3BB69-23CF-44E3-9099-C40C66FF867C}">
                  <a14:compatExt spid="_x0000_s174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mr-IN"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xmlns=""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xmlns=""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xmlns=""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xmlns=""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xmlns=""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xmlns=""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520700</xdr:colOff>
          <xdr:row>23</xdr:row>
          <xdr:rowOff>25400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21</xdr:row>
          <xdr:rowOff>76200</xdr:rowOff>
        </xdr:from>
        <xdr:to>
          <xdr:col>4</xdr:col>
          <xdr:colOff>215900</xdr:colOff>
          <xdr:row>23</xdr:row>
          <xdr:rowOff>25400</xdr:rowOff>
        </xdr:to>
        <xdr:sp macro="" textlink="">
          <xdr:nvSpPr>
            <xdr:cNvPr id="18439" name="Button 7" hidden="1">
              <a:extLst>
                <a:ext uri="{63B3BB69-23CF-44E3-9099-C40C66FF867C}">
                  <a14:compatExt spid="_x0000_s184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xmlns=""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482600</xdr:colOff>
          <xdr:row>8</xdr:row>
          <xdr:rowOff>63500</xdr:rowOff>
        </xdr:from>
        <xdr:to>
          <xdr:col>12</xdr:col>
          <xdr:colOff>25400</xdr:colOff>
          <xdr:row>9</xdr:row>
          <xdr:rowOff>101600</xdr:rowOff>
        </xdr:to>
        <xdr:sp macro="" textlink="">
          <xdr:nvSpPr>
            <xdr:cNvPr id="18441" name="Check Box 9" hidden="1">
              <a:extLst>
                <a:ext uri="{63B3BB69-23CF-44E3-9099-C40C66FF867C}">
                  <a14:compatExt spid="_x0000_s184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482600</xdr:colOff>
          <xdr:row>9</xdr:row>
          <xdr:rowOff>101600</xdr:rowOff>
        </xdr:from>
        <xdr:to>
          <xdr:col>12</xdr:col>
          <xdr:colOff>25400</xdr:colOff>
          <xdr:row>10</xdr:row>
          <xdr:rowOff>101600</xdr:rowOff>
        </xdr:to>
        <xdr:sp macro="" textlink="">
          <xdr:nvSpPr>
            <xdr:cNvPr id="18442" name="Check Box 10" hidden="1">
              <a:extLst>
                <a:ext uri="{63B3BB69-23CF-44E3-9099-C40C66FF867C}">
                  <a14:compatExt spid="_x0000_s184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482600</xdr:colOff>
          <xdr:row>10</xdr:row>
          <xdr:rowOff>101600</xdr:rowOff>
        </xdr:from>
        <xdr:to>
          <xdr:col>12</xdr:col>
          <xdr:colOff>25400</xdr:colOff>
          <xdr:row>11</xdr:row>
          <xdr:rowOff>139700</xdr:rowOff>
        </xdr:to>
        <xdr:sp macro="" textlink="">
          <xdr:nvSpPr>
            <xdr:cNvPr id="18443" name="Check Box 11" hidden="1">
              <a:extLst>
                <a:ext uri="{63B3BB69-23CF-44E3-9099-C40C66FF867C}">
                  <a14:compatExt spid="_x0000_s184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mr-IN"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482600</xdr:colOff>
          <xdr:row>23</xdr:row>
          <xdr:rowOff>0</xdr:rowOff>
        </xdr:from>
        <xdr:to>
          <xdr:col>5</xdr:col>
          <xdr:colOff>101600</xdr:colOff>
          <xdr:row>24</xdr:row>
          <xdr:rowOff>88900</xdr:rowOff>
        </xdr:to>
        <xdr:sp macro="" textlink="">
          <xdr:nvSpPr>
            <xdr:cNvPr id="45058" name="Button 2" hidden="1">
              <a:extLst>
                <a:ext uri="{63B3BB69-23CF-44E3-9099-C40C66FF867C}">
                  <a14:compatExt spid="_x0000_s4505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177800</xdr:colOff>
          <xdr:row>23</xdr:row>
          <xdr:rowOff>0</xdr:rowOff>
        </xdr:from>
        <xdr:to>
          <xdr:col>9</xdr:col>
          <xdr:colOff>101600</xdr:colOff>
          <xdr:row>24</xdr:row>
          <xdr:rowOff>88900</xdr:rowOff>
        </xdr:to>
        <xdr:sp macro="" textlink="">
          <xdr:nvSpPr>
            <xdr:cNvPr id="45059" name="Button 3" hidden="1">
              <a:extLst>
                <a:ext uri="{63B3BB69-23CF-44E3-9099-C40C66FF867C}">
                  <a14:compatExt spid="_x0000_s450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63500</xdr:colOff>
          <xdr:row>23</xdr:row>
          <xdr:rowOff>0</xdr:rowOff>
        </xdr:from>
        <xdr:to>
          <xdr:col>3</xdr:col>
          <xdr:colOff>406400</xdr:colOff>
          <xdr:row>24</xdr:row>
          <xdr:rowOff>88900</xdr:rowOff>
        </xdr:to>
        <xdr:sp macro="" textlink="">
          <xdr:nvSpPr>
            <xdr:cNvPr id="45060" name="Button 4" hidden="1">
              <a:extLst>
                <a:ext uri="{63B3BB69-23CF-44E3-9099-C40C66FF867C}">
                  <a14:compatExt spid="_x0000_s450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xmlns=""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63500</xdr:rowOff>
        </xdr:from>
        <xdr:to>
          <xdr:col>12</xdr:col>
          <xdr:colOff>317500</xdr:colOff>
          <xdr:row>7</xdr:row>
          <xdr:rowOff>101600</xdr:rowOff>
        </xdr:to>
        <xdr:sp macro="" textlink="">
          <xdr:nvSpPr>
            <xdr:cNvPr id="45061" name="Check Box 5" hidden="1">
              <a:extLst>
                <a:ext uri="{63B3BB69-23CF-44E3-9099-C40C66FF867C}">
                  <a14:compatExt spid="_x0000_s450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101600</xdr:rowOff>
        </xdr:from>
        <xdr:to>
          <xdr:col>12</xdr:col>
          <xdr:colOff>317500</xdr:colOff>
          <xdr:row>8</xdr:row>
          <xdr:rowOff>152400</xdr:rowOff>
        </xdr:to>
        <xdr:sp macro="" textlink="">
          <xdr:nvSpPr>
            <xdr:cNvPr id="45062" name="Check Box 6" hidden="1">
              <a:extLst>
                <a:ext uri="{63B3BB69-23CF-44E3-9099-C40C66FF867C}">
                  <a14:compatExt spid="_x0000_s450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25400</xdr:rowOff>
        </xdr:to>
        <xdr:sp macro="" textlink="">
          <xdr:nvSpPr>
            <xdr:cNvPr id="45063" name="Check Box 7" hidden="1">
              <a:extLst>
                <a:ext uri="{63B3BB69-23CF-44E3-9099-C40C66FF867C}">
                  <a14:compatExt spid="_x0000_s450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xmlns=""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xmlns=""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xmlns=""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xmlns=""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xmlns=""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txBody>
        <a:bodyPr/>
        <a:lstStyle/>
        <a:p>
          <a:r>
            <a:rPr lang="en-US"/>
            <a:t/>
          </a: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xmlns=""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xmlns=""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xmlns=""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xmlns=""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xmlns=""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xmlns=""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xmlns=""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xmlns=""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xmlns=""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xmlns=""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xmlns=""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xmlns=""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xmlns=""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xmlns=""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101600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482600</xdr:colOff>
          <xdr:row>23</xdr:row>
          <xdr:rowOff>0</xdr:rowOff>
        </xdr:from>
        <xdr:to>
          <xdr:col>5</xdr:col>
          <xdr:colOff>101600</xdr:colOff>
          <xdr:row>24</xdr:row>
          <xdr:rowOff>88900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177800</xdr:colOff>
          <xdr:row>23</xdr:row>
          <xdr:rowOff>0</xdr:rowOff>
        </xdr:from>
        <xdr:to>
          <xdr:col>9</xdr:col>
          <xdr:colOff>101600</xdr:colOff>
          <xdr:row>24</xdr:row>
          <xdr:rowOff>88900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63500</xdr:colOff>
          <xdr:row>23</xdr:row>
          <xdr:rowOff>0</xdr:rowOff>
        </xdr:from>
        <xdr:to>
          <xdr:col>3</xdr:col>
          <xdr:colOff>406400</xdr:colOff>
          <xdr:row>24</xdr:row>
          <xdr:rowOff>88900</xdr:rowOff>
        </xdr:to>
        <xdr:sp macro="" textlink="">
          <xdr:nvSpPr>
            <xdr:cNvPr id="1147" name="Button 123" hidden="1">
              <a:extLst>
                <a:ext uri="{63B3BB69-23CF-44E3-9099-C40C66FF867C}">
                  <a14:compatExt spid="_x0000_s114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xmlns=""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63500</xdr:rowOff>
        </xdr:from>
        <xdr:to>
          <xdr:col>11</xdr:col>
          <xdr:colOff>508000</xdr:colOff>
          <xdr:row>7</xdr:row>
          <xdr:rowOff>101600</xdr:rowOff>
        </xdr:to>
        <xdr:sp macro="" textlink="">
          <xdr:nvSpPr>
            <xdr:cNvPr id="1148" name="Check Box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101600</xdr:rowOff>
        </xdr:from>
        <xdr:to>
          <xdr:col>11</xdr:col>
          <xdr:colOff>508000</xdr:colOff>
          <xdr:row>8</xdr:row>
          <xdr:rowOff>152400</xdr:rowOff>
        </xdr:to>
        <xdr:sp macro="" textlink="">
          <xdr:nvSpPr>
            <xdr:cNvPr id="1149" name="Check Box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xmlns=""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xmlns=""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xmlns=""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xmlns=""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xmlns=""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101600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482600</xdr:colOff>
          <xdr:row>23</xdr:row>
          <xdr:rowOff>0</xdr:rowOff>
        </xdr:from>
        <xdr:to>
          <xdr:col>5</xdr:col>
          <xdr:colOff>101600</xdr:colOff>
          <xdr:row>24</xdr:row>
          <xdr:rowOff>88900</xdr:rowOff>
        </xdr:to>
        <xdr:sp macro="" textlink="">
          <xdr:nvSpPr>
            <xdr:cNvPr id="35842" name="Button 2" hidden="1">
              <a:extLst>
                <a:ext uri="{63B3BB69-23CF-44E3-9099-C40C66FF867C}">
                  <a14:compatExt spid="_x0000_s358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177800</xdr:colOff>
          <xdr:row>23</xdr:row>
          <xdr:rowOff>0</xdr:rowOff>
        </xdr:from>
        <xdr:to>
          <xdr:col>9</xdr:col>
          <xdr:colOff>101600</xdr:colOff>
          <xdr:row>24</xdr:row>
          <xdr:rowOff>88900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63500</xdr:colOff>
          <xdr:row>23</xdr:row>
          <xdr:rowOff>0</xdr:rowOff>
        </xdr:from>
        <xdr:to>
          <xdr:col>3</xdr:col>
          <xdr:colOff>406400</xdr:colOff>
          <xdr:row>24</xdr:row>
          <xdr:rowOff>88900</xdr:rowOff>
        </xdr:to>
        <xdr:sp macro="" textlink="">
          <xdr:nvSpPr>
            <xdr:cNvPr id="35844" name="Button 4" hidden="1">
              <a:extLst>
                <a:ext uri="{63B3BB69-23CF-44E3-9099-C40C66FF867C}">
                  <a14:compatExt spid="_x0000_s3584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Arial"/>
                  <a:ea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xmlns=""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330200</xdr:colOff>
          <xdr:row>6</xdr:row>
          <xdr:rowOff>88900</xdr:rowOff>
        </xdr:from>
        <xdr:to>
          <xdr:col>11</xdr:col>
          <xdr:colOff>482600</xdr:colOff>
          <xdr:row>7</xdr:row>
          <xdr:rowOff>127000</xdr:rowOff>
        </xdr:to>
        <xdr:sp macro="" textlink="">
          <xdr:nvSpPr>
            <xdr:cNvPr id="35845" name="Check Box 5" hidden="1">
              <a:extLst>
                <a:ext uri="{63B3BB69-23CF-44E3-9099-C40C66FF867C}">
                  <a14:compatExt spid="_x0000_s358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330200</xdr:colOff>
          <xdr:row>7</xdr:row>
          <xdr:rowOff>127000</xdr:rowOff>
        </xdr:from>
        <xdr:to>
          <xdr:col>11</xdr:col>
          <xdr:colOff>482600</xdr:colOff>
          <xdr:row>9</xdr:row>
          <xdr:rowOff>25400</xdr:rowOff>
        </xdr:to>
        <xdr:sp macro="" textlink="">
          <xdr:nvSpPr>
            <xdr:cNvPr id="35846" name="Check Box 6" hidden="1">
              <a:extLst>
                <a:ext uri="{63B3BB69-23CF-44E3-9099-C40C66FF867C}">
                  <a14:compatExt spid="_x0000_s358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330200</xdr:colOff>
          <xdr:row>9</xdr:row>
          <xdr:rowOff>25400</xdr:rowOff>
        </xdr:from>
        <xdr:to>
          <xdr:col>11</xdr:col>
          <xdr:colOff>482600</xdr:colOff>
          <xdr:row>10</xdr:row>
          <xdr:rowOff>25400</xdr:rowOff>
        </xdr:to>
        <xdr:sp macro="" textlink="">
          <xdr:nvSpPr>
            <xdr:cNvPr id="35847" name="Check Box 7" hidden="1">
              <a:extLst>
                <a:ext uri="{63B3BB69-23CF-44E3-9099-C40C66FF867C}">
                  <a14:compatExt spid="_x0000_s358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xmlns=""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xmlns=""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xmlns=""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xmlns=""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xmlns=""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406400</xdr:colOff>
          <xdr:row>2</xdr:row>
          <xdr:rowOff>25400</xdr:rowOff>
        </xdr:to>
        <xdr:sp macro="" textlink="">
          <xdr:nvSpPr>
            <xdr:cNvPr id="35850" name="Drop Down 10" hidden="1">
              <a:extLst>
                <a:ext uri="{63B3BB69-23CF-44E3-9099-C40C66FF867C}">
                  <a14:compatExt spid="_x0000_s35850"/>
                </a:ext>
              </a:extLst>
            </xdr:cNvPr>
            <xdr:cNvSpPr/>
          </xdr:nvSpPr>
          <xdr:spPr>
            <a:xfrm>
              <a:off x="0" y="0"/>
              <a:ext cx="0" cy="0"/>
            </a:xfrm>
            <a:prstGeom prst="rect">
              <a:avLst/>
            </a:prstGeom>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xmlns=""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r>
            <a:rPr lang="en-CA" sz="1000">
              <a:solidFill>
                <a:srgbClr val="0070C0"/>
              </a:solidFill>
            </a:rPr>
            <a:t/>
          </a:r>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xmlns=""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xmlns=""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xmlns=""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xmlns=""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xmlns=""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xmlns=""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xmlns=""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xmlns=""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xmlns=""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xmlns=""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xmlns=""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xmlns=""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xmlns=""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25400</xdr:colOff>
          <xdr:row>30</xdr:row>
          <xdr:rowOff>38100</xdr:rowOff>
        </xdr:from>
        <xdr:to>
          <xdr:col>5</xdr:col>
          <xdr:colOff>114300</xdr:colOff>
          <xdr:row>33</xdr:row>
          <xdr:rowOff>139700</xdr:rowOff>
        </xdr:to>
        <xdr:sp macro="" textlink="">
          <xdr:nvSpPr>
            <xdr:cNvPr id="29697" name="Object 1" hidden="1">
              <a:extLst>
                <a:ext uri="{63B3BB69-23CF-44E3-9099-C40C66FF867C}">
                  <a14:compatExt spid="_x0000_s29697"/>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xmlns=""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xmlns=""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xmlns=""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xmlns=""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520700</xdr:colOff>
          <xdr:row>23</xdr:row>
          <xdr:rowOff>25400</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xmlns=""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xmlns=""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520700</xdr:colOff>
          <xdr:row>23</xdr:row>
          <xdr:rowOff>25400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xmlns=""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xmlns=""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xmlns=""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xmlns=""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xmlns=""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101600</xdr:colOff>
          <xdr:row>21</xdr:row>
          <xdr:rowOff>76200</xdr:rowOff>
        </xdr:from>
        <xdr:to>
          <xdr:col>2</xdr:col>
          <xdr:colOff>520700</xdr:colOff>
          <xdr:row>23</xdr:row>
          <xdr:rowOff>25400</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xmlns=""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xmlns=""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xmlns=""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fda.gov/ohrms/dockets/ac/06/slides/2006-4241s2_5.ppt" TargetMode="External"/><Relationship Id="rId4" Type="http://schemas.openxmlformats.org/officeDocument/2006/relationships/hyperlink" Target="http://www.fda.gov/ohrms/dockets/ac/06/slides/2006-4241s2_3.ppt" TargetMode="External"/><Relationship Id="rId5" Type="http://schemas.openxmlformats.org/officeDocument/2006/relationships/hyperlink" Target="http://www.fda.gov/ohrms/dockets/ac/06/slides/2006-4241s2_4.ppt" TargetMode="External"/><Relationship Id="rId6" Type="http://schemas.openxmlformats.org/officeDocument/2006/relationships/hyperlink" Target="http://bebac.at/news/2006-10-06.htm" TargetMode="External"/><Relationship Id="rId7" Type="http://schemas.openxmlformats.org/officeDocument/2006/relationships/hyperlink" Target="http://www.fda.gov/cder/Guidance/3616fnl.pdf" TargetMode="External"/><Relationship Id="rId8" Type="http://schemas.openxmlformats.org/officeDocument/2006/relationships/hyperlink" Target="http://www.fda.gov/ohrms/dockets/ac/04/briefing/4034B1_07_Bioequivalence%20Requirments-Draft.pdf" TargetMode="External"/><Relationship Id="rId9" Type="http://schemas.openxmlformats.org/officeDocument/2006/relationships/hyperlink" Target="https://bebac.at/articles/Sample-Size-Estimation-for-Equivalence-Studies-in-a-Parallel-Design.htm" TargetMode="External"/><Relationship Id="rId10" Type="http://schemas.openxmlformats.org/officeDocument/2006/relationships/drawing" Target="../drawings/drawing1.xml"/><Relationship Id="rId1" Type="http://schemas.openxmlformats.org/officeDocument/2006/relationships/hyperlink" Target="mailto:d.dubins@utoronto.ca" TargetMode="External"/><Relationship Id="rId2" Type="http://schemas.openxmlformats.org/officeDocument/2006/relationships/hyperlink" Target="http://www.springerlink.com/content/u503p62056413677/fulltext.pdf"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omments" Target="../comments1.xml"/><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trlProp" Target="../ctrlProps/ctrlProp8.xml"/><Relationship Id="rId6" Type="http://schemas.openxmlformats.org/officeDocument/2006/relationships/ctrlProp" Target="../ctrlProps/ctrlProp9.xml"/><Relationship Id="rId7" Type="http://schemas.openxmlformats.org/officeDocument/2006/relationships/ctrlProp" Target="../ctrlProps/ctrlProp10.xml"/><Relationship Id="rId8" Type="http://schemas.openxmlformats.org/officeDocument/2006/relationships/comments" Target="../comments2.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4" Type="http://schemas.openxmlformats.org/officeDocument/2006/relationships/ctrlProp" Target="../ctrlProps/ctrlProp12.xml"/><Relationship Id="rId5" Type="http://schemas.openxmlformats.org/officeDocument/2006/relationships/ctrlProp" Target="../ctrlProps/ctrlProp13.xml"/><Relationship Id="rId6" Type="http://schemas.openxmlformats.org/officeDocument/2006/relationships/ctrlProp" Target="../ctrlProps/ctrlProp14.xml"/><Relationship Id="rId7" Type="http://schemas.openxmlformats.org/officeDocument/2006/relationships/ctrlProp" Target="../ctrlProps/ctrlProp15.xml"/><Relationship Id="rId8"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5" Type="http://schemas.openxmlformats.org/officeDocument/2006/relationships/ctrlProp" Target="../ctrlProps/ctrlProp18.xml"/><Relationship Id="rId6" Type="http://schemas.openxmlformats.org/officeDocument/2006/relationships/ctrlProp" Target="../ctrlProps/ctrlProp19.xml"/><Relationship Id="rId7" Type="http://schemas.openxmlformats.org/officeDocument/2006/relationships/ctrlProp" Target="../ctrlProps/ctrlProp20.xml"/><Relationship Id="rId8"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1.xml"/><Relationship Id="rId4" Type="http://schemas.openxmlformats.org/officeDocument/2006/relationships/ctrlProp" Target="../ctrlProps/ctrlProp22.xml"/><Relationship Id="rId5" Type="http://schemas.openxmlformats.org/officeDocument/2006/relationships/ctrlProp" Target="../ctrlProps/ctrlProp23.xml"/><Relationship Id="rId6" Type="http://schemas.openxmlformats.org/officeDocument/2006/relationships/ctrlProp" Target="../ctrlProps/ctrlProp24.xml"/><Relationship Id="rId7" Type="http://schemas.openxmlformats.org/officeDocument/2006/relationships/ctrlProp" Target="../ctrlProps/ctrlProp25.xml"/><Relationship Id="rId8" Type="http://schemas.openxmlformats.org/officeDocument/2006/relationships/comments" Target="../comments5.xml"/><Relationship Id="rId1" Type="http://schemas.openxmlformats.org/officeDocument/2006/relationships/drawing" Target="../drawings/drawing6.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6.xml"/><Relationship Id="rId4" Type="http://schemas.openxmlformats.org/officeDocument/2006/relationships/ctrlProp" Target="../ctrlProps/ctrlProp27.xml"/><Relationship Id="rId5" Type="http://schemas.openxmlformats.org/officeDocument/2006/relationships/ctrlProp" Target="../ctrlProps/ctrlProp28.xml"/><Relationship Id="rId6" Type="http://schemas.openxmlformats.org/officeDocument/2006/relationships/ctrlProp" Target="../ctrlProps/ctrlProp29.xml"/><Relationship Id="rId7" Type="http://schemas.openxmlformats.org/officeDocument/2006/relationships/ctrlProp" Target="../ctrlProps/ctrlProp30.xml"/><Relationship Id="rId8" Type="http://schemas.openxmlformats.org/officeDocument/2006/relationships/comments" Target="../comments6.xml"/><Relationship Id="rId1" Type="http://schemas.openxmlformats.org/officeDocument/2006/relationships/drawing" Target="../drawings/drawing7.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1.xml"/><Relationship Id="rId4" Type="http://schemas.openxmlformats.org/officeDocument/2006/relationships/ctrlProp" Target="../ctrlProps/ctrlProp32.xml"/><Relationship Id="rId5" Type="http://schemas.openxmlformats.org/officeDocument/2006/relationships/ctrlProp" Target="../ctrlProps/ctrlProp33.xml"/><Relationship Id="rId6" Type="http://schemas.openxmlformats.org/officeDocument/2006/relationships/ctrlProp" Target="../ctrlProps/ctrlProp34.xml"/><Relationship Id="rId7" Type="http://schemas.openxmlformats.org/officeDocument/2006/relationships/ctrlProp" Target="../ctrlProps/ctrlProp35.xml"/><Relationship Id="rId8" Type="http://schemas.openxmlformats.org/officeDocument/2006/relationships/ctrlProp" Target="../ctrlProps/ctrlProp36.xml"/><Relationship Id="rId9" Type="http://schemas.openxmlformats.org/officeDocument/2006/relationships/ctrlProp" Target="../ctrlProps/ctrlProp37.xml"/><Relationship Id="rId10" Type="http://schemas.openxmlformats.org/officeDocument/2006/relationships/comments" Target="../comments7.xml"/><Relationship Id="rId1" Type="http://schemas.openxmlformats.org/officeDocument/2006/relationships/drawing" Target="../drawings/drawing8.xml"/><Relationship Id="rId2"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8.xml"/><Relationship Id="rId4" Type="http://schemas.openxmlformats.org/officeDocument/2006/relationships/ctrlProp" Target="../ctrlProps/ctrlProp39.xml"/><Relationship Id="rId5" Type="http://schemas.openxmlformats.org/officeDocument/2006/relationships/ctrlProp" Target="../ctrlProps/ctrlProp40.xml"/><Relationship Id="rId6" Type="http://schemas.openxmlformats.org/officeDocument/2006/relationships/ctrlProp" Target="../ctrlProps/ctrlProp41.xml"/><Relationship Id="rId7" Type="http://schemas.openxmlformats.org/officeDocument/2006/relationships/ctrlProp" Target="../ctrlProps/ctrlProp42.xml"/><Relationship Id="rId8" Type="http://schemas.openxmlformats.org/officeDocument/2006/relationships/ctrlProp" Target="../ctrlProps/ctrlProp43.xml"/><Relationship Id="rId9" Type="http://schemas.openxmlformats.org/officeDocument/2006/relationships/ctrlProp" Target="../ctrlProps/ctrlProp44.xml"/><Relationship Id="rId10" Type="http://schemas.openxmlformats.org/officeDocument/2006/relationships/comments" Target="../comments8.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5.xml"/><Relationship Id="rId4" Type="http://schemas.openxmlformats.org/officeDocument/2006/relationships/ctrlProp" Target="../ctrlProps/ctrlProp46.xml"/><Relationship Id="rId5" Type="http://schemas.openxmlformats.org/officeDocument/2006/relationships/ctrlProp" Target="../ctrlProps/ctrlProp47.xml"/><Relationship Id="rId6" Type="http://schemas.openxmlformats.org/officeDocument/2006/relationships/ctrlProp" Target="../ctrlProps/ctrlProp48.xml"/><Relationship Id="rId7" Type="http://schemas.openxmlformats.org/officeDocument/2006/relationships/ctrlProp" Target="../ctrlProps/ctrlProp49.xml"/><Relationship Id="rId8" Type="http://schemas.openxmlformats.org/officeDocument/2006/relationships/ctrlProp" Target="../ctrlProps/ctrlProp50.xml"/><Relationship Id="rId9" Type="http://schemas.openxmlformats.org/officeDocument/2006/relationships/ctrlProp" Target="../ctrlProps/ctrlProp51.xml"/><Relationship Id="rId10" Type="http://schemas.openxmlformats.org/officeDocument/2006/relationships/ctrlProp" Target="../ctrlProps/ctrlProp52.xml"/><Relationship Id="rId11" Type="http://schemas.openxmlformats.org/officeDocument/2006/relationships/comments" Target="../comments9.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11" Type="http://schemas.openxmlformats.org/officeDocument/2006/relationships/hyperlink" Target="http://www.fda.gov/ohrms/dockets/ac/04/briefing/4034B1_07_Bioequivalence%20Requirments-Draft.pdf" TargetMode="External"/><Relationship Id="rId12" Type="http://schemas.openxmlformats.org/officeDocument/2006/relationships/hyperlink" Target="http://www.fda.gov/ohrms/dockets/ac/04/briefing/4034B1_07_Bioequivalence%20Requirments-Draft.pdf" TargetMode="External"/><Relationship Id="rId13" Type="http://schemas.openxmlformats.org/officeDocument/2006/relationships/drawing" Target="../drawings/drawing11.xml"/><Relationship Id="rId14" Type="http://schemas.openxmlformats.org/officeDocument/2006/relationships/vmlDrawing" Target="../drawings/vmlDrawing10.vml"/><Relationship Id="rId15" Type="http://schemas.openxmlformats.org/officeDocument/2006/relationships/oleObject" Target="../embeddings/Microsoft_Equation1.bin"/><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2" Type="http://schemas.openxmlformats.org/officeDocument/2006/relationships/hyperlink" Target="http://www.fda.gov/ohrms/dockets/ac/06/slides/2006-4241s2_3.ppt" TargetMode="External"/><Relationship Id="rId3" Type="http://schemas.openxmlformats.org/officeDocument/2006/relationships/hyperlink" Target="http://bebac.at/news/2006-10-06.htm" TargetMode="External"/><Relationship Id="rId4" Type="http://schemas.openxmlformats.org/officeDocument/2006/relationships/hyperlink" Target="http://www.springerlink.com/content/u503p62056413677/fulltext.pdf" TargetMode="External"/><Relationship Id="rId5" Type="http://schemas.openxmlformats.org/officeDocument/2006/relationships/hyperlink" Target="http://www.fda.gov/ohrms/dockets/ac/06/slides/2006-4241s2_5.ppt" TargetMode="External"/><Relationship Id="rId6" Type="http://schemas.openxmlformats.org/officeDocument/2006/relationships/hyperlink" Target="http://www.springerlink.com/content/u503p62056413677/fulltext.pdf" TargetMode="External"/><Relationship Id="rId7" Type="http://schemas.openxmlformats.org/officeDocument/2006/relationships/hyperlink" Target="http://www.springerlink.com/content/u503p62056413677/fulltext.pdf" TargetMode="External"/><Relationship Id="rId8"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0" Type="http://schemas.openxmlformats.org/officeDocument/2006/relationships/hyperlink" Target="http://www.springerlink.com/content/u503p62056413677/fulltext.pdf"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2" Type="http://schemas.openxmlformats.org/officeDocument/2006/relationships/vmlDrawing" Target="../drawings/vmlDrawing11.vml"/><Relationship Id="rId3" Type="http://schemas.openxmlformats.org/officeDocument/2006/relationships/ctrlProp" Target="../ctrlProps/ctrlProp5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 Id="rId2" Type="http://schemas.openxmlformats.org/officeDocument/2006/relationships/vmlDrawing" Target="../drawings/vmlDrawing12.vml"/><Relationship Id="rId3"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 Id="rId2" Type="http://schemas.openxmlformats.org/officeDocument/2006/relationships/vmlDrawing" Target="../drawings/vmlDrawing13.vml"/><Relationship Id="rId3" Type="http://schemas.openxmlformats.org/officeDocument/2006/relationships/ctrlProp" Target="../ctrlProps/ctrlProp5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I45"/>
  <sheetViews>
    <sheetView tabSelected="1" zoomScale="115" zoomScaleNormal="115" zoomScalePageLayoutView="115" workbookViewId="0">
      <selection activeCell="C8" sqref="C8"/>
    </sheetView>
  </sheetViews>
  <sheetFormatPr baseColWidth="10" defaultColWidth="9.1640625" defaultRowHeight="12" x14ac:dyDescent="0"/>
  <cols>
    <col min="1" max="1" width="5.1640625" style="66" customWidth="1"/>
    <col min="2" max="2" width="10.5" style="66" customWidth="1"/>
    <col min="3" max="16384" width="9.1640625" style="66"/>
  </cols>
  <sheetData>
    <row r="2" spans="2:9" ht="18">
      <c r="C2" s="67" t="s">
        <v>243</v>
      </c>
      <c r="I2" s="68" t="s">
        <v>242</v>
      </c>
    </row>
    <row r="3" spans="2:9" ht="18">
      <c r="C3" s="67" t="s">
        <v>244</v>
      </c>
    </row>
    <row r="4" spans="2:9">
      <c r="B4" s="69" t="s">
        <v>80</v>
      </c>
    </row>
    <row r="6" spans="2:9">
      <c r="B6" s="70" t="s">
        <v>233</v>
      </c>
    </row>
    <row r="8" spans="2:9">
      <c r="B8" s="71"/>
    </row>
    <row r="9" spans="2:9">
      <c r="B9" s="72"/>
    </row>
    <row r="10" spans="2:9">
      <c r="B10" s="73"/>
    </row>
    <row r="11" spans="2:9">
      <c r="B11" s="73"/>
    </row>
    <row r="12" spans="2:9">
      <c r="B12" s="73"/>
    </row>
    <row r="28" spans="2:9">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245</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hyperlink ref="B31" r:id="rId2"/>
    <hyperlink ref="B32" r:id="rId3"/>
    <hyperlink ref="B33" r:id="rId4"/>
    <hyperlink ref="B34" r:id="rId5"/>
    <hyperlink ref="B35" r:id="rId6"/>
    <hyperlink ref="B36" r:id="rId7"/>
    <hyperlink ref="B37" r:id="rId8"/>
    <hyperlink ref="B38" r:id="rId9" location="fn9"/>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1:AF66"/>
  <sheetViews>
    <sheetView zoomScale="96" zoomScaleNormal="96" zoomScalePageLayoutView="96" workbookViewId="0">
      <selection activeCell="C2" sqref="C2"/>
    </sheetView>
  </sheetViews>
  <sheetFormatPr baseColWidth="10" defaultColWidth="9.1640625" defaultRowHeight="12" x14ac:dyDescent="0"/>
  <cols>
    <col min="1" max="1" width="5.1640625" style="1" customWidth="1"/>
    <col min="2" max="2" width="22.5" style="1" customWidth="1"/>
    <col min="3" max="20" width="9.1640625" style="1"/>
    <col min="21" max="21" width="9.1640625" style="52"/>
    <col min="22" max="23" width="12.33203125" style="52" bestFit="1" customWidth="1"/>
    <col min="24" max="30" width="9.1640625" style="52"/>
    <col min="31" max="32" width="9.1640625" style="51"/>
    <col min="33" max="16384" width="9.1640625" style="1"/>
  </cols>
  <sheetData>
    <row r="1" spans="2:31" ht="24" thickBot="1">
      <c r="B1" s="17" t="s">
        <v>68</v>
      </c>
      <c r="E1" s="9" t="s">
        <v>122</v>
      </c>
    </row>
    <row r="2" spans="2:31" ht="13" thickBot="1">
      <c r="B2" s="1" t="s">
        <v>1</v>
      </c>
      <c r="C2" s="2">
        <v>0.9</v>
      </c>
      <c r="D2" s="1" t="s">
        <v>21</v>
      </c>
    </row>
    <row r="3" spans="2:31" ht="13" thickBot="1">
      <c r="B3" s="1" t="s">
        <v>22</v>
      </c>
      <c r="C3" s="3">
        <v>1</v>
      </c>
      <c r="D3" s="1" t="s">
        <v>23</v>
      </c>
    </row>
    <row r="4" spans="2:31" ht="14" thickBot="1">
      <c r="B4" s="8" t="s">
        <v>59</v>
      </c>
      <c r="C4" s="18">
        <v>0.05</v>
      </c>
      <c r="D4" s="1" t="s">
        <v>67</v>
      </c>
    </row>
    <row r="5" spans="2:31" ht="14" thickBot="1">
      <c r="B5" s="8" t="s">
        <v>18</v>
      </c>
      <c r="C5" s="3">
        <v>40</v>
      </c>
      <c r="D5" s="1" t="s">
        <v>19</v>
      </c>
      <c r="U5" s="52" t="s">
        <v>56</v>
      </c>
    </row>
    <row r="6" spans="2:31" ht="14" thickBot="1">
      <c r="B6" s="1" t="s">
        <v>17</v>
      </c>
      <c r="C6" s="3">
        <v>8</v>
      </c>
      <c r="D6" s="1" t="s">
        <v>24</v>
      </c>
      <c r="U6" s="52">
        <v>2</v>
      </c>
    </row>
    <row r="7" spans="2:31" ht="13" thickBot="1">
      <c r="C7" s="4"/>
    </row>
    <row r="8" spans="2:31" ht="14" thickBot="1">
      <c r="B8" s="12" t="s">
        <v>118</v>
      </c>
      <c r="C8" s="11">
        <f>C6/C5</f>
        <v>0.2</v>
      </c>
    </row>
    <row r="10" spans="2:31" ht="13">
      <c r="B10" s="8" t="s">
        <v>18</v>
      </c>
      <c r="C10" s="1">
        <f>C5</f>
        <v>40</v>
      </c>
      <c r="V10" s="52" t="s">
        <v>212</v>
      </c>
      <c r="W10" s="52" t="s">
        <v>210</v>
      </c>
      <c r="X10" s="52" t="s">
        <v>213</v>
      </c>
      <c r="Y10" s="52" t="s">
        <v>211</v>
      </c>
      <c r="AA10" s="52" t="s">
        <v>224</v>
      </c>
      <c r="AB10" s="52" t="s">
        <v>225</v>
      </c>
    </row>
    <row r="11" spans="2:31">
      <c r="B11" s="1" t="s">
        <v>60</v>
      </c>
      <c r="C11" s="7">
        <v>527</v>
      </c>
      <c r="U11" s="52" t="s">
        <v>206</v>
      </c>
      <c r="V11" s="55">
        <f>4*C5</f>
        <v>160</v>
      </c>
      <c r="W11" s="52">
        <f>$C$5</f>
        <v>40</v>
      </c>
      <c r="X11" s="52">
        <f>W11/SQRT(C20)</f>
        <v>1.7424273674761284</v>
      </c>
      <c r="Y11" s="52">
        <f>TINV($C$4*2,$C$20-1)*X11</f>
        <v>2.8710945679140898</v>
      </c>
      <c r="AA11" s="52">
        <f>V12+4*W12</f>
        <v>328</v>
      </c>
      <c r="AB11" s="52">
        <f>AA11/33</f>
        <v>9.9393939393939394</v>
      </c>
    </row>
    <row r="12" spans="2:31">
      <c r="B12" s="1" t="s">
        <v>61</v>
      </c>
      <c r="C12" s="1">
        <f>C11*(C3+1)-2</f>
        <v>1052</v>
      </c>
      <c r="U12" s="52" t="s">
        <v>207</v>
      </c>
      <c r="V12" s="55">
        <f>V11+C6</f>
        <v>168</v>
      </c>
      <c r="W12" s="52">
        <f>$C$5</f>
        <v>40</v>
      </c>
      <c r="X12" s="52">
        <f>W12/SQRT(D20)</f>
        <v>1.7424273674761284</v>
      </c>
      <c r="Y12" s="52">
        <f>TINV($C$4*2,$D$20-1)*X12</f>
        <v>2.8710945679140898</v>
      </c>
    </row>
    <row r="13" spans="2:31">
      <c r="B13" s="1" t="s">
        <v>62</v>
      </c>
      <c r="C13" s="1">
        <f>TINV(C4,C12)</f>
        <v>1.9622215477763136</v>
      </c>
      <c r="Y13" s="52" t="b">
        <v>1</v>
      </c>
      <c r="AC13" s="52" t="b">
        <v>0</v>
      </c>
    </row>
    <row r="14" spans="2:31">
      <c r="B14" s="1" t="s">
        <v>4</v>
      </c>
      <c r="C14" s="1">
        <f>SQRT((C3*C11*C6^2)/((C3+1)*C10^2))</f>
        <v>3.246536616149585</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157.1289054320859</v>
      </c>
      <c r="AE16" s="51">
        <v>0</v>
      </c>
    </row>
    <row r="17" spans="2:31">
      <c r="B17" s="1" t="s">
        <v>6</v>
      </c>
      <c r="C17" s="1">
        <f>NCt(C13,C12,C14)</f>
        <v>9.9639668978869542E-2</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157.1289054320859</v>
      </c>
      <c r="AE17" s="51">
        <f>IF(AC13,MAX($V$15:$V$47),0)</f>
        <v>0</v>
      </c>
    </row>
    <row r="18" spans="2:31" ht="13">
      <c r="B18" s="1" t="s">
        <v>58</v>
      </c>
      <c r="C18" s="1">
        <f>1-C17</f>
        <v>0.90036033102113044</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162.8710945679141</v>
      </c>
      <c r="AE19" s="51">
        <v>0</v>
      </c>
    </row>
    <row r="20" spans="2:31">
      <c r="B20" s="1" t="s">
        <v>11</v>
      </c>
      <c r="C20" s="1">
        <f>CEILING(C11,1)</f>
        <v>527</v>
      </c>
      <c r="D20" s="1">
        <f>C20*C3</f>
        <v>527</v>
      </c>
      <c r="E20" s="1">
        <f>C20+D20</f>
        <v>1054</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162.8710945679141</v>
      </c>
      <c r="AE20" s="51">
        <f>AE17</f>
        <v>0</v>
      </c>
    </row>
    <row r="21" spans="2:31">
      <c r="U21" s="52">
        <f t="shared" si="2"/>
        <v>59.636363636363633</v>
      </c>
      <c r="V21" s="52">
        <f t="shared" si="0"/>
        <v>4.2834287111349645E-4</v>
      </c>
      <c r="W21" s="52">
        <f t="shared" si="1"/>
        <v>2.5419604341562314E-4</v>
      </c>
    </row>
    <row r="22" spans="2:31">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165.1289054320859</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165.1289054320859</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170.8710945679141</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170.8710945679141</v>
      </c>
      <c r="AE28" s="51">
        <f>AE25</f>
        <v>0</v>
      </c>
    </row>
    <row r="29" spans="2:31">
      <c r="U29" s="52">
        <f t="shared" si="2"/>
        <v>139.15151515151516</v>
      </c>
      <c r="V29" s="52">
        <f t="shared" si="0"/>
        <v>8.7068167558675656E-3</v>
      </c>
      <c r="W29" s="52">
        <f t="shared" si="1"/>
        <v>7.6895620381677134E-3</v>
      </c>
      <c r="Y29" s="52" t="b">
        <v>1</v>
      </c>
    </row>
    <row r="30" spans="2:31">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c r="D36" s="9" t="s">
        <v>81</v>
      </c>
      <c r="U36" s="52">
        <f t="shared" si="2"/>
        <v>208.72727272727272</v>
      </c>
      <c r="V36" s="52">
        <f t="shared" si="0"/>
        <v>4.7490937985305588E-3</v>
      </c>
      <c r="W36" s="52">
        <f t="shared" si="1"/>
        <v>5.939293484075259E-3</v>
      </c>
      <c r="Y36" s="52" t="s">
        <v>218</v>
      </c>
      <c r="Z36" s="52">
        <f>Z35</f>
        <v>168</v>
      </c>
      <c r="AA36" s="52">
        <f>AA33</f>
        <v>9.9706267351264838E-3</v>
      </c>
    </row>
    <row r="37" spans="2:27" ht="17">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S_Probt">
                <anchor moveWithCells="1" sizeWithCells="1">
                  <from>
                    <xdr:col>1</xdr:col>
                    <xdr:colOff>101600</xdr:colOff>
                    <xdr:row>21</xdr:row>
                    <xdr:rowOff>76200</xdr:rowOff>
                  </from>
                  <to>
                    <xdr:col>2</xdr:col>
                    <xdr:colOff>520700</xdr:colOff>
                    <xdr:row>23</xdr:row>
                    <xdr:rowOff>25400</xdr:rowOff>
                  </to>
                </anchor>
              </controlPr>
            </control>
          </mc:Choice>
          <mc:Fallback/>
        </mc:AlternateContent>
        <mc:AlternateContent xmlns:mc="http://schemas.openxmlformats.org/markup-compatibility/2006">
          <mc:Choice Requires="x14">
            <control shapeId="11273" r:id="rId4" name="Button 9">
              <controlPr defaultSize="0" print="0" autoFill="0" autoPict="0" macro="[0]!SS_Boss">
                <anchor moveWithCells="1" sizeWithCells="1">
                  <from>
                    <xdr:col>2</xdr:col>
                    <xdr:colOff>596900</xdr:colOff>
                    <xdr:row>21</xdr:row>
                    <xdr:rowOff>76200</xdr:rowOff>
                  </from>
                  <to>
                    <xdr:col>4</xdr:col>
                    <xdr:colOff>215900</xdr:colOff>
                    <xdr:row>23</xdr:row>
                    <xdr:rowOff>25400</xdr:rowOff>
                  </to>
                </anchor>
              </controlPr>
            </control>
          </mc:Choice>
          <mc:Fallback/>
        </mc:AlternateContent>
        <mc:AlternateContent xmlns:mc="http://schemas.openxmlformats.org/markup-compatibility/2006">
          <mc:Choice Requires="x14">
            <control shapeId="11276" r:id="rId5" name="Check Box 12">
              <controlPr defaultSize="0" autoFill="0" autoLine="0" autoPict="0">
                <anchor moveWithCells="1">
                  <from>
                    <xdr:col>11</xdr:col>
                    <xdr:colOff>482600</xdr:colOff>
                    <xdr:row>7</xdr:row>
                    <xdr:rowOff>101600</xdr:rowOff>
                  </from>
                  <to>
                    <xdr:col>13</xdr:col>
                    <xdr:colOff>25400</xdr:colOff>
                    <xdr:row>8</xdr:row>
                    <xdr:rowOff>139700</xdr:rowOff>
                  </to>
                </anchor>
              </controlPr>
            </control>
          </mc:Choice>
          <mc:Fallback/>
        </mc:AlternateContent>
        <mc:AlternateContent xmlns:mc="http://schemas.openxmlformats.org/markup-compatibility/2006">
          <mc:Choice Requires="x14">
            <control shapeId="11277" r:id="rId6" name="Check Box 13">
              <controlPr defaultSize="0" autoFill="0" autoLine="0" autoPict="0">
                <anchor moveWithCells="1">
                  <from>
                    <xdr:col>11</xdr:col>
                    <xdr:colOff>482600</xdr:colOff>
                    <xdr:row>8</xdr:row>
                    <xdr:rowOff>139700</xdr:rowOff>
                  </from>
                  <to>
                    <xdr:col>13</xdr:col>
                    <xdr:colOff>25400</xdr:colOff>
                    <xdr:row>10</xdr:row>
                    <xdr:rowOff>12700</xdr:rowOff>
                  </to>
                </anchor>
              </controlPr>
            </control>
          </mc:Choice>
          <mc:Fallback/>
        </mc:AlternateContent>
        <mc:AlternateContent xmlns:mc="http://schemas.openxmlformats.org/markup-compatibility/2006">
          <mc:Choice Requires="x14">
            <control shapeId="11278" r:id="rId7" name="Check Box 14">
              <controlPr defaultSize="0" autoFill="0" autoLine="0" autoPict="0">
                <anchor moveWithCells="1">
                  <from>
                    <xdr:col>11</xdr:col>
                    <xdr:colOff>482600</xdr:colOff>
                    <xdr:row>10</xdr:row>
                    <xdr:rowOff>12700</xdr:rowOff>
                  </from>
                  <to>
                    <xdr:col>13</xdr:col>
                    <xdr:colOff>25400</xdr:colOff>
                    <xdr:row>11</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1:AE53"/>
  <sheetViews>
    <sheetView workbookViewId="0">
      <selection activeCell="C2" sqref="C2"/>
    </sheetView>
  </sheetViews>
  <sheetFormatPr baseColWidth="10" defaultColWidth="9.1640625" defaultRowHeight="12" x14ac:dyDescent="0"/>
  <cols>
    <col min="1" max="1" width="5.1640625" style="1" customWidth="1"/>
    <col min="2" max="2" width="21.5" style="1" customWidth="1"/>
    <col min="3" max="3" width="9.1640625" style="1"/>
    <col min="4" max="4" width="9.33203125" style="1" customWidth="1"/>
    <col min="5" max="16384" width="9.1640625" style="1"/>
  </cols>
  <sheetData>
    <row r="1" spans="2:31" ht="24" thickBot="1">
      <c r="B1" s="17" t="s">
        <v>69</v>
      </c>
      <c r="F1" s="9" t="s">
        <v>122</v>
      </c>
    </row>
    <row r="2" spans="2:31" ht="13" thickBot="1">
      <c r="B2" s="1" t="s">
        <v>1</v>
      </c>
      <c r="C2" s="2">
        <v>0.9</v>
      </c>
      <c r="D2" s="1" t="s">
        <v>21</v>
      </c>
    </row>
    <row r="3" spans="2:31" ht="13" thickBot="1">
      <c r="C3" s="10"/>
    </row>
    <row r="4" spans="2:31" ht="14" thickBot="1">
      <c r="B4" s="8" t="s">
        <v>59</v>
      </c>
      <c r="C4" s="2">
        <v>0.05</v>
      </c>
      <c r="D4" s="1" t="s">
        <v>20</v>
      </c>
    </row>
    <row r="5" spans="2:31" ht="14" thickBot="1">
      <c r="B5" s="8" t="s">
        <v>26</v>
      </c>
      <c r="C5" s="3">
        <v>20</v>
      </c>
      <c r="D5" s="1" t="s">
        <v>117</v>
      </c>
      <c r="U5" s="1" t="s">
        <v>56</v>
      </c>
    </row>
    <row r="6" spans="2:31" ht="14" thickBot="1">
      <c r="B6" s="1" t="s">
        <v>17</v>
      </c>
      <c r="C6" s="3">
        <v>10</v>
      </c>
      <c r="D6" s="1" t="s">
        <v>24</v>
      </c>
      <c r="U6" s="1">
        <v>1</v>
      </c>
    </row>
    <row r="7" spans="2:31" ht="13" thickBot="1">
      <c r="C7" s="4"/>
    </row>
    <row r="8" spans="2:31" ht="14" thickBot="1">
      <c r="B8" s="12" t="s">
        <v>119</v>
      </c>
      <c r="C8" s="11">
        <f>C6/C5</f>
        <v>0.5</v>
      </c>
    </row>
    <row r="10" spans="2:31" ht="14" thickBot="1">
      <c r="B10" s="8" t="s">
        <v>26</v>
      </c>
      <c r="C10" s="1">
        <f>C5</f>
        <v>20</v>
      </c>
      <c r="V10" s="44" t="s">
        <v>212</v>
      </c>
      <c r="W10" s="44" t="s">
        <v>210</v>
      </c>
      <c r="X10" s="44" t="s">
        <v>213</v>
      </c>
      <c r="Y10" s="44" t="s">
        <v>211</v>
      </c>
      <c r="AA10" s="44" t="s">
        <v>224</v>
      </c>
      <c r="AB10" s="44" t="s">
        <v>225</v>
      </c>
    </row>
    <row r="11" spans="2:31" ht="13" thickBot="1">
      <c r="B11" s="1" t="s">
        <v>0</v>
      </c>
      <c r="C11" s="7">
        <v>87</v>
      </c>
      <c r="U11" s="44" t="s">
        <v>206</v>
      </c>
      <c r="V11" s="30">
        <f>4*C5</f>
        <v>80</v>
      </c>
      <c r="W11" s="1">
        <f>$C$5</f>
        <v>20</v>
      </c>
      <c r="X11" s="1">
        <f>W11/SQRT(C20)</f>
        <v>2.1442250696755893</v>
      </c>
      <c r="Y11" s="1">
        <f>TINV($C$4*2,$C$20-2)*X11</f>
        <v>3.5658001893923177</v>
      </c>
      <c r="AA11" s="1">
        <f>V12+4*W12</f>
        <v>170</v>
      </c>
      <c r="AB11" s="1">
        <f>AA11/33</f>
        <v>5.1515151515151514</v>
      </c>
    </row>
    <row r="12" spans="2:31" ht="13" thickBot="1">
      <c r="B12" s="1" t="s">
        <v>2</v>
      </c>
      <c r="C12" s="1">
        <f>C11*(C3+1)-2</f>
        <v>85</v>
      </c>
      <c r="U12" s="44" t="s">
        <v>207</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c r="B14" s="1" t="s">
        <v>4</v>
      </c>
      <c r="C14" s="1">
        <f>SQRT((C11*C6^2)/(2*C10^2))</f>
        <v>3.2977264895682299</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76.43419981060768</v>
      </c>
      <c r="AE17" s="1">
        <f>IF(AC13,MAX($V$15:$V$47),0)</f>
        <v>0</v>
      </c>
    </row>
    <row r="18" spans="2:31" ht="13">
      <c r="B18" s="1" t="s">
        <v>58</v>
      </c>
      <c r="C18" s="1">
        <f>1-C17</f>
        <v>0.90324742978563743</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83.56580018939232</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86.43419981060768</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86.43419981060768</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93.56580018939232</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93.56580018939232</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7">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101600</xdr:colOff>
                    <xdr:row>21</xdr:row>
                    <xdr:rowOff>76200</xdr:rowOff>
                  </from>
                  <to>
                    <xdr:col>2</xdr:col>
                    <xdr:colOff>520700</xdr:colOff>
                    <xdr:row>23</xdr:row>
                    <xdr:rowOff>25400</xdr:rowOff>
                  </to>
                </anchor>
              </controlPr>
            </control>
          </mc:Choice>
          <mc:Fallback/>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596900</xdr:colOff>
                    <xdr:row>21</xdr:row>
                    <xdr:rowOff>76200</xdr:rowOff>
                  </from>
                  <to>
                    <xdr:col>4</xdr:col>
                    <xdr:colOff>215900</xdr:colOff>
                    <xdr:row>23</xdr:row>
                    <xdr:rowOff>25400</xdr:rowOff>
                  </to>
                </anchor>
              </controlPr>
            </control>
          </mc:Choice>
          <mc:Fallback/>
        </mc:AlternateContent>
        <mc:AlternateContent xmlns:mc="http://schemas.openxmlformats.org/markup-compatibility/2006">
          <mc:Choice Requires="x14">
            <control shapeId="12304" r:id="rId5" name="Check Box 16">
              <controlPr defaultSize="0" autoFill="0" autoLine="0" autoPict="0">
                <anchor moveWithCells="1">
                  <from>
                    <xdr:col>10</xdr:col>
                    <xdr:colOff>558800</xdr:colOff>
                    <xdr:row>7</xdr:row>
                    <xdr:rowOff>25400</xdr:rowOff>
                  </from>
                  <to>
                    <xdr:col>12</xdr:col>
                    <xdr:colOff>76200</xdr:colOff>
                    <xdr:row>8</xdr:row>
                    <xdr:rowOff>38100</xdr:rowOff>
                  </to>
                </anchor>
              </controlPr>
            </control>
          </mc:Choice>
          <mc:Fallback/>
        </mc:AlternateContent>
        <mc:AlternateContent xmlns:mc="http://schemas.openxmlformats.org/markup-compatibility/2006">
          <mc:Choice Requires="x14">
            <control shapeId="12305" r:id="rId6" name="Check Box 17">
              <controlPr defaultSize="0" autoFill="0" autoLine="0" autoPict="0">
                <anchor moveWithCells="1">
                  <from>
                    <xdr:col>10</xdr:col>
                    <xdr:colOff>558800</xdr:colOff>
                    <xdr:row>8</xdr:row>
                    <xdr:rowOff>38100</xdr:rowOff>
                  </from>
                  <to>
                    <xdr:col>12</xdr:col>
                    <xdr:colOff>76200</xdr:colOff>
                    <xdr:row>9</xdr:row>
                    <xdr:rowOff>101600</xdr:rowOff>
                  </to>
                </anchor>
              </controlPr>
            </control>
          </mc:Choice>
          <mc:Fallback/>
        </mc:AlternateContent>
        <mc:AlternateContent xmlns:mc="http://schemas.openxmlformats.org/markup-compatibility/2006">
          <mc:Choice Requires="x14">
            <control shapeId="12306" r:id="rId7" name="Check Box 18">
              <controlPr defaultSize="0" autoFill="0" autoLine="0" autoPict="0">
                <anchor moveWithCells="1">
                  <from>
                    <xdr:col>10</xdr:col>
                    <xdr:colOff>558800</xdr:colOff>
                    <xdr:row>9</xdr:row>
                    <xdr:rowOff>101600</xdr:rowOff>
                  </from>
                  <to>
                    <xdr:col>12</xdr:col>
                    <xdr:colOff>76200</xdr:colOff>
                    <xdr:row>10</xdr:row>
                    <xdr:rowOff>114300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B1:AE64"/>
  <sheetViews>
    <sheetView workbookViewId="0">
      <selection activeCell="C2" sqref="C2"/>
    </sheetView>
  </sheetViews>
  <sheetFormatPr baseColWidth="10" defaultColWidth="9.1640625" defaultRowHeight="12" x14ac:dyDescent="0"/>
  <cols>
    <col min="1" max="1" width="5.1640625" style="1" customWidth="1"/>
    <col min="2" max="2" width="21.5" style="1" customWidth="1"/>
    <col min="3" max="3" width="12.5" style="1" bestFit="1" customWidth="1"/>
    <col min="4" max="16384" width="9.1640625" style="1"/>
  </cols>
  <sheetData>
    <row r="1" spans="2:31" ht="24" thickBot="1">
      <c r="B1" s="17" t="s">
        <v>70</v>
      </c>
      <c r="E1" s="9" t="s">
        <v>122</v>
      </c>
    </row>
    <row r="2" spans="2:31" ht="13" thickBot="1">
      <c r="B2" s="1" t="s">
        <v>1</v>
      </c>
      <c r="C2" s="2">
        <v>0.9</v>
      </c>
      <c r="D2" s="1" t="s">
        <v>21</v>
      </c>
    </row>
    <row r="3" spans="2:31" ht="13" thickBot="1">
      <c r="B3" s="1" t="s">
        <v>22</v>
      </c>
      <c r="C3" s="3">
        <v>1</v>
      </c>
      <c r="D3" s="1" t="s">
        <v>23</v>
      </c>
    </row>
    <row r="4" spans="2:31" ht="14" thickBot="1">
      <c r="B4" s="8" t="s">
        <v>59</v>
      </c>
      <c r="C4" s="13">
        <v>2.5000000000000001E-2</v>
      </c>
      <c r="D4" s="1" t="s">
        <v>65</v>
      </c>
    </row>
    <row r="5" spans="2:31" ht="14" thickBot="1">
      <c r="B5" s="8" t="s">
        <v>18</v>
      </c>
      <c r="C5" s="3">
        <v>50</v>
      </c>
      <c r="D5" s="1" t="s">
        <v>19</v>
      </c>
      <c r="U5" s="1" t="s">
        <v>56</v>
      </c>
    </row>
    <row r="6" spans="2:31" ht="14" thickBot="1">
      <c r="B6" s="1" t="s">
        <v>17</v>
      </c>
      <c r="C6" s="3">
        <v>10</v>
      </c>
      <c r="D6" s="1" t="s">
        <v>28</v>
      </c>
      <c r="U6" s="1">
        <v>2</v>
      </c>
    </row>
    <row r="7" spans="2:31" ht="15" thickBot="1">
      <c r="B7" s="12" t="s">
        <v>5</v>
      </c>
      <c r="C7" s="3">
        <v>0</v>
      </c>
      <c r="D7" s="1" t="s">
        <v>57</v>
      </c>
      <c r="AC7" s="48" t="s">
        <v>231</v>
      </c>
    </row>
    <row r="8" spans="2:31" ht="14" thickBot="1">
      <c r="B8" s="12" t="s">
        <v>118</v>
      </c>
      <c r="C8" s="11">
        <f>C6/C5</f>
        <v>0.2</v>
      </c>
    </row>
    <row r="10" spans="2:31" ht="14" thickBot="1">
      <c r="B10" s="8" t="s">
        <v>18</v>
      </c>
      <c r="C10" s="1">
        <f>C5</f>
        <v>50</v>
      </c>
      <c r="V10" s="44" t="s">
        <v>212</v>
      </c>
      <c r="W10" s="44" t="s">
        <v>210</v>
      </c>
      <c r="X10" s="44" t="s">
        <v>213</v>
      </c>
      <c r="Y10" s="44" t="s">
        <v>211</v>
      </c>
      <c r="AA10" s="44" t="s">
        <v>224</v>
      </c>
      <c r="AB10" s="44" t="s">
        <v>225</v>
      </c>
    </row>
    <row r="11" spans="2:31" ht="13" thickBot="1">
      <c r="B11" s="1" t="s">
        <v>16</v>
      </c>
      <c r="C11" s="7">
        <v>651</v>
      </c>
      <c r="U11" s="44" t="s">
        <v>206</v>
      </c>
      <c r="V11" s="30">
        <f>4*C5</f>
        <v>200</v>
      </c>
      <c r="W11" s="1">
        <f>$C$5</f>
        <v>50</v>
      </c>
      <c r="X11" s="1">
        <f>W11/SQRT(C20)</f>
        <v>1.9596545041740514</v>
      </c>
      <c r="Y11" s="1">
        <f>TINV($C$4*2,$C$20-2)*X11</f>
        <v>3.8480284697903908</v>
      </c>
      <c r="AA11" s="1">
        <f>V12+4*W12</f>
        <v>400</v>
      </c>
      <c r="AB11" s="1">
        <f>AA11/33</f>
        <v>12.121212121212121</v>
      </c>
    </row>
    <row r="12" spans="2:31" ht="13" thickBot="1">
      <c r="B12" s="1" t="s">
        <v>15</v>
      </c>
      <c r="C12" s="1">
        <f>C11*(C3+1)-2</f>
        <v>1300</v>
      </c>
      <c r="U12" s="44" t="s">
        <v>207</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c r="B14" s="1" t="s">
        <v>3</v>
      </c>
      <c r="C14" s="1">
        <f>(C7-C6)*SQRT(C3*C11)/SQRT((C3+1)*C10^2)</f>
        <v>-3.6083237105337429</v>
      </c>
      <c r="U14" s="44" t="s">
        <v>205</v>
      </c>
      <c r="V14" s="44" t="s">
        <v>208</v>
      </c>
      <c r="W14" s="44" t="s">
        <v>209</v>
      </c>
      <c r="Y14" s="9" t="s">
        <v>220</v>
      </c>
      <c r="AC14" s="9" t="s">
        <v>222</v>
      </c>
    </row>
    <row r="15" spans="2:31">
      <c r="B15" s="1" t="s">
        <v>4</v>
      </c>
      <c r="C15" s="1">
        <f>(C7+C6)*SQRT(C3*C11)/SQRT((C3+1)*C10^2)</f>
        <v>3.6083237105337429</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196.15197153020961</v>
      </c>
      <c r="AE17" s="1">
        <f>IF(AC13,MAX($V$15:$V$47),0)</f>
        <v>0</v>
      </c>
    </row>
    <row r="18" spans="2:31" ht="13">
      <c r="B18" s="1" t="s">
        <v>58</v>
      </c>
      <c r="C18" s="1">
        <f>C16-C17</f>
        <v>0.90017298249557198</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44" t="s">
        <v>218</v>
      </c>
      <c r="Z20" s="1">
        <f>Z19</f>
        <v>250</v>
      </c>
      <c r="AA20" s="1">
        <f>AA17</f>
        <v>7.9204462678126551E-3</v>
      </c>
      <c r="AC20" s="44" t="s">
        <v>218</v>
      </c>
      <c r="AD20" s="1">
        <f>AD19</f>
        <v>203.84802846979039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196.15197153020961</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196.15197153020961</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203.84802846979039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7">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101600</xdr:colOff>
                    <xdr:row>21</xdr:row>
                    <xdr:rowOff>76200</xdr:rowOff>
                  </from>
                  <to>
                    <xdr:col>2</xdr:col>
                    <xdr:colOff>533400</xdr:colOff>
                    <xdr:row>23</xdr:row>
                    <xdr:rowOff>25400</xdr:rowOff>
                  </to>
                </anchor>
              </controlPr>
            </control>
          </mc:Choice>
          <mc:Fallback/>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25400</xdr:rowOff>
                  </to>
                </anchor>
              </controlPr>
            </control>
          </mc:Choice>
          <mc:Fallback/>
        </mc:AlternateContent>
        <mc:AlternateContent xmlns:mc="http://schemas.openxmlformats.org/markup-compatibility/2006">
          <mc:Choice Requires="x14">
            <control shapeId="15376" r:id="rId5" name="Check Box 16">
              <controlPr defaultSize="0" autoFill="0" autoLine="0" autoPict="0">
                <anchor moveWithCells="1">
                  <from>
                    <xdr:col>11</xdr:col>
                    <xdr:colOff>330200</xdr:colOff>
                    <xdr:row>8</xdr:row>
                    <xdr:rowOff>114300</xdr:rowOff>
                  </from>
                  <to>
                    <xdr:col>12</xdr:col>
                    <xdr:colOff>482600</xdr:colOff>
                    <xdr:row>9</xdr:row>
                    <xdr:rowOff>177800</xdr:rowOff>
                  </to>
                </anchor>
              </controlPr>
            </control>
          </mc:Choice>
          <mc:Fallback/>
        </mc:AlternateContent>
        <mc:AlternateContent xmlns:mc="http://schemas.openxmlformats.org/markup-compatibility/2006">
          <mc:Choice Requires="x14">
            <control shapeId="15377" r:id="rId6" name="Check Box 17">
              <controlPr defaultSize="0" autoFill="0" autoLine="0" autoPict="0">
                <anchor moveWithCells="1">
                  <from>
                    <xdr:col>11</xdr:col>
                    <xdr:colOff>330200</xdr:colOff>
                    <xdr:row>9</xdr:row>
                    <xdr:rowOff>177800</xdr:rowOff>
                  </from>
                  <to>
                    <xdr:col>12</xdr:col>
                    <xdr:colOff>482600</xdr:colOff>
                    <xdr:row>11</xdr:row>
                    <xdr:rowOff>25400</xdr:rowOff>
                  </to>
                </anchor>
              </controlPr>
            </control>
          </mc:Choice>
          <mc:Fallback/>
        </mc:AlternateContent>
        <mc:AlternateContent xmlns:mc="http://schemas.openxmlformats.org/markup-compatibility/2006">
          <mc:Choice Requires="x14">
            <control shapeId="15378" r:id="rId7" name="Check Box 18">
              <controlPr defaultSize="0" autoFill="0" autoLine="0" autoPict="0">
                <anchor moveWithCells="1">
                  <from>
                    <xdr:col>11</xdr:col>
                    <xdr:colOff>330200</xdr:colOff>
                    <xdr:row>11</xdr:row>
                    <xdr:rowOff>25400</xdr:rowOff>
                  </from>
                  <to>
                    <xdr:col>12</xdr:col>
                    <xdr:colOff>482600</xdr:colOff>
                    <xdr:row>12</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B1:AE67"/>
  <sheetViews>
    <sheetView workbookViewId="0">
      <selection activeCell="C2" sqref="C2"/>
    </sheetView>
  </sheetViews>
  <sheetFormatPr baseColWidth="10" defaultColWidth="9.1640625" defaultRowHeight="12" x14ac:dyDescent="0"/>
  <cols>
    <col min="1" max="1" width="5.1640625" style="1" customWidth="1"/>
    <col min="2" max="2" width="21.5" style="1" customWidth="1"/>
    <col min="3" max="3" width="12.5" style="1" bestFit="1" customWidth="1"/>
    <col min="4" max="16384" width="9.1640625" style="1"/>
  </cols>
  <sheetData>
    <row r="1" spans="2:31" ht="24" thickBot="1">
      <c r="B1" s="17" t="s">
        <v>71</v>
      </c>
      <c r="F1" s="9" t="s">
        <v>122</v>
      </c>
    </row>
    <row r="2" spans="2:31" ht="13" thickBot="1">
      <c r="B2" s="1" t="s">
        <v>1</v>
      </c>
      <c r="C2" s="2">
        <v>0.9</v>
      </c>
      <c r="D2" s="1" t="s">
        <v>21</v>
      </c>
    </row>
    <row r="3" spans="2:31" ht="13" thickBot="1">
      <c r="C3" s="10"/>
    </row>
    <row r="4" spans="2:31" ht="14" thickBot="1">
      <c r="B4" s="8" t="s">
        <v>59</v>
      </c>
      <c r="C4" s="13">
        <v>2.5000000000000001E-2</v>
      </c>
      <c r="D4" s="1" t="s">
        <v>65</v>
      </c>
    </row>
    <row r="5" spans="2:31" ht="14" thickBot="1">
      <c r="B5" s="8" t="s">
        <v>26</v>
      </c>
      <c r="C5" s="3">
        <v>20</v>
      </c>
      <c r="D5" s="1" t="s">
        <v>30</v>
      </c>
      <c r="U5" s="1" t="s">
        <v>56</v>
      </c>
    </row>
    <row r="6" spans="2:31" ht="14" thickBot="1">
      <c r="B6" s="1" t="s">
        <v>17</v>
      </c>
      <c r="C6" s="3">
        <v>10</v>
      </c>
      <c r="D6" s="1" t="s">
        <v>28</v>
      </c>
      <c r="U6" s="1">
        <v>1</v>
      </c>
    </row>
    <row r="7" spans="2:31" ht="14" thickBot="1">
      <c r="B7" s="12" t="s">
        <v>5</v>
      </c>
      <c r="C7" s="3">
        <v>2</v>
      </c>
      <c r="D7" s="1" t="s">
        <v>57</v>
      </c>
      <c r="I7" s="9" t="str">
        <f>IF(C7&gt;=C6,"WARNING: Expected mean difference higher than maximum allowable difference.","")</f>
        <v/>
      </c>
    </row>
    <row r="8" spans="2:31" ht="14" thickBot="1">
      <c r="B8" s="12" t="s">
        <v>119</v>
      </c>
      <c r="C8" s="11">
        <f>C6/C10</f>
        <v>0.5</v>
      </c>
    </row>
    <row r="10" spans="2:31" ht="14" thickBot="1">
      <c r="B10" s="8" t="s">
        <v>26</v>
      </c>
      <c r="C10" s="1">
        <f>C5</f>
        <v>20</v>
      </c>
      <c r="V10" s="44" t="s">
        <v>212</v>
      </c>
      <c r="W10" s="44" t="s">
        <v>210</v>
      </c>
      <c r="X10" s="44" t="s">
        <v>213</v>
      </c>
      <c r="Y10" s="44" t="s">
        <v>211</v>
      </c>
      <c r="AA10" s="44" t="s">
        <v>224</v>
      </c>
      <c r="AB10" s="44" t="s">
        <v>225</v>
      </c>
    </row>
    <row r="11" spans="2:31" ht="13" thickBot="1">
      <c r="B11" s="1" t="s">
        <v>0</v>
      </c>
      <c r="C11" s="7">
        <v>135</v>
      </c>
      <c r="U11" s="44" t="s">
        <v>206</v>
      </c>
      <c r="V11" s="30">
        <f>4*C5</f>
        <v>80</v>
      </c>
      <c r="W11" s="1">
        <f>$C$5</f>
        <v>20</v>
      </c>
      <c r="X11" s="1">
        <f>W11/SQRT(C20)</f>
        <v>1.7213259316477409</v>
      </c>
      <c r="Y11" s="1">
        <f>TINV($C$4*2,$C$20-2)*X11</f>
        <v>3.4047160158066507</v>
      </c>
      <c r="AA11" s="1">
        <f>V12+4*W12</f>
        <v>162</v>
      </c>
      <c r="AB11" s="1">
        <f>AA11/33</f>
        <v>4.9090909090909092</v>
      </c>
    </row>
    <row r="12" spans="2:31" ht="13" thickBot="1">
      <c r="B12" s="1" t="s">
        <v>2</v>
      </c>
      <c r="C12" s="1">
        <f>C11-2</f>
        <v>133</v>
      </c>
      <c r="U12" s="44" t="s">
        <v>207</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c r="B14" s="1" t="s">
        <v>3</v>
      </c>
      <c r="C14" s="1">
        <f>(C7-C6)*SQRT(C11)/SQRT(2*C10^2)</f>
        <v>-3.2863353450309964</v>
      </c>
      <c r="U14" s="44" t="s">
        <v>205</v>
      </c>
      <c r="V14" s="44" t="s">
        <v>208</v>
      </c>
      <c r="W14" s="44" t="s">
        <v>209</v>
      </c>
      <c r="Y14" s="9" t="s">
        <v>220</v>
      </c>
      <c r="AC14" s="9" t="s">
        <v>222</v>
      </c>
    </row>
    <row r="15" spans="2:31">
      <c r="B15" s="1" t="s">
        <v>4</v>
      </c>
      <c r="C15" s="1">
        <f>(C7+C6)*SQRT(C11)/SQRT(2*C10^2)</f>
        <v>4.9295030175464944</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76.595283984193344</v>
      </c>
      <c r="AE17" s="1">
        <f>IF(AC13,MAX($V$15:$V$47),0)</f>
        <v>0</v>
      </c>
    </row>
    <row r="18" spans="2:31" ht="13">
      <c r="B18" s="1" t="s">
        <v>58</v>
      </c>
      <c r="C18" s="1">
        <f>C16-C17</f>
        <v>0.90196084369640106</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44" t="s">
        <v>218</v>
      </c>
      <c r="Z20" s="1">
        <f>Z19</f>
        <v>100</v>
      </c>
      <c r="AA20" s="1">
        <f>AA17</f>
        <v>1.9894431016018829E-2</v>
      </c>
      <c r="AC20" s="44" t="s">
        <v>218</v>
      </c>
      <c r="AD20" s="1">
        <f>AD19</f>
        <v>83.404716015806656</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78.595283984193344</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78.595283984193344</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85.404716015806656</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85.404716015806656</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7">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101600</xdr:colOff>
                    <xdr:row>21</xdr:row>
                    <xdr:rowOff>76200</xdr:rowOff>
                  </from>
                  <to>
                    <xdr:col>2</xdr:col>
                    <xdr:colOff>533400</xdr:colOff>
                    <xdr:row>23</xdr:row>
                    <xdr:rowOff>25400</xdr:rowOff>
                  </to>
                </anchor>
              </controlPr>
            </control>
          </mc:Choice>
          <mc:Fallback/>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25400</xdr:rowOff>
                  </to>
                </anchor>
              </controlPr>
            </control>
          </mc:Choice>
          <mc:Fallback/>
        </mc:AlternateContent>
        <mc:AlternateContent xmlns:mc="http://schemas.openxmlformats.org/markup-compatibility/2006">
          <mc:Choice Requires="x14">
            <control shapeId="16393" r:id="rId5" name="Check Box 9">
              <controlPr defaultSize="0" autoFill="0" autoLine="0" autoPict="0">
                <anchor moveWithCells="1">
                  <from>
                    <xdr:col>10</xdr:col>
                    <xdr:colOff>368300</xdr:colOff>
                    <xdr:row>7</xdr:row>
                    <xdr:rowOff>215900</xdr:rowOff>
                  </from>
                  <to>
                    <xdr:col>11</xdr:col>
                    <xdr:colOff>520700</xdr:colOff>
                    <xdr:row>9</xdr:row>
                    <xdr:rowOff>38100</xdr:rowOff>
                  </to>
                </anchor>
              </controlPr>
            </control>
          </mc:Choice>
          <mc:Fallback/>
        </mc:AlternateContent>
        <mc:AlternateContent xmlns:mc="http://schemas.openxmlformats.org/markup-compatibility/2006">
          <mc:Choice Requires="x14">
            <control shapeId="16394" r:id="rId6" name="Check Box 10">
              <controlPr defaultSize="0" autoFill="0" autoLine="0" autoPict="0">
                <anchor moveWithCells="1">
                  <from>
                    <xdr:col>10</xdr:col>
                    <xdr:colOff>368300</xdr:colOff>
                    <xdr:row>9</xdr:row>
                    <xdr:rowOff>38100</xdr:rowOff>
                  </from>
                  <to>
                    <xdr:col>11</xdr:col>
                    <xdr:colOff>520700</xdr:colOff>
                    <xdr:row>10</xdr:row>
                    <xdr:rowOff>63500</xdr:rowOff>
                  </to>
                </anchor>
              </controlPr>
            </control>
          </mc:Choice>
          <mc:Fallback/>
        </mc:AlternateContent>
        <mc:AlternateContent xmlns:mc="http://schemas.openxmlformats.org/markup-compatibility/2006">
          <mc:Choice Requires="x14">
            <control shapeId="16395" r:id="rId7" name="Check Box 11">
              <controlPr defaultSize="0" autoFill="0" autoLine="0" autoPict="0">
                <anchor moveWithCells="1">
                  <from>
                    <xdr:col>10</xdr:col>
                    <xdr:colOff>368300</xdr:colOff>
                    <xdr:row>10</xdr:row>
                    <xdr:rowOff>63500</xdr:rowOff>
                  </from>
                  <to>
                    <xdr:col>11</xdr:col>
                    <xdr:colOff>520700</xdr:colOff>
                    <xdr:row>11</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B1:AE64"/>
  <sheetViews>
    <sheetView workbookViewId="0">
      <selection activeCell="C2" sqref="C2"/>
    </sheetView>
  </sheetViews>
  <sheetFormatPr baseColWidth="10" defaultColWidth="9.1640625" defaultRowHeight="12" x14ac:dyDescent="0"/>
  <cols>
    <col min="1" max="1" width="5.1640625" style="1" customWidth="1"/>
    <col min="2" max="2" width="21.5" style="1" customWidth="1"/>
    <col min="3" max="16384" width="9.1640625" style="1"/>
  </cols>
  <sheetData>
    <row r="1" spans="2:31" ht="24" thickBot="1">
      <c r="B1" s="17" t="s">
        <v>72</v>
      </c>
      <c r="F1" s="9" t="s">
        <v>122</v>
      </c>
    </row>
    <row r="2" spans="2:31" ht="13" thickBot="1">
      <c r="B2" s="1" t="s">
        <v>1</v>
      </c>
      <c r="C2" s="2">
        <v>0.9</v>
      </c>
      <c r="D2" s="1" t="s">
        <v>21</v>
      </c>
      <c r="N2" s="44"/>
    </row>
    <row r="3" spans="2:31" ht="13" thickBot="1">
      <c r="B3" s="1" t="s">
        <v>22</v>
      </c>
      <c r="C3" s="3">
        <v>1</v>
      </c>
      <c r="D3" s="1" t="s">
        <v>23</v>
      </c>
    </row>
    <row r="4" spans="2:31" ht="14" thickBot="1">
      <c r="B4" s="8" t="s">
        <v>59</v>
      </c>
      <c r="C4" s="13">
        <v>2.5000000000000001E-2</v>
      </c>
      <c r="D4" s="1" t="s">
        <v>20</v>
      </c>
    </row>
    <row r="5" spans="2:31" ht="14" thickBot="1">
      <c r="B5" s="8" t="s">
        <v>18</v>
      </c>
      <c r="C5" s="3">
        <v>40</v>
      </c>
      <c r="D5" s="1" t="s">
        <v>19</v>
      </c>
      <c r="U5" s="1" t="s">
        <v>56</v>
      </c>
    </row>
    <row r="6" spans="2:31" ht="14" thickBot="1">
      <c r="B6" s="1" t="s">
        <v>17</v>
      </c>
      <c r="C6" s="3">
        <v>10</v>
      </c>
      <c r="D6" s="1" t="s">
        <v>29</v>
      </c>
      <c r="U6" s="1">
        <v>2</v>
      </c>
    </row>
    <row r="7" spans="2:31" ht="14" thickBot="1">
      <c r="B7" s="12" t="s">
        <v>5</v>
      </c>
      <c r="C7" s="3">
        <v>-2</v>
      </c>
      <c r="D7" s="44" t="s">
        <v>232</v>
      </c>
      <c r="K7" s="9" t="str">
        <f>IF(C7&gt;=C6,"WARNING: Expected mean difference higher than maximum allowable difference.","")</f>
        <v/>
      </c>
    </row>
    <row r="8" spans="2:31" ht="14" thickBot="1">
      <c r="B8" s="12" t="s">
        <v>118</v>
      </c>
      <c r="C8" s="11">
        <f>C6/C5</f>
        <v>0.25</v>
      </c>
    </row>
    <row r="10" spans="2:31" ht="14" thickBot="1">
      <c r="B10" s="8" t="s">
        <v>18</v>
      </c>
      <c r="C10" s="1">
        <f>C5</f>
        <v>40</v>
      </c>
      <c r="V10" s="44" t="s">
        <v>212</v>
      </c>
      <c r="W10" s="44" t="s">
        <v>210</v>
      </c>
      <c r="X10" s="44" t="s">
        <v>213</v>
      </c>
      <c r="Y10" s="44" t="s">
        <v>211</v>
      </c>
      <c r="AA10" s="44" t="s">
        <v>224</v>
      </c>
      <c r="AB10" s="44" t="s">
        <v>225</v>
      </c>
    </row>
    <row r="11" spans="2:31" ht="13" thickBot="1">
      <c r="B11" s="1" t="s">
        <v>16</v>
      </c>
      <c r="C11" s="7">
        <v>235</v>
      </c>
      <c r="U11" s="44" t="s">
        <v>206</v>
      </c>
      <c r="V11" s="30">
        <f>4*C5</f>
        <v>160</v>
      </c>
      <c r="W11" s="1">
        <f>$C$5</f>
        <v>40</v>
      </c>
      <c r="X11" s="1">
        <f>W11/SQRT(C20)</f>
        <v>2.6093122922137688</v>
      </c>
      <c r="Y11" s="1">
        <f>TINV($C$4*2,$C$20-2)*X11</f>
        <v>5.1408608130890698</v>
      </c>
      <c r="AA11" s="1">
        <f>V12+4*W12</f>
        <v>318</v>
      </c>
      <c r="AB11" s="1">
        <f>AA11/33</f>
        <v>9.6363636363636367</v>
      </c>
    </row>
    <row r="12" spans="2:31" ht="13" thickBot="1">
      <c r="B12" s="1" t="s">
        <v>15</v>
      </c>
      <c r="C12" s="1">
        <f>C11*(C3+1)-2</f>
        <v>468</v>
      </c>
      <c r="U12" s="44" t="s">
        <v>207</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c r="B14" s="1" t="s">
        <v>4</v>
      </c>
      <c r="C14" s="1">
        <f>ABS((C7-C6)*SQRT(C3*C11)/SQRT((C3+1)*C10^2))</f>
        <v>3.2519225083018197</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154.85913918691094</v>
      </c>
      <c r="AE17" s="1">
        <f>IF(AC13,MAX($V$15:$V$47),0)</f>
        <v>0</v>
      </c>
    </row>
    <row r="18" spans="2:31" ht="13">
      <c r="B18" s="1" t="s">
        <v>58</v>
      </c>
      <c r="C18" s="1">
        <f>1-C17</f>
        <v>0.9006524450415424</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44" t="s">
        <v>218</v>
      </c>
      <c r="Z20" s="1">
        <f>Z19</f>
        <v>200</v>
      </c>
      <c r="AA20" s="1">
        <f>AA17</f>
        <v>9.928222971854481E-3</v>
      </c>
      <c r="AC20" s="44" t="s">
        <v>218</v>
      </c>
      <c r="AD20" s="1">
        <f>AD19</f>
        <v>165.14086081308906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152.85913918691094</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152.85913918691094</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163.14086081308906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163.14086081308906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7">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101600</xdr:colOff>
                    <xdr:row>21</xdr:row>
                    <xdr:rowOff>76200</xdr:rowOff>
                  </from>
                  <to>
                    <xdr:col>2</xdr:col>
                    <xdr:colOff>520700</xdr:colOff>
                    <xdr:row>23</xdr:row>
                    <xdr:rowOff>25400</xdr:rowOff>
                  </to>
                </anchor>
              </controlPr>
            </control>
          </mc:Choice>
          <mc:Fallback/>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596900</xdr:colOff>
                    <xdr:row>21</xdr:row>
                    <xdr:rowOff>76200</xdr:rowOff>
                  </from>
                  <to>
                    <xdr:col>4</xdr:col>
                    <xdr:colOff>215900</xdr:colOff>
                    <xdr:row>23</xdr:row>
                    <xdr:rowOff>25400</xdr:rowOff>
                  </to>
                </anchor>
              </controlPr>
            </control>
          </mc:Choice>
          <mc:Fallback/>
        </mc:AlternateContent>
        <mc:AlternateContent xmlns:mc="http://schemas.openxmlformats.org/markup-compatibility/2006">
          <mc:Choice Requires="x14">
            <control shapeId="17421" r:id="rId5" name="Check Box 13">
              <controlPr defaultSize="0" autoFill="0" autoLine="0" autoPict="0">
                <anchor moveWithCells="1">
                  <from>
                    <xdr:col>11</xdr:col>
                    <xdr:colOff>596900</xdr:colOff>
                    <xdr:row>7</xdr:row>
                    <xdr:rowOff>177800</xdr:rowOff>
                  </from>
                  <to>
                    <xdr:col>13</xdr:col>
                    <xdr:colOff>139700</xdr:colOff>
                    <xdr:row>9</xdr:row>
                    <xdr:rowOff>38100</xdr:rowOff>
                  </to>
                </anchor>
              </controlPr>
            </control>
          </mc:Choice>
          <mc:Fallback/>
        </mc:AlternateContent>
        <mc:AlternateContent xmlns:mc="http://schemas.openxmlformats.org/markup-compatibility/2006">
          <mc:Choice Requires="x14">
            <control shapeId="17422" r:id="rId6" name="Check Box 14">
              <controlPr defaultSize="0" autoFill="0" autoLine="0" autoPict="0">
                <anchor moveWithCells="1">
                  <from>
                    <xdr:col>11</xdr:col>
                    <xdr:colOff>596900</xdr:colOff>
                    <xdr:row>9</xdr:row>
                    <xdr:rowOff>38100</xdr:rowOff>
                  </from>
                  <to>
                    <xdr:col>13</xdr:col>
                    <xdr:colOff>139700</xdr:colOff>
                    <xdr:row>10</xdr:row>
                    <xdr:rowOff>101600</xdr:rowOff>
                  </to>
                </anchor>
              </controlPr>
            </control>
          </mc:Choice>
          <mc:Fallback/>
        </mc:AlternateContent>
        <mc:AlternateContent xmlns:mc="http://schemas.openxmlformats.org/markup-compatibility/2006">
          <mc:Choice Requires="x14">
            <control shapeId="17423" r:id="rId7" name="Check Box 15">
              <controlPr defaultSize="0" autoFill="0" autoLine="0" autoPict="0">
                <anchor moveWithCells="1">
                  <from>
                    <xdr:col>11</xdr:col>
                    <xdr:colOff>596900</xdr:colOff>
                    <xdr:row>10</xdr:row>
                    <xdr:rowOff>101600</xdr:rowOff>
                  </from>
                  <to>
                    <xdr:col>13</xdr:col>
                    <xdr:colOff>139700</xdr:colOff>
                    <xdr:row>11</xdr:row>
                    <xdr:rowOff>139700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B1:AE63"/>
  <sheetViews>
    <sheetView workbookViewId="0">
      <selection activeCell="C2" sqref="C2"/>
    </sheetView>
  </sheetViews>
  <sheetFormatPr baseColWidth="10" defaultColWidth="9.1640625" defaultRowHeight="12" x14ac:dyDescent="0"/>
  <cols>
    <col min="1" max="1" width="5.1640625" style="1" customWidth="1"/>
    <col min="2" max="2" width="21.5" style="1" customWidth="1"/>
    <col min="3" max="16384" width="9.1640625" style="1"/>
  </cols>
  <sheetData>
    <row r="1" spans="2:31" ht="24" thickBot="1">
      <c r="B1" s="17" t="s">
        <v>73</v>
      </c>
      <c r="G1" s="9" t="s">
        <v>122</v>
      </c>
    </row>
    <row r="2" spans="2:31" ht="13" thickBot="1">
      <c r="B2" s="1" t="s">
        <v>1</v>
      </c>
      <c r="C2" s="2">
        <v>0.9</v>
      </c>
      <c r="D2" s="1" t="s">
        <v>21</v>
      </c>
    </row>
    <row r="3" spans="2:31" ht="13" thickBot="1">
      <c r="C3" s="10"/>
    </row>
    <row r="4" spans="2:31" ht="14" thickBot="1">
      <c r="B4" s="8" t="s">
        <v>59</v>
      </c>
      <c r="C4" s="13">
        <v>2.5000000000000001E-2</v>
      </c>
      <c r="D4" s="1" t="s">
        <v>20</v>
      </c>
    </row>
    <row r="5" spans="2:31" ht="14" thickBot="1">
      <c r="B5" s="8" t="s">
        <v>26</v>
      </c>
      <c r="C5" s="3">
        <v>20</v>
      </c>
      <c r="D5" s="1" t="s">
        <v>30</v>
      </c>
      <c r="U5" s="1" t="s">
        <v>56</v>
      </c>
    </row>
    <row r="6" spans="2:31" ht="14" thickBot="1">
      <c r="B6" s="1" t="s">
        <v>17</v>
      </c>
      <c r="C6" s="3">
        <v>10</v>
      </c>
      <c r="D6" s="1" t="s">
        <v>29</v>
      </c>
      <c r="U6" s="1">
        <v>2</v>
      </c>
    </row>
    <row r="7" spans="2:31" ht="14" thickBot="1">
      <c r="B7" s="12" t="s">
        <v>5</v>
      </c>
      <c r="C7" s="3">
        <v>-2</v>
      </c>
      <c r="D7" s="44" t="s">
        <v>232</v>
      </c>
      <c r="K7" s="9" t="str">
        <f>IF(C7&gt;=C6,"WARNING: Expected mean difference higher than maximum allowable difference.","")</f>
        <v/>
      </c>
    </row>
    <row r="8" spans="2:31" ht="14" thickBot="1">
      <c r="B8" s="12" t="s">
        <v>119</v>
      </c>
      <c r="C8" s="11">
        <f>C6/C5</f>
        <v>0.5</v>
      </c>
    </row>
    <row r="10" spans="2:31" ht="14" thickBot="1">
      <c r="B10" s="8" t="s">
        <v>26</v>
      </c>
      <c r="C10" s="1">
        <f>C5</f>
        <v>20</v>
      </c>
      <c r="V10" s="44" t="s">
        <v>212</v>
      </c>
      <c r="W10" s="44" t="s">
        <v>210</v>
      </c>
      <c r="X10" s="44" t="s">
        <v>213</v>
      </c>
      <c r="Y10" s="44" t="s">
        <v>211</v>
      </c>
      <c r="AA10" s="44" t="s">
        <v>224</v>
      </c>
      <c r="AB10" s="44" t="s">
        <v>225</v>
      </c>
    </row>
    <row r="11" spans="2:31" ht="13" thickBot="1">
      <c r="B11" s="1" t="s">
        <v>16</v>
      </c>
      <c r="C11" s="7">
        <v>61</v>
      </c>
      <c r="U11" s="44" t="s">
        <v>206</v>
      </c>
      <c r="V11" s="30">
        <f>4*C5</f>
        <v>80</v>
      </c>
      <c r="W11" s="1">
        <f>$C$5</f>
        <v>20</v>
      </c>
      <c r="X11" s="1">
        <f>W11/SQRT(C20)</f>
        <v>2.5607375986579197</v>
      </c>
      <c r="Y11" s="1">
        <f>TINV($C$4*2,$C$20-2)*X11</f>
        <v>5.1240240994113497</v>
      </c>
      <c r="AA11" s="1">
        <f>V12+4*W12</f>
        <v>158</v>
      </c>
      <c r="AB11" s="1">
        <f>AA11/33</f>
        <v>4.7878787878787881</v>
      </c>
    </row>
    <row r="12" spans="2:31" ht="13" thickBot="1">
      <c r="B12" s="1" t="s">
        <v>15</v>
      </c>
      <c r="C12" s="1">
        <f>C11*(C3+1)-2</f>
        <v>59</v>
      </c>
      <c r="U12" s="44" t="s">
        <v>207</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c r="B14" s="1" t="s">
        <v>4</v>
      </c>
      <c r="C14" s="1">
        <f>ABS((C7-C6)*SQRT(C11)/SQRT(2*C10^2))</f>
        <v>3.313608305156178</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74.875975900588656</v>
      </c>
      <c r="AE17" s="1">
        <f>IF(AC13,MAX($V$15:$V$47),0)</f>
        <v>0</v>
      </c>
    </row>
    <row r="18" spans="2:31" ht="13">
      <c r="B18" s="1" t="s">
        <v>58</v>
      </c>
      <c r="C18" s="1">
        <f>1-C17</f>
        <v>0.90306969159931527</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44" t="s">
        <v>218</v>
      </c>
      <c r="Z20" s="1">
        <f>Z19</f>
        <v>100</v>
      </c>
      <c r="AA20" s="1">
        <f>AA17</f>
        <v>1.9898724584214315E-2</v>
      </c>
      <c r="AC20" s="44" t="s">
        <v>218</v>
      </c>
      <c r="AD20" s="1">
        <f>AD19</f>
        <v>85.124024099411344</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72.875975900588656</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72.875975900588656</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83.124024099411344</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83.124024099411344</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7">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101600</xdr:colOff>
                    <xdr:row>21</xdr:row>
                    <xdr:rowOff>76200</xdr:rowOff>
                  </from>
                  <to>
                    <xdr:col>2</xdr:col>
                    <xdr:colOff>520700</xdr:colOff>
                    <xdr:row>23</xdr:row>
                    <xdr:rowOff>25400</xdr:rowOff>
                  </to>
                </anchor>
              </controlPr>
            </control>
          </mc:Choice>
          <mc:Fallback/>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596900</xdr:colOff>
                    <xdr:row>21</xdr:row>
                    <xdr:rowOff>76200</xdr:rowOff>
                  </from>
                  <to>
                    <xdr:col>4</xdr:col>
                    <xdr:colOff>215900</xdr:colOff>
                    <xdr:row>23</xdr:row>
                    <xdr:rowOff>25400</xdr:rowOff>
                  </to>
                </anchor>
              </controlPr>
            </control>
          </mc:Choice>
          <mc:Fallback/>
        </mc:AlternateContent>
        <mc:AlternateContent xmlns:mc="http://schemas.openxmlformats.org/markup-compatibility/2006">
          <mc:Choice Requires="x14">
            <control shapeId="18441" r:id="rId5" name="Check Box 9">
              <controlPr defaultSize="0" autoFill="0" autoLine="0" autoPict="0">
                <anchor moveWithCells="1">
                  <from>
                    <xdr:col>10</xdr:col>
                    <xdr:colOff>482600</xdr:colOff>
                    <xdr:row>8</xdr:row>
                    <xdr:rowOff>63500</xdr:rowOff>
                  </from>
                  <to>
                    <xdr:col>12</xdr:col>
                    <xdr:colOff>25400</xdr:colOff>
                    <xdr:row>9</xdr:row>
                    <xdr:rowOff>101600</xdr:rowOff>
                  </to>
                </anchor>
              </controlPr>
            </control>
          </mc:Choice>
          <mc:Fallback/>
        </mc:AlternateContent>
        <mc:AlternateContent xmlns:mc="http://schemas.openxmlformats.org/markup-compatibility/2006">
          <mc:Choice Requires="x14">
            <control shapeId="18442" r:id="rId6" name="Check Box 10">
              <controlPr defaultSize="0" autoFill="0" autoLine="0" autoPict="0">
                <anchor moveWithCells="1">
                  <from>
                    <xdr:col>10</xdr:col>
                    <xdr:colOff>482600</xdr:colOff>
                    <xdr:row>9</xdr:row>
                    <xdr:rowOff>101600</xdr:rowOff>
                  </from>
                  <to>
                    <xdr:col>12</xdr:col>
                    <xdr:colOff>25400</xdr:colOff>
                    <xdr:row>10</xdr:row>
                    <xdr:rowOff>101600</xdr:rowOff>
                  </to>
                </anchor>
              </controlPr>
            </control>
          </mc:Choice>
          <mc:Fallback/>
        </mc:AlternateContent>
        <mc:AlternateContent xmlns:mc="http://schemas.openxmlformats.org/markup-compatibility/2006">
          <mc:Choice Requires="x14">
            <control shapeId="18443" r:id="rId7" name="Check Box 11">
              <controlPr defaultSize="0" autoFill="0" autoLine="0" autoPict="0">
                <anchor moveWithCells="1">
                  <from>
                    <xdr:col>10</xdr:col>
                    <xdr:colOff>482600</xdr:colOff>
                    <xdr:row>10</xdr:row>
                    <xdr:rowOff>101600</xdr:rowOff>
                  </from>
                  <to>
                    <xdr:col>12</xdr:col>
                    <xdr:colOff>25400</xdr:colOff>
                    <xdr:row>11</xdr:row>
                    <xdr:rowOff>139700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B1:AE70"/>
  <sheetViews>
    <sheetView workbookViewId="0">
      <selection activeCell="C2" sqref="C2"/>
    </sheetView>
  </sheetViews>
  <sheetFormatPr baseColWidth="10" defaultColWidth="9.1640625" defaultRowHeight="12" x14ac:dyDescent="0"/>
  <cols>
    <col min="1" max="1" width="5.1640625" style="1" customWidth="1"/>
    <col min="2" max="2" width="21.5" style="1" customWidth="1"/>
    <col min="3" max="26" width="9.1640625" style="1"/>
    <col min="27" max="27" width="20.5" style="1" bestFit="1" customWidth="1"/>
    <col min="28" max="16384" width="9.1640625" style="1"/>
  </cols>
  <sheetData>
    <row r="1" spans="2:31" ht="24" thickBot="1">
      <c r="B1" s="17" t="s">
        <v>75</v>
      </c>
      <c r="G1" s="9" t="s">
        <v>122</v>
      </c>
    </row>
    <row r="2" spans="2:31" ht="13" thickBot="1">
      <c r="B2" s="1" t="s">
        <v>1</v>
      </c>
      <c r="C2" s="2">
        <v>0.9</v>
      </c>
    </row>
    <row r="3" spans="2:31" ht="13" thickBot="1">
      <c r="B3" s="1" t="s">
        <v>234</v>
      </c>
      <c r="C3" s="49">
        <v>1</v>
      </c>
      <c r="D3" s="1" t="s">
        <v>235</v>
      </c>
    </row>
    <row r="4" spans="2:31" ht="14" thickBot="1">
      <c r="B4" s="8" t="s">
        <v>59</v>
      </c>
      <c r="C4" s="2">
        <v>0.05</v>
      </c>
    </row>
    <row r="5" spans="2:31" ht="13" thickBot="1">
      <c r="B5" s="44" t="s">
        <v>238</v>
      </c>
      <c r="C5" s="43">
        <v>0.8</v>
      </c>
      <c r="D5" s="77" t="s">
        <v>249</v>
      </c>
      <c r="U5" s="1" t="s">
        <v>56</v>
      </c>
    </row>
    <row r="6" spans="2:31" ht="14" thickBot="1">
      <c r="B6" s="1" t="s">
        <v>34</v>
      </c>
      <c r="C6" s="43">
        <v>1</v>
      </c>
      <c r="D6" s="1" t="str">
        <f>IF(C6=1,"","(to "&amp;ROUND(100/C6,1)&amp;"%)")&amp;IF(OR($C$6&lt;$C$7,$C$6&gt;$C$8)," WARNING: Ratio outside BE limits.","")</f>
        <v/>
      </c>
      <c r="U6" s="1">
        <v>1</v>
      </c>
    </row>
    <row r="7" spans="2:31" ht="13" thickBot="1">
      <c r="B7" s="1" t="s">
        <v>9</v>
      </c>
      <c r="C7" s="13">
        <v>0.8</v>
      </c>
    </row>
    <row r="8" spans="2:31" ht="13" thickBot="1">
      <c r="B8" s="1" t="s">
        <v>10</v>
      </c>
      <c r="C8" s="13">
        <f>1/C7</f>
        <v>1.25</v>
      </c>
    </row>
    <row r="10" spans="2:31" ht="14" thickBot="1">
      <c r="B10" s="12" t="s">
        <v>18</v>
      </c>
      <c r="C10" s="1">
        <f>SQRT(LN((C5)^2+1))</f>
        <v>0.70334645931866824</v>
      </c>
      <c r="V10" s="44" t="s">
        <v>212</v>
      </c>
      <c r="W10" s="44" t="s">
        <v>210</v>
      </c>
      <c r="X10" s="44" t="s">
        <v>213</v>
      </c>
      <c r="Y10" s="44" t="s">
        <v>211</v>
      </c>
      <c r="AA10" s="44" t="s">
        <v>224</v>
      </c>
      <c r="AB10" s="44" t="s">
        <v>225</v>
      </c>
    </row>
    <row r="11" spans="2:31" ht="13" thickBot="1">
      <c r="B11" s="1" t="s">
        <v>35</v>
      </c>
      <c r="C11" s="7">
        <v>216</v>
      </c>
      <c r="U11" s="44" t="s">
        <v>206</v>
      </c>
      <c r="V11" s="45">
        <f>C6</f>
        <v>1</v>
      </c>
      <c r="W11" s="1">
        <f>$C$10</f>
        <v>0.70334645931866824</v>
      </c>
      <c r="X11" s="1">
        <f>W11/SQRT(C20)</f>
        <v>4.7856664936776212E-2</v>
      </c>
      <c r="Y11" s="1">
        <f>TINV($C$4*2,$C$20-2)*X11</f>
        <v>7.9059457202799208E-2</v>
      </c>
      <c r="AA11" s="46">
        <f>V11+4*W11</f>
        <v>3.813385837274673</v>
      </c>
      <c r="AB11" s="1">
        <f>AA11/33</f>
        <v>0.11555714658408101</v>
      </c>
    </row>
    <row r="12" spans="2:31">
      <c r="B12" s="1" t="s">
        <v>36</v>
      </c>
      <c r="C12" s="1">
        <f>C11*(C3+1)-2</f>
        <v>430</v>
      </c>
      <c r="U12" s="44"/>
    </row>
    <row r="13" spans="2:31">
      <c r="B13" s="1" t="s">
        <v>37</v>
      </c>
      <c r="C13" s="1">
        <f>TINV(C4*2,C12)</f>
        <v>1.6484049694330176</v>
      </c>
      <c r="Y13" s="1" t="b">
        <v>0</v>
      </c>
      <c r="AC13" s="1" t="b">
        <v>1</v>
      </c>
    </row>
    <row r="14" spans="2:31">
      <c r="B14" s="1" t="s">
        <v>3</v>
      </c>
      <c r="C14" s="1">
        <f>SQRT(C3*C11)*(LN(C6)-LN(C8))/SQRT((C3+1)*C10^2)</f>
        <v>-3.2970604725753181</v>
      </c>
      <c r="U14" s="44" t="s">
        <v>205</v>
      </c>
      <c r="V14" s="44" t="s">
        <v>227</v>
      </c>
      <c r="W14" s="44"/>
      <c r="Y14" s="9" t="s">
        <v>220</v>
      </c>
      <c r="AC14" s="9" t="s">
        <v>222</v>
      </c>
    </row>
    <row r="15" spans="2:31">
      <c r="B15" s="1" t="s">
        <v>4</v>
      </c>
      <c r="C15" s="1">
        <f>SQRT(C3*C11)*(LN(C6)-LN(C7))/SQRT((C3+1)*C10^2)</f>
        <v>3.2970604725753176</v>
      </c>
      <c r="N15" s="44" t="s">
        <v>246</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0.95022236556488759</v>
      </c>
      <c r="N16" s="44" t="s">
        <v>247</v>
      </c>
      <c r="U16" s="1">
        <f>U15+$AB$11</f>
        <v>0.11555714658408101</v>
      </c>
      <c r="V16" s="1">
        <f t="shared" ref="V16:V47" si="0">_xlfn.NORM.DIST($U16,$V$11,$C$5,FALSE)</f>
        <v>0.27065256559820106</v>
      </c>
      <c r="Y16" s="44" t="s">
        <v>216</v>
      </c>
      <c r="Z16" s="1">
        <f>$V$11-$W$11</f>
        <v>0.29665354068133176</v>
      </c>
      <c r="AA16" s="1">
        <v>0</v>
      </c>
      <c r="AC16" s="44" t="s">
        <v>216</v>
      </c>
      <c r="AD16" s="1">
        <f>$V$11-$Y$11</f>
        <v>0.92094054279720083</v>
      </c>
      <c r="AE16" s="1">
        <v>0</v>
      </c>
    </row>
    <row r="17" spans="2:31" ht="13" thickBot="1">
      <c r="B17" s="1" t="s">
        <v>6</v>
      </c>
      <c r="C17" s="1">
        <f>NCt(C13,C12,C15)</f>
        <v>4.9777634435112433E-2</v>
      </c>
      <c r="N17" s="57" t="s">
        <v>248</v>
      </c>
      <c r="O17" s="58"/>
      <c r="P17" s="59"/>
      <c r="U17" s="1">
        <f t="shared" ref="U17:U47" si="1">U16+$AB$11</f>
        <v>0.23111429316816201</v>
      </c>
      <c r="V17" s="1">
        <f t="shared" si="0"/>
        <v>0.314221086732277</v>
      </c>
      <c r="Y17" s="44" t="s">
        <v>218</v>
      </c>
      <c r="Z17" s="1">
        <f>Z16</f>
        <v>0.29665354068133176</v>
      </c>
      <c r="AA17" s="1">
        <f>IF(Y13,MAX($V$15:$V$47),0)</f>
        <v>0</v>
      </c>
      <c r="AC17" s="44" t="s">
        <v>218</v>
      </c>
      <c r="AD17" s="1">
        <f>AD16</f>
        <v>0.92094054279720083</v>
      </c>
      <c r="AE17" s="1">
        <f>IF(AC13,MAX($V$15:$V$47),0)</f>
        <v>0.49805444680287991</v>
      </c>
    </row>
    <row r="18" spans="2:31" ht="14" thickBot="1">
      <c r="B18" s="1" t="s">
        <v>58</v>
      </c>
      <c r="C18" s="1">
        <f>C16-C17</f>
        <v>0.90044473112977519</v>
      </c>
      <c r="E18" s="5"/>
      <c r="N18" s="60" t="s">
        <v>239</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3" thickBot="1">
      <c r="C19" s="16" t="s">
        <v>63</v>
      </c>
      <c r="D19" s="16" t="s">
        <v>64</v>
      </c>
      <c r="E19" s="16" t="s">
        <v>66</v>
      </c>
      <c r="N19" s="60" t="s">
        <v>240</v>
      </c>
      <c r="O19" s="65">
        <v>0.2</v>
      </c>
      <c r="P19" s="61"/>
      <c r="U19" s="1">
        <f t="shared" si="1"/>
        <v>0.46222858633632402</v>
      </c>
      <c r="V19" s="1">
        <f t="shared" si="0"/>
        <v>0.39782980438758542</v>
      </c>
      <c r="Y19" s="44" t="s">
        <v>216</v>
      </c>
      <c r="Z19" s="1">
        <f>$V$11+$W$11</f>
        <v>1.7033464593186682</v>
      </c>
      <c r="AA19" s="1">
        <v>0</v>
      </c>
      <c r="AC19" s="44" t="s">
        <v>216</v>
      </c>
      <c r="AD19" s="1">
        <f>$V$11+$Y$11</f>
        <v>1.0790594572027992</v>
      </c>
      <c r="AE19" s="1">
        <v>0</v>
      </c>
    </row>
    <row r="20" spans="2:31">
      <c r="B20" s="1" t="s">
        <v>11</v>
      </c>
      <c r="C20" s="1">
        <f>CEILING(C11,1)</f>
        <v>216</v>
      </c>
      <c r="D20" s="1">
        <f>C20*C3</f>
        <v>216</v>
      </c>
      <c r="E20" s="1">
        <f>C20+D20</f>
        <v>432</v>
      </c>
      <c r="N20" s="62" t="s">
        <v>241</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1.0790594572027992</v>
      </c>
      <c r="AE20" s="1">
        <f>AE17</f>
        <v>0.49805444680287991</v>
      </c>
    </row>
    <row r="21" spans="2:31">
      <c r="U21" s="1">
        <f t="shared" si="1"/>
        <v>0.69334287950448603</v>
      </c>
      <c r="V21" s="1">
        <f t="shared" si="0"/>
        <v>0.46335460617253399</v>
      </c>
    </row>
    <row r="22" spans="2:31">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7">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c r="B59" s="9" t="s">
        <v>125</v>
      </c>
    </row>
    <row r="61" spans="2:2">
      <c r="B61" s="9" t="s">
        <v>237</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101600</xdr:colOff>
                    <xdr:row>23</xdr:row>
                    <xdr:rowOff>0</xdr:rowOff>
                  </from>
                  <to>
                    <xdr:col>2</xdr:col>
                    <xdr:colOff>0</xdr:colOff>
                    <xdr:row>24</xdr:row>
                    <xdr:rowOff>88900</xdr:rowOff>
                  </to>
                </anchor>
              </controlPr>
            </control>
          </mc:Choice>
          <mc:Fallback/>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482600</xdr:colOff>
                    <xdr:row>23</xdr:row>
                    <xdr:rowOff>0</xdr:rowOff>
                  </from>
                  <to>
                    <xdr:col>5</xdr:col>
                    <xdr:colOff>101600</xdr:colOff>
                    <xdr:row>24</xdr:row>
                    <xdr:rowOff>88900</xdr:rowOff>
                  </to>
                </anchor>
              </controlPr>
            </control>
          </mc:Choice>
          <mc:Fallback/>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177800</xdr:colOff>
                    <xdr:row>23</xdr:row>
                    <xdr:rowOff>0</xdr:rowOff>
                  </from>
                  <to>
                    <xdr:col>9</xdr:col>
                    <xdr:colOff>101600</xdr:colOff>
                    <xdr:row>24</xdr:row>
                    <xdr:rowOff>88900</xdr:rowOff>
                  </to>
                </anchor>
              </controlPr>
            </control>
          </mc:Choice>
          <mc:Fallback/>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63500</xdr:colOff>
                    <xdr:row>23</xdr:row>
                    <xdr:rowOff>0</xdr:rowOff>
                  </from>
                  <to>
                    <xdr:col>3</xdr:col>
                    <xdr:colOff>406400</xdr:colOff>
                    <xdr:row>24</xdr:row>
                    <xdr:rowOff>88900</xdr:rowOff>
                  </to>
                </anchor>
              </controlPr>
            </control>
          </mc:Choice>
          <mc:Fallback/>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63500</xdr:rowOff>
                  </from>
                  <to>
                    <xdr:col>12</xdr:col>
                    <xdr:colOff>317500</xdr:colOff>
                    <xdr:row>7</xdr:row>
                    <xdr:rowOff>101600</xdr:rowOff>
                  </to>
                </anchor>
              </controlPr>
            </control>
          </mc:Choice>
          <mc:Fallback/>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101600</xdr:rowOff>
                  </from>
                  <to>
                    <xdr:col>12</xdr:col>
                    <xdr:colOff>317500</xdr:colOff>
                    <xdr:row>8</xdr:row>
                    <xdr:rowOff>152400</xdr:rowOff>
                  </to>
                </anchor>
              </controlPr>
            </control>
          </mc:Choice>
          <mc:Fallback/>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B1:AE70"/>
  <sheetViews>
    <sheetView workbookViewId="0">
      <selection activeCell="D5" sqref="D5"/>
    </sheetView>
  </sheetViews>
  <sheetFormatPr baseColWidth="10" defaultColWidth="9.1640625" defaultRowHeight="12" x14ac:dyDescent="0"/>
  <cols>
    <col min="1" max="1" width="5.1640625" style="1" customWidth="1"/>
    <col min="2" max="2" width="21.5" style="1" customWidth="1"/>
    <col min="3" max="26" width="9.1640625" style="1"/>
    <col min="27" max="27" width="20.5" style="1" bestFit="1" customWidth="1"/>
    <col min="28" max="16384" width="9.1640625" style="1"/>
  </cols>
  <sheetData>
    <row r="1" spans="2:31" ht="24" thickBot="1">
      <c r="B1" s="17" t="s">
        <v>74</v>
      </c>
      <c r="G1" s="9" t="s">
        <v>122</v>
      </c>
      <c r="J1" s="44"/>
      <c r="K1" s="44"/>
      <c r="L1" s="44"/>
      <c r="M1" s="44"/>
      <c r="N1" s="44"/>
      <c r="O1" s="44"/>
    </row>
    <row r="2" spans="2:31" ht="13" thickBot="1">
      <c r="B2" s="1" t="s">
        <v>1</v>
      </c>
      <c r="C2" s="2">
        <v>0.8</v>
      </c>
      <c r="H2" s="50"/>
      <c r="I2" s="44"/>
      <c r="J2" s="44"/>
      <c r="K2" s="44"/>
      <c r="L2" s="44"/>
      <c r="M2" s="44"/>
      <c r="N2" s="44"/>
      <c r="O2" s="44"/>
    </row>
    <row r="3" spans="2:31" ht="13" thickBot="1">
      <c r="C3" s="14"/>
      <c r="J3" s="44"/>
      <c r="K3" s="44"/>
      <c r="L3" s="44"/>
      <c r="M3" s="44"/>
      <c r="N3" s="44"/>
      <c r="O3" s="44"/>
    </row>
    <row r="4" spans="2:31" ht="14" thickBot="1">
      <c r="B4" s="8" t="s">
        <v>59</v>
      </c>
      <c r="C4" s="2">
        <v>0.05</v>
      </c>
      <c r="J4" s="44"/>
      <c r="K4" s="44"/>
      <c r="L4" s="44"/>
      <c r="M4" s="44"/>
      <c r="N4" s="44"/>
      <c r="O4" s="44"/>
    </row>
    <row r="5" spans="2:31" ht="14" thickBot="1">
      <c r="B5" s="1" t="s">
        <v>120</v>
      </c>
      <c r="C5" s="43">
        <v>0.25</v>
      </c>
      <c r="D5" s="1" t="s">
        <v>127</v>
      </c>
      <c r="U5" s="1" t="s">
        <v>56</v>
      </c>
    </row>
    <row r="6" spans="2:31" ht="14" thickBot="1">
      <c r="B6" s="1" t="s">
        <v>34</v>
      </c>
      <c r="C6" s="43">
        <v>0.95</v>
      </c>
      <c r="D6" s="1" t="str">
        <f>IF(C6=1,"","(to "&amp;ROUND(100/C6,1)&amp;"%)")&amp;IF(OR($C$6&lt;$C$7,$C$6&gt;$C$8)," WARNING: Ratio outside BE limits.","")</f>
        <v>(to 105.3%)</v>
      </c>
      <c r="U6" s="1">
        <v>1</v>
      </c>
    </row>
    <row r="7" spans="2:31" ht="13" thickBot="1">
      <c r="B7" s="1" t="s">
        <v>9</v>
      </c>
      <c r="C7" s="13">
        <v>0.8</v>
      </c>
    </row>
    <row r="8" spans="2:31" ht="13" thickBot="1">
      <c r="B8" s="1" t="s">
        <v>10</v>
      </c>
      <c r="C8" s="13">
        <f>1/C7</f>
        <v>1.25</v>
      </c>
    </row>
    <row r="10" spans="2:31" ht="14" thickBot="1">
      <c r="B10" s="8" t="s">
        <v>26</v>
      </c>
      <c r="C10" s="1">
        <f>SQRT(LN((C5)^2+1))</f>
        <v>0.24622067706923975</v>
      </c>
      <c r="V10" s="44" t="s">
        <v>212</v>
      </c>
      <c r="W10" s="44" t="s">
        <v>210</v>
      </c>
      <c r="X10" s="44" t="s">
        <v>213</v>
      </c>
      <c r="Y10" s="44" t="s">
        <v>211</v>
      </c>
      <c r="AA10" s="44" t="s">
        <v>224</v>
      </c>
      <c r="AB10" s="44" t="s">
        <v>225</v>
      </c>
    </row>
    <row r="11" spans="2:31" ht="13" thickBot="1">
      <c r="B11" s="1" t="s">
        <v>0</v>
      </c>
      <c r="C11" s="7">
        <v>109</v>
      </c>
      <c r="U11" s="44" t="s">
        <v>206</v>
      </c>
      <c r="V11" s="45">
        <f>C6</f>
        <v>0.95</v>
      </c>
      <c r="W11" s="1">
        <f>$C$10</f>
        <v>0.24622067706923975</v>
      </c>
      <c r="X11" s="1">
        <f>W11/SQRT(C20)</f>
        <v>2.3583663646186664E-2</v>
      </c>
      <c r="Y11" s="1">
        <f>TINV($C$4*2,$C$20-2)*X11</f>
        <v>3.9130470166661116E-2</v>
      </c>
      <c r="AA11" s="46">
        <f>V11+4*W11</f>
        <v>1.9348827082769589</v>
      </c>
      <c r="AB11" s="1">
        <f>AA11/33</f>
        <v>5.8632809341726023E-2</v>
      </c>
    </row>
    <row r="12" spans="2:31">
      <c r="B12" s="1" t="s">
        <v>2</v>
      </c>
      <c r="C12" s="1">
        <f>C11-2</f>
        <v>107</v>
      </c>
      <c r="U12" s="44"/>
    </row>
    <row r="13" spans="2:31">
      <c r="B13" s="1" t="s">
        <v>8</v>
      </c>
      <c r="C13" s="1">
        <f>TINV(C4*2,C12)</f>
        <v>1.6592193118810985</v>
      </c>
      <c r="Y13" s="1" t="b">
        <v>0</v>
      </c>
      <c r="AC13" s="1" t="b">
        <v>1</v>
      </c>
    </row>
    <row r="14" spans="2:31">
      <c r="B14" s="1" t="s">
        <v>3</v>
      </c>
      <c r="C14" s="1">
        <f>(SQRT(C11)*(LN(C6)-LN(C8)))/(SQRT(2*C10^2))</f>
        <v>-8.2284142750033951</v>
      </c>
      <c r="U14" s="44" t="s">
        <v>205</v>
      </c>
      <c r="V14" s="44" t="s">
        <v>227</v>
      </c>
      <c r="W14" s="44"/>
      <c r="Y14" s="9" t="s">
        <v>220</v>
      </c>
      <c r="AC14" s="9" t="s">
        <v>222</v>
      </c>
    </row>
    <row r="15" spans="2:31">
      <c r="B15" s="1" t="s">
        <v>4</v>
      </c>
      <c r="C15" s="1">
        <f>(SQRT(C11)*(LN(C6)-LN(C7)))/(SQRT(2*C10^2))</f>
        <v>5.1525701792791478</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0.9999999999673217</v>
      </c>
      <c r="U16" s="1">
        <f>U15+$AB$11</f>
        <v>5.8632809341726023E-2</v>
      </c>
      <c r="V16" s="1">
        <f t="shared" ref="V16:V47" si="0">_xlfn.NORM.DIST($U16,$V$11,$C$5,FALSE)</f>
        <v>2.7699447059280034E-3</v>
      </c>
      <c r="Y16" s="44" t="s">
        <v>216</v>
      </c>
      <c r="Z16" s="1">
        <f>$V$11-$W$11</f>
        <v>0.70377932293076018</v>
      </c>
      <c r="AA16" s="1">
        <v>0</v>
      </c>
      <c r="AC16" s="44" t="s">
        <v>216</v>
      </c>
      <c r="AD16" s="1">
        <f>$V$11-$Y$11</f>
        <v>0.9108695298333388</v>
      </c>
      <c r="AE16" s="1">
        <v>0</v>
      </c>
    </row>
    <row r="17" spans="2:31">
      <c r="B17" s="1" t="s">
        <v>6</v>
      </c>
      <c r="C17" s="1">
        <f>NCt(C13,C12,C15)</f>
        <v>2.5560413901991091E-4</v>
      </c>
      <c r="U17" s="1">
        <f t="shared" ref="U17:U47" si="1">U16+$AB$11</f>
        <v>0.11726561868345205</v>
      </c>
      <c r="V17" s="1">
        <f t="shared" si="0"/>
        <v>6.2185621117606723E-3</v>
      </c>
      <c r="Y17" s="44" t="s">
        <v>218</v>
      </c>
      <c r="Z17" s="1">
        <f>Z16</f>
        <v>0.70377932293076018</v>
      </c>
      <c r="AA17" s="1">
        <f>IF(Y13,MAX($V$15:$V$47),0)</f>
        <v>0</v>
      </c>
      <c r="AC17" s="44" t="s">
        <v>218</v>
      </c>
      <c r="AD17" s="1">
        <f>AD16</f>
        <v>0.9108695298333388</v>
      </c>
      <c r="AE17" s="1">
        <f>IF(AC13,MAX($V$15:$V$47),0)</f>
        <v>1.5939698943202625</v>
      </c>
    </row>
    <row r="18" spans="2:31" ht="13">
      <c r="B18" s="1" t="s">
        <v>58</v>
      </c>
      <c r="C18" s="1">
        <f>C16-C17</f>
        <v>0.99974439582830177</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0.98913047016666111</v>
      </c>
      <c r="AE19" s="1">
        <v>0</v>
      </c>
    </row>
    <row r="20" spans="2:31">
      <c r="B20" s="1" t="s">
        <v>11</v>
      </c>
      <c r="C20" s="1">
        <f>CEILING(C11,1)</f>
        <v>109</v>
      </c>
      <c r="U20" s="1">
        <f t="shared" si="1"/>
        <v>0.29316404670863011</v>
      </c>
      <c r="V20" s="1">
        <f t="shared" si="0"/>
        <v>5.0584406183643189E-2</v>
      </c>
      <c r="Y20" s="44" t="s">
        <v>218</v>
      </c>
      <c r="Z20" s="1">
        <f>Z19</f>
        <v>1.1962206770692396</v>
      </c>
      <c r="AA20" s="1">
        <f>AA17</f>
        <v>0</v>
      </c>
      <c r="AC20" s="44" t="s">
        <v>218</v>
      </c>
      <c r="AD20" s="1">
        <f>AD19</f>
        <v>0.98913047016666111</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7">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237</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101600</xdr:colOff>
                    <xdr:row>23</xdr:row>
                    <xdr:rowOff>0</xdr:rowOff>
                  </from>
                  <to>
                    <xdr:col>2</xdr:col>
                    <xdr:colOff>0</xdr:colOff>
                    <xdr:row>24</xdr:row>
                    <xdr:rowOff>88900</xdr:rowOff>
                  </to>
                </anchor>
              </controlPr>
            </control>
          </mc:Choice>
          <mc:Fallback/>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482600</xdr:colOff>
                    <xdr:row>23</xdr:row>
                    <xdr:rowOff>0</xdr:rowOff>
                  </from>
                  <to>
                    <xdr:col>5</xdr:col>
                    <xdr:colOff>101600</xdr:colOff>
                    <xdr:row>24</xdr:row>
                    <xdr:rowOff>88900</xdr:rowOff>
                  </to>
                </anchor>
              </controlPr>
            </control>
          </mc:Choice>
          <mc:Fallback/>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177800</xdr:colOff>
                    <xdr:row>23</xdr:row>
                    <xdr:rowOff>0</xdr:rowOff>
                  </from>
                  <to>
                    <xdr:col>9</xdr:col>
                    <xdr:colOff>101600</xdr:colOff>
                    <xdr:row>24</xdr:row>
                    <xdr:rowOff>88900</xdr:rowOff>
                  </to>
                </anchor>
              </controlPr>
            </control>
          </mc:Choice>
          <mc:Fallback/>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63500</xdr:colOff>
                    <xdr:row>23</xdr:row>
                    <xdr:rowOff>0</xdr:rowOff>
                  </from>
                  <to>
                    <xdr:col>3</xdr:col>
                    <xdr:colOff>406400</xdr:colOff>
                    <xdr:row>24</xdr:row>
                    <xdr:rowOff>88900</xdr:rowOff>
                  </to>
                </anchor>
              </controlPr>
            </control>
          </mc:Choice>
          <mc:Fallback/>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63500</xdr:rowOff>
                  </from>
                  <to>
                    <xdr:col>11</xdr:col>
                    <xdr:colOff>508000</xdr:colOff>
                    <xdr:row>7</xdr:row>
                    <xdr:rowOff>101600</xdr:rowOff>
                  </to>
                </anchor>
              </controlPr>
            </control>
          </mc:Choice>
          <mc:Fallback/>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101600</xdr:rowOff>
                  </from>
                  <to>
                    <xdr:col>11</xdr:col>
                    <xdr:colOff>508000</xdr:colOff>
                    <xdr:row>8</xdr:row>
                    <xdr:rowOff>152400</xdr:rowOff>
                  </to>
                </anchor>
              </controlPr>
            </control>
          </mc:Choice>
          <mc:Fallback/>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B1:AH70"/>
  <sheetViews>
    <sheetView zoomScale="95" zoomScaleNormal="95" zoomScalePageLayoutView="95" workbookViewId="0">
      <selection activeCell="C2" sqref="C2"/>
    </sheetView>
  </sheetViews>
  <sheetFormatPr baseColWidth="10" defaultColWidth="9.1640625" defaultRowHeight="12" x14ac:dyDescent="0"/>
  <cols>
    <col min="1" max="1" width="5.1640625" style="1" customWidth="1"/>
    <col min="2" max="2" width="21.5" style="1" customWidth="1"/>
    <col min="3" max="20" width="9.1640625" style="1"/>
    <col min="21" max="26" width="9.1640625" style="52"/>
    <col min="27" max="27" width="20.5" style="52" bestFit="1" customWidth="1"/>
    <col min="28" max="34" width="9.1640625" style="52"/>
    <col min="35" max="16384" width="9.1640625" style="1"/>
  </cols>
  <sheetData>
    <row r="1" spans="2:31" ht="24" thickBot="1">
      <c r="B1" s="17" t="s">
        <v>76</v>
      </c>
      <c r="G1" s="9" t="s">
        <v>122</v>
      </c>
      <c r="Z1" s="52" t="s">
        <v>33</v>
      </c>
    </row>
    <row r="2" spans="2:31" ht="13" thickBot="1">
      <c r="B2" s="1" t="s">
        <v>1</v>
      </c>
      <c r="C2" s="2">
        <v>0.8</v>
      </c>
      <c r="Y2" s="52" t="s">
        <v>32</v>
      </c>
      <c r="Z2" s="52">
        <f>(2*G9+1)/(G9+1)</f>
        <v>1</v>
      </c>
    </row>
    <row r="3" spans="2:31" ht="13" thickBot="1">
      <c r="C3" s="14"/>
      <c r="Y3" s="52" t="s">
        <v>236</v>
      </c>
      <c r="Z3" s="52">
        <v>0.75</v>
      </c>
    </row>
    <row r="4" spans="2:31" ht="14" thickBot="1">
      <c r="B4" s="8" t="s">
        <v>59</v>
      </c>
      <c r="C4" s="2">
        <v>0.05</v>
      </c>
      <c r="Y4" s="52" t="s">
        <v>31</v>
      </c>
      <c r="Z4" s="52">
        <v>0.5</v>
      </c>
    </row>
    <row r="5" spans="2:31" ht="14" thickBot="1">
      <c r="B5" s="1" t="s">
        <v>120</v>
      </c>
      <c r="C5" s="43">
        <v>0.3</v>
      </c>
      <c r="D5" s="1" t="s">
        <v>127</v>
      </c>
      <c r="U5" s="52" t="s">
        <v>56</v>
      </c>
      <c r="Y5" s="52">
        <v>3</v>
      </c>
    </row>
    <row r="6" spans="2:31" ht="14" thickBot="1">
      <c r="B6" s="1" t="s">
        <v>34</v>
      </c>
      <c r="C6" s="43">
        <v>0.9</v>
      </c>
      <c r="D6" s="1" t="str">
        <f>IF(C6=1,"","(to "&amp;ROUND(100/C6,1)&amp;"%)")&amp;IF(OR($C$6&lt;$C$7,$C$6&gt;$C$8)," WARNING: Ratio outside BE limits.","")</f>
        <v>(to 111.1%)</v>
      </c>
      <c r="U6" s="52">
        <v>1</v>
      </c>
      <c r="Y6" s="52">
        <f>INDEX(Z2:Z4,Y5,1)</f>
        <v>0.5</v>
      </c>
    </row>
    <row r="7" spans="2:31" ht="13" thickBot="1">
      <c r="B7" s="1" t="s">
        <v>9</v>
      </c>
      <c r="C7" s="13">
        <v>0.8</v>
      </c>
    </row>
    <row r="8" spans="2:31" ht="13" thickBot="1">
      <c r="B8" s="1" t="s">
        <v>10</v>
      </c>
      <c r="C8" s="13">
        <f>1/C7</f>
        <v>1.25</v>
      </c>
    </row>
    <row r="10" spans="2:31" ht="13">
      <c r="B10" s="8" t="s">
        <v>26</v>
      </c>
      <c r="C10" s="1">
        <f>SQRT(LN((C5)^2+1))</f>
        <v>0.29356037920852401</v>
      </c>
      <c r="V10" s="52" t="s">
        <v>212</v>
      </c>
      <c r="W10" s="52" t="s">
        <v>210</v>
      </c>
      <c r="X10" s="52" t="s">
        <v>213</v>
      </c>
      <c r="Y10" s="52" t="s">
        <v>211</v>
      </c>
      <c r="AA10" s="52" t="s">
        <v>224</v>
      </c>
      <c r="AB10" s="52" t="s">
        <v>225</v>
      </c>
    </row>
    <row r="11" spans="2:31">
      <c r="B11" s="1" t="s">
        <v>0</v>
      </c>
      <c r="C11" s="7">
        <v>79</v>
      </c>
      <c r="U11" s="52" t="s">
        <v>206</v>
      </c>
      <c r="V11" s="53">
        <f>C6</f>
        <v>0.9</v>
      </c>
      <c r="W11" s="52">
        <f>$C$10</f>
        <v>0.29356037920852401</v>
      </c>
      <c r="X11" s="52">
        <f>W11/SQRT(C11)</f>
        <v>3.3028123083876586E-2</v>
      </c>
      <c r="Y11" s="52">
        <f>TINV($C$4*2,$C$11-2)*X11</f>
        <v>5.4988011417007022E-2</v>
      </c>
      <c r="AA11" s="54">
        <f>V11+4*W11</f>
        <v>2.0742415168340962</v>
      </c>
      <c r="AB11" s="52">
        <f>AA11/33</f>
        <v>6.2855803540427163E-2</v>
      </c>
    </row>
    <row r="12" spans="2:31">
      <c r="B12" s="1" t="s">
        <v>2</v>
      </c>
      <c r="C12" s="1">
        <f>C11-2</f>
        <v>77</v>
      </c>
    </row>
    <row r="13" spans="2:31">
      <c r="B13" s="1" t="s">
        <v>8</v>
      </c>
      <c r="C13" s="1">
        <f>TINV(C4*2,C12)</f>
        <v>1.6648845372582084</v>
      </c>
      <c r="Y13" s="52" t="b">
        <v>0</v>
      </c>
      <c r="AC13" s="52" t="b">
        <v>1</v>
      </c>
    </row>
    <row r="14" spans="2:31">
      <c r="B14" s="1" t="s">
        <v>3</v>
      </c>
      <c r="C14" s="1">
        <f>(SQRT(C11)*(LN(C6)-LN(C8)))/(SQRT(2*C10^2))</f>
        <v>-7.0330200966425114</v>
      </c>
      <c r="U14" s="52" t="s">
        <v>205</v>
      </c>
      <c r="V14" s="52" t="s">
        <v>227</v>
      </c>
      <c r="Y14" s="55" t="s">
        <v>220</v>
      </c>
      <c r="AC14" s="55" t="s">
        <v>222</v>
      </c>
    </row>
    <row r="15" spans="2:31">
      <c r="B15" s="1" t="s">
        <v>4</v>
      </c>
      <c r="C15" s="1">
        <f>(SQRT(C11)*(LN(C6)-LN(C7)))/(SQRT(2*C10^2))</f>
        <v>2.5216444485767089</v>
      </c>
      <c r="U15" s="52">
        <v>0</v>
      </c>
      <c r="V15" s="52">
        <f>_xlfn.NORM.DIST($U15,$V$11,$C$5,FALSE)</f>
        <v>1.477282803979336E-2</v>
      </c>
      <c r="Y15" s="52" t="s">
        <v>217</v>
      </c>
      <c r="Z15" s="52" t="s">
        <v>214</v>
      </c>
      <c r="AA15" s="52" t="s">
        <v>215</v>
      </c>
      <c r="AC15" s="52" t="s">
        <v>217</v>
      </c>
      <c r="AD15" s="52" t="s">
        <v>214</v>
      </c>
      <c r="AE15" s="52" t="s">
        <v>215</v>
      </c>
    </row>
    <row r="16" spans="2:31">
      <c r="B16" s="1" t="s">
        <v>7</v>
      </c>
      <c r="C16" s="1">
        <f>NCt(-C13,C12,C14)</f>
        <v>0.9999999495687445</v>
      </c>
      <c r="U16" s="52">
        <f>U15+$AB$11</f>
        <v>6.2855803540427163E-2</v>
      </c>
      <c r="V16" s="52">
        <f t="shared" ref="V16:V47" si="0">_xlfn.NORM.DIST($U16,$V$11,$C$5,FALSE)</f>
        <v>2.7096333066061466E-2</v>
      </c>
      <c r="Y16" s="52" t="s">
        <v>216</v>
      </c>
      <c r="Z16" s="52">
        <f>$V$11-$W$11</f>
        <v>0.60643962079147595</v>
      </c>
      <c r="AA16" s="52">
        <v>0</v>
      </c>
      <c r="AC16" s="52" t="s">
        <v>216</v>
      </c>
      <c r="AD16" s="52">
        <f>$V$11-$Y$11</f>
        <v>0.84501198858299298</v>
      </c>
      <c r="AE16" s="52">
        <v>0</v>
      </c>
    </row>
    <row r="17" spans="2:31">
      <c r="B17" s="1" t="s">
        <v>6</v>
      </c>
      <c r="C17" s="1">
        <f>NCt(C13,C12,C15)</f>
        <v>0.1964046087104091</v>
      </c>
      <c r="U17" s="52">
        <f t="shared" ref="U17:U47" si="1">U16+$AB$11</f>
        <v>0.12571160708085433</v>
      </c>
      <c r="V17" s="52">
        <f t="shared" si="0"/>
        <v>4.7565557097961828E-2</v>
      </c>
      <c r="Y17" s="52" t="s">
        <v>218</v>
      </c>
      <c r="Z17" s="52">
        <f>Z16</f>
        <v>0.60643962079147595</v>
      </c>
      <c r="AA17" s="52">
        <f>IF(Y13,MAX($V$15:$V$47),0)</f>
        <v>0</v>
      </c>
      <c r="AC17" s="52" t="s">
        <v>218</v>
      </c>
      <c r="AD17" s="52">
        <f>AD16</f>
        <v>0.84501198858299298</v>
      </c>
      <c r="AE17" s="52">
        <f>IF(AC13,MAX($V$15:$V$47),0)</f>
        <v>1.3268502231061179</v>
      </c>
    </row>
    <row r="18" spans="2:31" ht="13">
      <c r="B18" s="1" t="s">
        <v>58</v>
      </c>
      <c r="C18" s="1">
        <f>C16-C17</f>
        <v>0.80359534085833539</v>
      </c>
      <c r="E18" s="5"/>
      <c r="U18" s="52">
        <f t="shared" si="1"/>
        <v>0.18856741062128149</v>
      </c>
      <c r="V18" s="52">
        <f t="shared" si="0"/>
        <v>7.9911602450833827E-2</v>
      </c>
      <c r="Y18" s="52" t="s">
        <v>219</v>
      </c>
      <c r="Z18" s="52" t="s">
        <v>214</v>
      </c>
      <c r="AA18" s="52" t="s">
        <v>215</v>
      </c>
      <c r="AC18" s="52" t="s">
        <v>219</v>
      </c>
      <c r="AD18" s="52" t="s">
        <v>214</v>
      </c>
      <c r="AE18" s="52" t="s">
        <v>215</v>
      </c>
    </row>
    <row r="19" spans="2:31">
      <c r="U19" s="52">
        <f t="shared" si="1"/>
        <v>0.25142321416170865</v>
      </c>
      <c r="V19" s="52">
        <f t="shared" si="0"/>
        <v>0.12848791379412886</v>
      </c>
      <c r="Y19" s="52" t="s">
        <v>216</v>
      </c>
      <c r="Z19" s="52">
        <f>$V$11+$W$11</f>
        <v>1.1935603792085241</v>
      </c>
      <c r="AA19" s="52">
        <v>0</v>
      </c>
      <c r="AC19" s="52" t="s">
        <v>216</v>
      </c>
      <c r="AD19" s="52">
        <f>$V$11+$Y$11</f>
        <v>0.95498801141700707</v>
      </c>
      <c r="AE19" s="52">
        <v>0</v>
      </c>
    </row>
    <row r="20" spans="2:31">
      <c r="B20" s="1" t="s">
        <v>11</v>
      </c>
      <c r="C20" s="1">
        <f>CEILING(INDEX(Z2:Z4,Y5,1)*C11,1)</f>
        <v>40</v>
      </c>
      <c r="U20" s="52">
        <f t="shared" si="1"/>
        <v>0.31427901770213584</v>
      </c>
      <c r="V20" s="52">
        <f t="shared" si="0"/>
        <v>0.1977196814466011</v>
      </c>
      <c r="Y20" s="52" t="s">
        <v>218</v>
      </c>
      <c r="Z20" s="52">
        <f>Z19</f>
        <v>1.1935603792085241</v>
      </c>
      <c r="AA20" s="52">
        <f>AA17</f>
        <v>0</v>
      </c>
      <c r="AC20" s="52" t="s">
        <v>218</v>
      </c>
      <c r="AD20" s="52">
        <f>AD19</f>
        <v>0.95498801141700707</v>
      </c>
      <c r="AE20" s="52">
        <f>AE17</f>
        <v>1.3268502231061179</v>
      </c>
    </row>
    <row r="21" spans="2:31">
      <c r="U21" s="52">
        <f t="shared" si="1"/>
        <v>0.37713482124256303</v>
      </c>
      <c r="V21" s="52">
        <f t="shared" si="0"/>
        <v>0.29118748986942972</v>
      </c>
    </row>
    <row r="22" spans="2:31">
      <c r="U22" s="52">
        <f t="shared" si="1"/>
        <v>0.43999062478299023</v>
      </c>
      <c r="V22" s="52">
        <f t="shared" si="0"/>
        <v>0.41042207290166549</v>
      </c>
      <c r="Y22" s="55"/>
      <c r="AC22" s="55"/>
    </row>
    <row r="23" spans="2:31">
      <c r="U23" s="52">
        <f t="shared" si="1"/>
        <v>0.50284642832341742</v>
      </c>
      <c r="V23" s="52">
        <f t="shared" si="0"/>
        <v>0.55363545229058264</v>
      </c>
    </row>
    <row r="24" spans="2:31">
      <c r="U24" s="52">
        <f t="shared" si="1"/>
        <v>0.56570223186384461</v>
      </c>
      <c r="V24" s="52">
        <f t="shared" si="0"/>
        <v>0.71474686948667876</v>
      </c>
    </row>
    <row r="25" spans="2:31">
      <c r="U25" s="52">
        <f t="shared" si="1"/>
        <v>0.6285580354042718</v>
      </c>
      <c r="V25" s="52">
        <f t="shared" si="0"/>
        <v>0.88311206356970129</v>
      </c>
    </row>
    <row r="26" spans="2:31">
      <c r="U26" s="52">
        <f t="shared" si="1"/>
        <v>0.69141383894469899</v>
      </c>
      <c r="V26" s="52">
        <f t="shared" si="0"/>
        <v>1.0442742258768614</v>
      </c>
    </row>
    <row r="27" spans="2:31">
      <c r="U27" s="52">
        <f t="shared" si="1"/>
        <v>0.75426964248512618</v>
      </c>
      <c r="V27" s="52">
        <f t="shared" si="0"/>
        <v>1.1818122495065957</v>
      </c>
    </row>
    <row r="28" spans="2:31">
      <c r="U28" s="52">
        <f t="shared" si="1"/>
        <v>0.81712544602555337</v>
      </c>
      <c r="V28" s="52">
        <f t="shared" si="0"/>
        <v>1.2800224931945334</v>
      </c>
    </row>
    <row r="29" spans="2:31">
      <c r="U29" s="52">
        <f t="shared" si="1"/>
        <v>0.87998124956598056</v>
      </c>
      <c r="V29" s="52">
        <f t="shared" si="0"/>
        <v>1.3268502231061179</v>
      </c>
      <c r="Y29" s="52" t="b">
        <v>1</v>
      </c>
    </row>
    <row r="30" spans="2:31">
      <c r="U30" s="52">
        <f t="shared" si="1"/>
        <v>0.94283705310640775</v>
      </c>
      <c r="V30" s="52">
        <f t="shared" si="0"/>
        <v>1.3163197227249672</v>
      </c>
      <c r="Y30" s="55" t="s">
        <v>228</v>
      </c>
    </row>
    <row r="31" spans="2:31">
      <c r="U31" s="52">
        <f t="shared" si="1"/>
        <v>1.0056928566468348</v>
      </c>
      <c r="V31" s="52">
        <f t="shared" si="0"/>
        <v>1.2497871682536457</v>
      </c>
      <c r="Y31" s="52" t="s">
        <v>217</v>
      </c>
      <c r="Z31" s="52" t="s">
        <v>214</v>
      </c>
      <c r="AA31" s="52" t="s">
        <v>215</v>
      </c>
    </row>
    <row r="32" spans="2:31">
      <c r="U32" s="52">
        <f t="shared" si="1"/>
        <v>1.068548660187262</v>
      </c>
      <c r="V32" s="52">
        <f t="shared" si="0"/>
        <v>1.1356537008909846</v>
      </c>
      <c r="Y32" s="52" t="s">
        <v>216</v>
      </c>
      <c r="Z32" s="56">
        <f>C7</f>
        <v>0.8</v>
      </c>
      <c r="AA32" s="52">
        <v>0</v>
      </c>
    </row>
    <row r="33" spans="21:27">
      <c r="U33" s="52">
        <f t="shared" si="1"/>
        <v>1.1314044637276892</v>
      </c>
      <c r="V33" s="52">
        <f t="shared" si="0"/>
        <v>0.98762247825526639</v>
      </c>
      <c r="Y33" s="52" t="s">
        <v>218</v>
      </c>
      <c r="Z33" s="56">
        <f>Z32</f>
        <v>0.8</v>
      </c>
      <c r="AA33" s="52">
        <f>IF($Y$29,MAX($V$15:$W$47),0)</f>
        <v>1.3268502231061179</v>
      </c>
    </row>
    <row r="34" spans="21:27">
      <c r="U34" s="52">
        <f t="shared" si="1"/>
        <v>1.1942602672681164</v>
      </c>
      <c r="V34" s="52">
        <f t="shared" si="0"/>
        <v>0.82199882643964128</v>
      </c>
      <c r="Y34" s="52" t="s">
        <v>219</v>
      </c>
      <c r="Z34" s="52" t="s">
        <v>214</v>
      </c>
      <c r="AA34" s="52" t="s">
        <v>215</v>
      </c>
    </row>
    <row r="35" spans="21:27">
      <c r="U35" s="52">
        <f t="shared" si="1"/>
        <v>1.2571160708085436</v>
      </c>
      <c r="V35" s="52">
        <f t="shared" si="0"/>
        <v>0.65476674718804873</v>
      </c>
      <c r="Y35" s="52" t="s">
        <v>216</v>
      </c>
      <c r="Z35" s="56">
        <f>C8</f>
        <v>1.25</v>
      </c>
      <c r="AA35" s="52">
        <v>0</v>
      </c>
    </row>
    <row r="36" spans="21:27">
      <c r="U36" s="52">
        <f t="shared" si="1"/>
        <v>1.3199718743489708</v>
      </c>
      <c r="V36" s="52">
        <f t="shared" si="0"/>
        <v>0.49915706150721351</v>
      </c>
      <c r="Y36" s="52" t="s">
        <v>218</v>
      </c>
      <c r="Z36" s="56">
        <f>Z35</f>
        <v>1.25</v>
      </c>
      <c r="AA36" s="52">
        <f>AA33</f>
        <v>1.3268502231061179</v>
      </c>
    </row>
    <row r="37" spans="21:27">
      <c r="U37" s="52">
        <f t="shared" si="1"/>
        <v>1.382827677889398</v>
      </c>
      <c r="V37" s="52">
        <f t="shared" si="0"/>
        <v>0.3641858012715018</v>
      </c>
    </row>
    <row r="38" spans="21:27">
      <c r="U38" s="52">
        <f t="shared" si="1"/>
        <v>1.4456834814298252</v>
      </c>
      <c r="V38" s="52">
        <f t="shared" si="0"/>
        <v>0.25429860993809755</v>
      </c>
    </row>
    <row r="39" spans="21:27">
      <c r="U39" s="52">
        <f t="shared" si="1"/>
        <v>1.5085392849702524</v>
      </c>
      <c r="V39" s="52">
        <f t="shared" si="0"/>
        <v>0.169941774582163</v>
      </c>
    </row>
    <row r="40" spans="21:27">
      <c r="U40" s="52">
        <f t="shared" si="1"/>
        <v>1.5713950885106795</v>
      </c>
      <c r="V40" s="52">
        <f t="shared" si="0"/>
        <v>0.10869047781366145</v>
      </c>
    </row>
    <row r="41" spans="21:27">
      <c r="U41" s="52">
        <f t="shared" si="1"/>
        <v>1.6342508920511067</v>
      </c>
      <c r="V41" s="52">
        <f t="shared" si="0"/>
        <v>6.6530078085967767E-2</v>
      </c>
    </row>
    <row r="42" spans="21:27">
      <c r="U42" s="52">
        <f t="shared" si="1"/>
        <v>1.6971066955915339</v>
      </c>
      <c r="V42" s="52">
        <f t="shared" si="0"/>
        <v>3.8974428408071964E-2</v>
      </c>
    </row>
    <row r="43" spans="21:27">
      <c r="U43" s="52">
        <f t="shared" si="1"/>
        <v>1.7599624991319611</v>
      </c>
      <c r="V43" s="52">
        <f t="shared" si="0"/>
        <v>2.1851268942557921E-2</v>
      </c>
    </row>
    <row r="44" spans="21:27" ht="20.25" customHeight="1">
      <c r="U44" s="52">
        <f t="shared" si="1"/>
        <v>1.8228183026723883</v>
      </c>
      <c r="V44" s="52">
        <f t="shared" si="0"/>
        <v>1.1724889439740756E-2</v>
      </c>
    </row>
    <row r="45" spans="21:27">
      <c r="U45" s="52">
        <f t="shared" si="1"/>
        <v>1.8856741062128155</v>
      </c>
      <c r="V45" s="52">
        <f t="shared" si="0"/>
        <v>6.0211027202522194E-3</v>
      </c>
    </row>
    <row r="46" spans="21:27">
      <c r="U46" s="52">
        <f t="shared" si="1"/>
        <v>1.9485299097532427</v>
      </c>
      <c r="V46" s="52">
        <f t="shared" si="0"/>
        <v>2.9592285119466512E-3</v>
      </c>
    </row>
    <row r="47" spans="21:27">
      <c r="U47" s="52">
        <f t="shared" si="1"/>
        <v>2.0113857132936697</v>
      </c>
      <c r="V47" s="52">
        <f t="shared" si="0"/>
        <v>1.3919260261450537E-3</v>
      </c>
    </row>
    <row r="52" spans="2:2" ht="17">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101600</xdr:colOff>
                    <xdr:row>23</xdr:row>
                    <xdr:rowOff>0</xdr:rowOff>
                  </from>
                  <to>
                    <xdr:col>2</xdr:col>
                    <xdr:colOff>0</xdr:colOff>
                    <xdr:row>24</xdr:row>
                    <xdr:rowOff>88900</xdr:rowOff>
                  </to>
                </anchor>
              </controlPr>
            </control>
          </mc:Choice>
          <mc:Fallback/>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482600</xdr:colOff>
                    <xdr:row>23</xdr:row>
                    <xdr:rowOff>0</xdr:rowOff>
                  </from>
                  <to>
                    <xdr:col>5</xdr:col>
                    <xdr:colOff>101600</xdr:colOff>
                    <xdr:row>24</xdr:row>
                    <xdr:rowOff>88900</xdr:rowOff>
                  </to>
                </anchor>
              </controlPr>
            </control>
          </mc:Choice>
          <mc:Fallback/>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177800</xdr:colOff>
                    <xdr:row>23</xdr:row>
                    <xdr:rowOff>0</xdr:rowOff>
                  </from>
                  <to>
                    <xdr:col>9</xdr:col>
                    <xdr:colOff>101600</xdr:colOff>
                    <xdr:row>24</xdr:row>
                    <xdr:rowOff>88900</xdr:rowOff>
                  </to>
                </anchor>
              </controlPr>
            </control>
          </mc:Choice>
          <mc:Fallback/>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63500</xdr:colOff>
                    <xdr:row>23</xdr:row>
                    <xdr:rowOff>0</xdr:rowOff>
                  </from>
                  <to>
                    <xdr:col>3</xdr:col>
                    <xdr:colOff>406400</xdr:colOff>
                    <xdr:row>24</xdr:row>
                    <xdr:rowOff>88900</xdr:rowOff>
                  </to>
                </anchor>
              </controlPr>
            </control>
          </mc:Choice>
          <mc:Fallback/>
        </mc:AlternateContent>
        <mc:AlternateContent xmlns:mc="http://schemas.openxmlformats.org/markup-compatibility/2006">
          <mc:Choice Requires="x14">
            <control shapeId="35845" r:id="rId7" name="Check Box 5">
              <controlPr defaultSize="0" autoFill="0" autoLine="0" autoPict="0">
                <anchor moveWithCells="1">
                  <from>
                    <xdr:col>10</xdr:col>
                    <xdr:colOff>330200</xdr:colOff>
                    <xdr:row>6</xdr:row>
                    <xdr:rowOff>88900</xdr:rowOff>
                  </from>
                  <to>
                    <xdr:col>11</xdr:col>
                    <xdr:colOff>482600</xdr:colOff>
                    <xdr:row>7</xdr:row>
                    <xdr:rowOff>127000</xdr:rowOff>
                  </to>
                </anchor>
              </controlPr>
            </control>
          </mc:Choice>
          <mc:Fallback/>
        </mc:AlternateContent>
        <mc:AlternateContent xmlns:mc="http://schemas.openxmlformats.org/markup-compatibility/2006">
          <mc:Choice Requires="x14">
            <control shapeId="35846" r:id="rId8" name="Check Box 6">
              <controlPr defaultSize="0" autoFill="0" autoLine="0" autoPict="0">
                <anchor moveWithCells="1">
                  <from>
                    <xdr:col>10</xdr:col>
                    <xdr:colOff>330200</xdr:colOff>
                    <xdr:row>7</xdr:row>
                    <xdr:rowOff>127000</xdr:rowOff>
                  </from>
                  <to>
                    <xdr:col>11</xdr:col>
                    <xdr:colOff>482600</xdr:colOff>
                    <xdr:row>9</xdr:row>
                    <xdr:rowOff>25400</xdr:rowOff>
                  </to>
                </anchor>
              </controlPr>
            </control>
          </mc:Choice>
          <mc:Fallback/>
        </mc:AlternateContent>
        <mc:AlternateContent xmlns:mc="http://schemas.openxmlformats.org/markup-compatibility/2006">
          <mc:Choice Requires="x14">
            <control shapeId="35847" r:id="rId9" name="Check Box 7">
              <controlPr defaultSize="0" autoFill="0" autoLine="0" autoPict="0">
                <anchor moveWithCells="1">
                  <from>
                    <xdr:col>10</xdr:col>
                    <xdr:colOff>330200</xdr:colOff>
                    <xdr:row>9</xdr:row>
                    <xdr:rowOff>25400</xdr:rowOff>
                  </from>
                  <to>
                    <xdr:col>11</xdr:col>
                    <xdr:colOff>482600</xdr:colOff>
                    <xdr:row>10</xdr:row>
                    <xdr:rowOff>25400</xdr:rowOff>
                  </to>
                </anchor>
              </controlPr>
            </control>
          </mc:Choice>
          <mc:Fallback/>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406400</xdr:colOff>
                    <xdr:row>2</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dimension ref="B1:U189"/>
  <sheetViews>
    <sheetView workbookViewId="0">
      <selection activeCell="C3" sqref="C3"/>
    </sheetView>
  </sheetViews>
  <sheetFormatPr baseColWidth="10" defaultColWidth="9.1640625" defaultRowHeight="12" x14ac:dyDescent="0"/>
  <cols>
    <col min="1" max="1" width="5.1640625" style="1" customWidth="1"/>
    <col min="2" max="2" width="28.1640625" style="1" customWidth="1"/>
    <col min="3" max="4" width="9.1640625" style="1"/>
    <col min="5" max="5" width="9.1640625" style="1" customWidth="1"/>
    <col min="6" max="16384" width="9.1640625" style="1"/>
  </cols>
  <sheetData>
    <row r="1" spans="2:15" ht="23">
      <c r="B1" s="17" t="s">
        <v>194</v>
      </c>
    </row>
    <row r="2" spans="2:15" ht="13" thickBot="1"/>
    <row r="3" spans="2:15" ht="13"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
      <c r="B6" s="40" t="s">
        <v>168</v>
      </c>
    </row>
    <row r="7" spans="2:15" ht="15">
      <c r="B7" s="40" t="s">
        <v>169</v>
      </c>
    </row>
    <row r="8" spans="2:15" ht="15">
      <c r="B8" s="40"/>
    </row>
    <row r="9" spans="2:15" ht="17">
      <c r="B9" s="28" t="s">
        <v>150</v>
      </c>
      <c r="C9" s="15"/>
      <c r="D9" s="15"/>
      <c r="E9" s="15"/>
      <c r="F9" s="15"/>
      <c r="G9" s="15"/>
      <c r="H9" s="15"/>
      <c r="I9" s="15"/>
      <c r="J9" s="15"/>
      <c r="K9" s="15"/>
      <c r="L9" s="15"/>
      <c r="M9" s="15"/>
      <c r="N9" s="15"/>
      <c r="O9" s="15"/>
    </row>
    <row r="10" spans="2:15" ht="17">
      <c r="B10" s="28" t="s">
        <v>166</v>
      </c>
      <c r="C10" s="15"/>
      <c r="D10" s="15"/>
      <c r="E10" s="15"/>
      <c r="F10" s="15"/>
      <c r="G10" s="15"/>
      <c r="H10" s="15"/>
      <c r="I10" s="15"/>
      <c r="J10" s="15"/>
      <c r="K10" s="15"/>
      <c r="L10" s="15"/>
      <c r="M10" s="15"/>
      <c r="N10" s="15"/>
      <c r="O10" s="15"/>
    </row>
    <row r="11" spans="2:15" ht="13" thickBot="1">
      <c r="K11" s="15"/>
      <c r="L11" s="15"/>
      <c r="M11" s="15"/>
      <c r="N11" s="15"/>
      <c r="O11" s="15"/>
    </row>
    <row r="12" spans="2:15" ht="13"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
      <c r="B29" s="41" t="s">
        <v>167</v>
      </c>
      <c r="C29" s="38"/>
      <c r="D29" s="38"/>
      <c r="E29" s="38"/>
      <c r="F29" s="38"/>
      <c r="G29" s="38"/>
      <c r="H29" s="38"/>
      <c r="I29" s="38"/>
      <c r="J29" s="38"/>
      <c r="K29" s="38"/>
      <c r="L29" s="38"/>
      <c r="M29" s="38"/>
      <c r="N29" s="38"/>
      <c r="O29" s="38"/>
      <c r="P29" s="39"/>
    </row>
    <row r="30" spans="2:16" ht="17">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ht="13">
      <c r="B32" s="15"/>
      <c r="C32" s="15"/>
      <c r="D32" s="15"/>
      <c r="E32" s="15"/>
      <c r="F32" s="15"/>
      <c r="G32" s="15" t="s">
        <v>133</v>
      </c>
      <c r="H32" s="15"/>
      <c r="I32" s="15"/>
      <c r="J32" s="15"/>
      <c r="K32" s="15"/>
      <c r="L32" s="15"/>
      <c r="M32" s="15"/>
      <c r="N32" s="15"/>
      <c r="O32" s="15"/>
    </row>
    <row r="33" spans="2:21" ht="13">
      <c r="B33" s="15"/>
      <c r="C33" s="15"/>
      <c r="D33" s="15"/>
      <c r="E33" s="15"/>
      <c r="F33" s="15"/>
      <c r="G33" s="15" t="s">
        <v>139</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7">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7">
      <c r="B48" s="28" t="s">
        <v>154</v>
      </c>
      <c r="L48" s="15"/>
      <c r="M48" s="15"/>
      <c r="N48" s="15"/>
      <c r="O48" s="15"/>
      <c r="P48" s="15"/>
      <c r="Q48" s="15"/>
      <c r="R48" s="15"/>
      <c r="S48" s="15"/>
      <c r="T48" s="15"/>
      <c r="U48" s="15"/>
    </row>
    <row r="49" spans="2:21" ht="17">
      <c r="B49" s="28" t="s">
        <v>155</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 thickBot="1">
      <c r="B51" s="15" t="s">
        <v>157</v>
      </c>
      <c r="C51" s="30">
        <v>1</v>
      </c>
      <c r="D51" s="15"/>
      <c r="K51" s="15"/>
      <c r="L51" s="15"/>
      <c r="M51" s="15"/>
      <c r="N51" s="15"/>
      <c r="O51" s="15"/>
      <c r="P51" s="15"/>
      <c r="Q51" s="15"/>
      <c r="R51" s="15"/>
      <c r="S51" s="15"/>
      <c r="T51" s="15"/>
      <c r="U51" s="15"/>
    </row>
    <row r="52" spans="2:21" ht="13"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7">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7">
      <c r="B80" s="28" t="s">
        <v>153</v>
      </c>
      <c r="C80" s="15"/>
      <c r="D80" s="15"/>
      <c r="E80" s="15"/>
      <c r="F80" s="15"/>
      <c r="G80" s="15"/>
      <c r="H80" s="15"/>
      <c r="I80" s="15"/>
      <c r="J80" s="15"/>
      <c r="K80" s="15"/>
      <c r="L80" s="15"/>
      <c r="M80" s="15"/>
      <c r="N80" s="15"/>
      <c r="O80" s="15"/>
    </row>
    <row r="81" spans="2:15" ht="17">
      <c r="B81" s="28" t="s">
        <v>159</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7">
      <c r="B110" s="28" t="s">
        <v>153</v>
      </c>
    </row>
    <row r="111" spans="2:15" ht="17">
      <c r="B111" s="28" t="s">
        <v>179</v>
      </c>
    </row>
    <row r="112" spans="2:15" ht="13" thickBot="1"/>
    <row r="113" spans="2:15" ht="13" thickBot="1">
      <c r="B113" s="15" t="s">
        <v>183</v>
      </c>
      <c r="C113" s="30">
        <v>0.25</v>
      </c>
    </row>
    <row r="114" spans="2:15" ht="13" thickBot="1">
      <c r="B114" s="15" t="s">
        <v>180</v>
      </c>
      <c r="C114" s="30">
        <f>C115</f>
        <v>8.6177696241052412E-2</v>
      </c>
      <c r="D114" s="15" t="s">
        <v>190</v>
      </c>
    </row>
    <row r="115" spans="2:15" ht="13" thickBot="1">
      <c r="B115" s="15" t="s">
        <v>142</v>
      </c>
      <c r="C115" s="30">
        <f>LN((C3)^2+1)</f>
        <v>8.6177696241052412E-2</v>
      </c>
      <c r="D115" s="15" t="s">
        <v>189</v>
      </c>
    </row>
    <row r="116" spans="2:15" ht="13"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7">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7">
      <c r="B148" s="28" t="s">
        <v>170</v>
      </c>
      <c r="C148" s="15"/>
      <c r="D148" s="15"/>
      <c r="E148" s="15"/>
      <c r="F148" s="15"/>
      <c r="G148" s="15"/>
      <c r="H148" s="15"/>
      <c r="I148" s="15"/>
      <c r="J148" s="15"/>
      <c r="K148" s="15"/>
      <c r="L148" s="15"/>
      <c r="M148" s="15"/>
      <c r="N148" s="15"/>
      <c r="O148" s="15"/>
    </row>
    <row r="149" spans="2:15" ht="17">
      <c r="B149" s="28" t="s">
        <v>171</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 thickBot="1">
      <c r="B151" s="15" t="s">
        <v>174</v>
      </c>
      <c r="C151" s="30">
        <v>24</v>
      </c>
      <c r="D151" s="15"/>
      <c r="E151" s="15"/>
      <c r="F151" s="15"/>
      <c r="G151" s="15"/>
      <c r="H151" s="15"/>
      <c r="I151" s="15"/>
      <c r="J151" s="15"/>
      <c r="K151" s="15"/>
      <c r="L151" s="15"/>
      <c r="M151" s="15"/>
      <c r="N151" s="15"/>
      <c r="O151" s="15"/>
    </row>
    <row r="152" spans="2:15" ht="13" thickBot="1">
      <c r="B152" s="15" t="s">
        <v>173</v>
      </c>
      <c r="C152" s="29">
        <v>0.05</v>
      </c>
      <c r="D152" s="15" t="s">
        <v>177</v>
      </c>
      <c r="E152" s="15"/>
      <c r="F152" s="15"/>
      <c r="G152" s="15"/>
      <c r="H152" s="15"/>
      <c r="I152" s="15"/>
      <c r="J152" s="15"/>
      <c r="K152" s="15"/>
      <c r="L152" s="15"/>
      <c r="M152" s="15"/>
      <c r="N152" s="15"/>
      <c r="O152" s="15"/>
    </row>
    <row r="153" spans="2:15" ht="13"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hyperlink ref="B43" r:id="rId2"/>
    <hyperlink ref="B45" r:id="rId3"/>
    <hyperlink ref="B22" r:id="rId4"/>
    <hyperlink ref="B23" r:id="rId5"/>
    <hyperlink ref="B77" r:id="rId6"/>
    <hyperlink ref="B107" r:id="rId7"/>
    <hyperlink ref="B177" r:id="rId8"/>
    <hyperlink ref="B144" r:id="rId9"/>
    <hyperlink ref="B145" r:id="rId10"/>
    <hyperlink ref="B108" r:id="rId11"/>
    <hyperlink ref="B178" r:id="rId12"/>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25400</xdr:colOff>
                <xdr:row>30</xdr:row>
                <xdr:rowOff>38100</xdr:rowOff>
              </from>
              <to>
                <xdr:col>5</xdr:col>
                <xdr:colOff>114300</xdr:colOff>
                <xdr:row>33</xdr:row>
                <xdr:rowOff>139700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B1:G53"/>
  <sheetViews>
    <sheetView workbookViewId="0">
      <selection activeCell="C3" sqref="C3"/>
    </sheetView>
  </sheetViews>
  <sheetFormatPr baseColWidth="10" defaultColWidth="9.1640625" defaultRowHeight="12" x14ac:dyDescent="0"/>
  <cols>
    <col min="1" max="1" width="5.1640625" style="1" customWidth="1"/>
    <col min="2" max="2" width="21.5" style="1" customWidth="1"/>
    <col min="3" max="16384" width="9.1640625" style="1"/>
  </cols>
  <sheetData>
    <row r="1" spans="2:6" ht="23">
      <c r="B1" s="17" t="s">
        <v>77</v>
      </c>
      <c r="F1" s="9" t="s">
        <v>122</v>
      </c>
    </row>
    <row r="2" spans="2:6" ht="13" thickBot="1">
      <c r="C2" s="14"/>
    </row>
    <row r="3" spans="2:6" ht="13" thickBot="1">
      <c r="B3" s="1" t="s">
        <v>22</v>
      </c>
      <c r="C3" s="3">
        <v>1</v>
      </c>
      <c r="D3" s="1" t="s">
        <v>23</v>
      </c>
    </row>
    <row r="4" spans="2:6" ht="14" thickBot="1">
      <c r="B4" s="8" t="s">
        <v>59</v>
      </c>
      <c r="C4" s="2">
        <v>0.05</v>
      </c>
      <c r="D4" s="1" t="s">
        <v>20</v>
      </c>
    </row>
    <row r="5" spans="2:6" ht="14" thickBot="1">
      <c r="B5" s="8" t="s">
        <v>18</v>
      </c>
      <c r="C5" s="3">
        <v>25</v>
      </c>
      <c r="D5" s="1" t="s">
        <v>19</v>
      </c>
    </row>
    <row r="6" spans="2:6" ht="13" thickBot="1">
      <c r="B6" s="1" t="s">
        <v>38</v>
      </c>
      <c r="C6" s="3">
        <v>5</v>
      </c>
      <c r="D6" s="1" t="s">
        <v>39</v>
      </c>
    </row>
    <row r="7" spans="2:6" ht="13" thickBot="1">
      <c r="C7" s="4"/>
    </row>
    <row r="8" spans="2:6" ht="14" thickBot="1">
      <c r="B8" s="12" t="s">
        <v>17</v>
      </c>
      <c r="C8" s="11">
        <f>C6/C5</f>
        <v>0.2</v>
      </c>
    </row>
    <row r="10" spans="2:6" ht="13">
      <c r="B10" s="8" t="s">
        <v>18</v>
      </c>
      <c r="C10" s="1">
        <f>C5</f>
        <v>25</v>
      </c>
    </row>
    <row r="11" spans="2:6">
      <c r="B11" s="1" t="s">
        <v>16</v>
      </c>
      <c r="C11" s="7">
        <v>194</v>
      </c>
    </row>
    <row r="12" spans="2:6">
      <c r="B12" s="1" t="s">
        <v>15</v>
      </c>
      <c r="C12" s="1">
        <f>C11*(C3+1)-2</f>
        <v>386</v>
      </c>
    </row>
    <row r="13" spans="2:6">
      <c r="B13" s="1" t="s">
        <v>14</v>
      </c>
      <c r="C13" s="1">
        <f>TINV(C4,C12)</f>
        <v>1.9661287528933371</v>
      </c>
    </row>
    <row r="14" spans="2:6" ht="13">
      <c r="B14" s="1" t="s">
        <v>40</v>
      </c>
      <c r="C14" s="7">
        <f>(C3+1)*C13^2*C10^2/(C3*C6^2)</f>
        <v>193.28311364769547</v>
      </c>
    </row>
    <row r="18" spans="2:5">
      <c r="E18" s="5"/>
    </row>
    <row r="19" spans="2:5">
      <c r="C19" s="16" t="s">
        <v>63</v>
      </c>
      <c r="D19" s="16" t="s">
        <v>64</v>
      </c>
      <c r="E19" s="16" t="s">
        <v>66</v>
      </c>
    </row>
    <row r="20" spans="2:5">
      <c r="B20" s="1" t="s">
        <v>11</v>
      </c>
      <c r="C20" s="1">
        <f>CEILING(C11,1)</f>
        <v>194</v>
      </c>
      <c r="D20" s="1">
        <f>C20*C3</f>
        <v>194</v>
      </c>
      <c r="E20" s="1">
        <f>C20+D20</f>
        <v>388</v>
      </c>
    </row>
    <row r="26" spans="2:5" ht="17">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101600</xdr:colOff>
                    <xdr:row>21</xdr:row>
                    <xdr:rowOff>76200</xdr:rowOff>
                  </from>
                  <to>
                    <xdr:col>2</xdr:col>
                    <xdr:colOff>520700</xdr:colOff>
                    <xdr:row>23</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dimension ref="B1:G53"/>
  <sheetViews>
    <sheetView workbookViewId="0">
      <selection activeCell="C4" sqref="C4"/>
    </sheetView>
  </sheetViews>
  <sheetFormatPr baseColWidth="10" defaultColWidth="9.1640625" defaultRowHeight="12" x14ac:dyDescent="0"/>
  <cols>
    <col min="1" max="1" width="5.1640625" style="1" customWidth="1"/>
    <col min="2" max="2" width="21.5" style="1" customWidth="1"/>
    <col min="3" max="16384" width="9.1640625" style="1"/>
  </cols>
  <sheetData>
    <row r="1" spans="2:7" ht="23">
      <c r="B1" s="17" t="s">
        <v>78</v>
      </c>
      <c r="G1" s="9" t="s">
        <v>122</v>
      </c>
    </row>
    <row r="2" spans="2:7">
      <c r="C2" s="14"/>
    </row>
    <row r="3" spans="2:7" ht="13" thickBot="1">
      <c r="C3" s="10"/>
    </row>
    <row r="4" spans="2:7" ht="14" thickBot="1">
      <c r="B4" s="8" t="s">
        <v>59</v>
      </c>
      <c r="C4" s="2">
        <v>0.05</v>
      </c>
      <c r="D4" s="1" t="s">
        <v>20</v>
      </c>
    </row>
    <row r="5" spans="2:7" ht="14" thickBot="1">
      <c r="B5" s="8" t="s">
        <v>26</v>
      </c>
      <c r="C5" s="3">
        <v>10</v>
      </c>
      <c r="D5" s="1" t="s">
        <v>19</v>
      </c>
    </row>
    <row r="6" spans="2:7" ht="13" thickBot="1">
      <c r="B6" s="1" t="s">
        <v>38</v>
      </c>
      <c r="C6" s="3">
        <v>5</v>
      </c>
      <c r="D6" s="1" t="s">
        <v>39</v>
      </c>
    </row>
    <row r="7" spans="2:7" ht="13" thickBot="1">
      <c r="C7" s="4"/>
    </row>
    <row r="8" spans="2:7" ht="14" thickBot="1">
      <c r="B8" s="12" t="s">
        <v>17</v>
      </c>
      <c r="C8" s="11">
        <f>C6/C5</f>
        <v>0.5</v>
      </c>
    </row>
    <row r="10" spans="2:7" ht="13">
      <c r="B10" s="8" t="s">
        <v>26</v>
      </c>
      <c r="C10" s="1">
        <f>C5</f>
        <v>10</v>
      </c>
    </row>
    <row r="11" spans="2:7">
      <c r="B11" s="1" t="s">
        <v>0</v>
      </c>
      <c r="C11" s="7">
        <v>34</v>
      </c>
    </row>
    <row r="12" spans="2:7">
      <c r="B12" s="1" t="s">
        <v>2</v>
      </c>
      <c r="C12" s="1">
        <f>C11-2</f>
        <v>32</v>
      </c>
    </row>
    <row r="13" spans="2:7">
      <c r="B13" s="1" t="s">
        <v>13</v>
      </c>
      <c r="C13" s="1">
        <f>TINV(C4,C12)</f>
        <v>2.0369333434601011</v>
      </c>
    </row>
    <row r="14" spans="2:7" ht="13">
      <c r="B14" s="1" t="s">
        <v>41</v>
      </c>
      <c r="C14" s="7">
        <f>2*C13^2*C10^2/(C6^2)</f>
        <v>33.192779565596368</v>
      </c>
    </row>
    <row r="18" spans="2:5">
      <c r="E18" s="5"/>
    </row>
    <row r="19" spans="2:5">
      <c r="C19" s="9"/>
      <c r="D19" s="9"/>
    </row>
    <row r="20" spans="2:5">
      <c r="B20" s="1" t="s">
        <v>11</v>
      </c>
      <c r="C20" s="1">
        <f>CEILING(C11,1)</f>
        <v>34</v>
      </c>
    </row>
    <row r="26" spans="2:5" ht="17">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101600</xdr:colOff>
                    <xdr:row>21</xdr:row>
                    <xdr:rowOff>76200</xdr:rowOff>
                  </from>
                  <to>
                    <xdr:col>2</xdr:col>
                    <xdr:colOff>520700</xdr:colOff>
                    <xdr:row>23</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B1:G51"/>
  <sheetViews>
    <sheetView workbookViewId="0">
      <selection activeCell="C3" sqref="C3"/>
    </sheetView>
  </sheetViews>
  <sheetFormatPr baseColWidth="10" defaultColWidth="9.1640625" defaultRowHeight="12" x14ac:dyDescent="0"/>
  <cols>
    <col min="1" max="1" width="5.1640625" style="1" customWidth="1"/>
    <col min="2" max="2" width="21.5" style="1" customWidth="1"/>
    <col min="3" max="3" width="9.1640625" style="1"/>
    <col min="4" max="5" width="12.5" style="1" bestFit="1" customWidth="1"/>
    <col min="6" max="6" width="9.1640625" style="1"/>
    <col min="7" max="7" width="12.5" style="1" bestFit="1" customWidth="1"/>
    <col min="8" max="16384" width="9.1640625" style="1"/>
  </cols>
  <sheetData>
    <row r="1" spans="2:5" ht="23">
      <c r="B1" s="17" t="s">
        <v>116</v>
      </c>
    </row>
    <row r="2" spans="2:5" ht="13" thickBot="1">
      <c r="C2" s="14"/>
      <c r="E2" s="9" t="s">
        <v>122</v>
      </c>
    </row>
    <row r="3" spans="2:5" ht="13" thickBot="1">
      <c r="B3" s="1" t="s">
        <v>1</v>
      </c>
      <c r="C3" s="2">
        <v>0.8</v>
      </c>
    </row>
    <row r="4" spans="2:5" ht="14" thickBot="1">
      <c r="B4" s="8" t="s">
        <v>59</v>
      </c>
      <c r="C4" s="2">
        <v>0.05</v>
      </c>
      <c r="D4" s="1" t="s">
        <v>20</v>
      </c>
    </row>
    <row r="5" spans="2:5" ht="13" thickBot="1">
      <c r="B5" s="1" t="s">
        <v>82</v>
      </c>
      <c r="C5" s="18">
        <v>0.1</v>
      </c>
      <c r="D5" s="1" t="s">
        <v>83</v>
      </c>
    </row>
    <row r="6" spans="2:5" ht="13" thickBot="1">
      <c r="B6" s="1" t="s">
        <v>85</v>
      </c>
      <c r="C6" s="18">
        <v>0.3</v>
      </c>
      <c r="D6" s="1" t="s">
        <v>87</v>
      </c>
    </row>
    <row r="7" spans="2:5" ht="13" thickBot="1">
      <c r="C7" s="4"/>
    </row>
    <row r="8" spans="2:5" ht="14" thickBot="1">
      <c r="B8" s="12" t="s">
        <v>17</v>
      </c>
      <c r="C8" s="19">
        <f>C6-C5</f>
        <v>0.19999999999999998</v>
      </c>
      <c r="D8" s="1" t="s">
        <v>84</v>
      </c>
    </row>
    <row r="10" spans="2:5">
      <c r="B10" s="1" t="s">
        <v>111</v>
      </c>
      <c r="C10" s="1">
        <v>5</v>
      </c>
      <c r="D10" s="1" t="s">
        <v>86</v>
      </c>
    </row>
    <row r="11" spans="2:5">
      <c r="B11" s="1" t="s">
        <v>0</v>
      </c>
      <c r="C11" s="7">
        <v>25</v>
      </c>
    </row>
    <row r="18" spans="2:5" ht="13">
      <c r="B18" s="1" t="s">
        <v>58</v>
      </c>
      <c r="C18" s="1">
        <v>0.80651155791193363</v>
      </c>
      <c r="E18" s="5"/>
    </row>
    <row r="19" spans="2:5">
      <c r="C19" s="16"/>
      <c r="D19" s="16"/>
      <c r="E19" s="16"/>
    </row>
    <row r="20" spans="2:5">
      <c r="B20" s="1" t="s">
        <v>11</v>
      </c>
      <c r="C20" s="1">
        <f>CEILING(C11,1)</f>
        <v>25</v>
      </c>
      <c r="D20" s="1" t="s">
        <v>129</v>
      </c>
    </row>
    <row r="21" spans="2:5">
      <c r="B21" s="1" t="s">
        <v>112</v>
      </c>
      <c r="C21" s="1">
        <f>C10</f>
        <v>5</v>
      </c>
      <c r="D21" s="1" t="s">
        <v>114</v>
      </c>
    </row>
    <row r="23" spans="2:5">
      <c r="D23" s="9" t="s">
        <v>121</v>
      </c>
    </row>
    <row r="25" spans="2:5" ht="20.25" customHeight="1">
      <c r="B25" s="1" t="s">
        <v>113</v>
      </c>
    </row>
    <row r="26" spans="2:5">
      <c r="B26" s="1" t="s">
        <v>88</v>
      </c>
    </row>
    <row r="28" spans="2:5" ht="13">
      <c r="B28" s="1" t="s">
        <v>115</v>
      </c>
    </row>
    <row r="29" spans="2:5">
      <c r="D29" s="9"/>
    </row>
    <row r="30" spans="2:5" ht="17">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101600</xdr:colOff>
                    <xdr:row>21</xdr:row>
                    <xdr:rowOff>76200</xdr:rowOff>
                  </from>
                  <to>
                    <xdr:col>2</xdr:col>
                    <xdr:colOff>520700</xdr:colOff>
                    <xdr:row>23</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1:D61"/>
  <sheetViews>
    <sheetView workbookViewId="0">
      <selection activeCell="C15" sqref="C15"/>
    </sheetView>
  </sheetViews>
  <sheetFormatPr baseColWidth="10" defaultColWidth="9.1640625" defaultRowHeight="12" x14ac:dyDescent="0"/>
  <cols>
    <col min="1" max="1" width="5.1640625" style="1" customWidth="1"/>
    <col min="2" max="2" width="10.5" style="1" customWidth="1"/>
    <col min="3" max="16384" width="9.1640625" style="1"/>
  </cols>
  <sheetData>
    <row r="1" spans="2:4" ht="23">
      <c r="B1" s="17" t="s">
        <v>79</v>
      </c>
    </row>
    <row r="3" spans="2:4">
      <c r="B3" s="1" t="s">
        <v>42</v>
      </c>
    </row>
    <row r="4" spans="2:4">
      <c r="B4" s="1" t="s">
        <v>43</v>
      </c>
    </row>
    <row r="5" spans="2:4">
      <c r="B5" s="1" t="s">
        <v>44</v>
      </c>
    </row>
    <row r="13" spans="2:4">
      <c r="B13" s="1" t="s">
        <v>45</v>
      </c>
    </row>
    <row r="14" spans="2:4" ht="13" thickBot="1"/>
    <row r="15" spans="2:4" ht="14" thickBot="1">
      <c r="B15" s="8" t="s">
        <v>46</v>
      </c>
      <c r="C15" s="3">
        <v>20</v>
      </c>
    </row>
    <row r="16" spans="2:4" ht="13" thickBot="1">
      <c r="B16" s="15" t="s">
        <v>12</v>
      </c>
      <c r="C16" s="3">
        <v>3</v>
      </c>
      <c r="D16" s="1" t="s">
        <v>49</v>
      </c>
    </row>
    <row r="17" spans="2:4" ht="14" thickBot="1">
      <c r="B17" s="12" t="s">
        <v>47</v>
      </c>
      <c r="C17" s="3">
        <v>0.5</v>
      </c>
      <c r="D17" s="1" t="s">
        <v>48</v>
      </c>
    </row>
    <row r="19" spans="2:4">
      <c r="B19" s="1" t="s">
        <v>50</v>
      </c>
    </row>
    <row r="20" spans="2:4">
      <c r="C20" s="1">
        <f>1-((C16*C17^2)/(1+(C16-1)*C17))</f>
        <v>0.625</v>
      </c>
    </row>
    <row r="22" spans="2:4" ht="13">
      <c r="B22" s="8" t="s">
        <v>51</v>
      </c>
      <c r="C22" s="1">
        <f>C15*C20</f>
        <v>12.5</v>
      </c>
    </row>
    <row r="24" spans="2:4">
      <c r="B24" s="9" t="s">
        <v>52</v>
      </c>
    </row>
    <row r="33" spans="2:4" ht="13" thickBot="1"/>
    <row r="34" spans="2:4" ht="14" thickBot="1">
      <c r="B34" s="8" t="s">
        <v>46</v>
      </c>
      <c r="C34" s="3">
        <v>20</v>
      </c>
    </row>
    <row r="35" spans="2:4" ht="13" thickBot="1">
      <c r="B35" s="15" t="s">
        <v>47</v>
      </c>
      <c r="C35" s="3">
        <v>5</v>
      </c>
      <c r="D35" s="1" t="s">
        <v>53</v>
      </c>
    </row>
    <row r="36" spans="2:4" ht="14" thickBot="1">
      <c r="B36" s="12" t="s">
        <v>47</v>
      </c>
      <c r="C36" s="3">
        <v>0.5</v>
      </c>
      <c r="D36" s="1" t="s">
        <v>54</v>
      </c>
    </row>
    <row r="38" spans="2:4">
      <c r="B38" s="1" t="s">
        <v>50</v>
      </c>
    </row>
    <row r="39" spans="2:4">
      <c r="C39" s="1">
        <f>(1+(C35-1)*C36)/C35</f>
        <v>0.6</v>
      </c>
    </row>
    <row r="41" spans="2:4" ht="13">
      <c r="B41" s="8" t="s">
        <v>51</v>
      </c>
      <c r="C41" s="1">
        <f>C34*C39</f>
        <v>12</v>
      </c>
    </row>
    <row r="44" spans="2:4">
      <c r="B44" s="9" t="s">
        <v>55</v>
      </c>
    </row>
    <row r="50" spans="2:4" ht="13" thickBot="1"/>
    <row r="51" spans="2:4" ht="14" thickBot="1">
      <c r="B51" s="8" t="s">
        <v>46</v>
      </c>
      <c r="C51" s="3">
        <v>20</v>
      </c>
    </row>
    <row r="52" spans="2:4" ht="13" thickBot="1">
      <c r="B52" s="15" t="s">
        <v>47</v>
      </c>
      <c r="C52" s="3">
        <v>5</v>
      </c>
      <c r="D52" s="1" t="s">
        <v>53</v>
      </c>
    </row>
    <row r="53" spans="2:4" ht="14" thickBot="1">
      <c r="B53" s="12" t="s">
        <v>47</v>
      </c>
      <c r="C53" s="3">
        <v>0.5</v>
      </c>
      <c r="D53" s="1" t="s">
        <v>54</v>
      </c>
    </row>
    <row r="54" spans="2:4" ht="13" thickBot="1">
      <c r="B54" s="1" t="s">
        <v>12</v>
      </c>
      <c r="C54" s="3">
        <v>4</v>
      </c>
      <c r="D54" s="1" t="s">
        <v>49</v>
      </c>
    </row>
    <row r="56" spans="2:4">
      <c r="B56" s="1" t="s">
        <v>50</v>
      </c>
    </row>
    <row r="57" spans="2:4">
      <c r="C57" s="1">
        <f>((1+(C52-1)*C53)/C52)-(C54*(C53^2)/(1+(C54-1)*C53))</f>
        <v>0.19999999999999996</v>
      </c>
    </row>
    <row r="59" spans="2:4" ht="13">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dimension ref="B1:G32"/>
  <sheetViews>
    <sheetView workbookViewId="0">
      <selection activeCell="C4" sqref="C4"/>
    </sheetView>
  </sheetViews>
  <sheetFormatPr baseColWidth="10" defaultColWidth="9.1640625" defaultRowHeight="12" x14ac:dyDescent="0"/>
  <cols>
    <col min="1" max="1" width="5.33203125" style="1" customWidth="1"/>
    <col min="2" max="2" width="9.1640625" style="1"/>
    <col min="3" max="3" width="10.1640625" style="1" customWidth="1"/>
    <col min="4" max="6" width="9.1640625" style="1"/>
    <col min="7" max="7" width="9.1640625" style="1" customWidth="1"/>
    <col min="8" max="16384" width="9.1640625" style="1"/>
  </cols>
  <sheetData>
    <row r="1" spans="2:4" ht="7.5" customHeight="1"/>
    <row r="2" spans="2:4" ht="18.75" customHeight="1">
      <c r="B2" s="20" t="s">
        <v>90</v>
      </c>
    </row>
    <row r="3" spans="2:4" ht="18.75" customHeight="1" thickBot="1">
      <c r="B3" s="21" t="s">
        <v>91</v>
      </c>
    </row>
    <row r="4" spans="2:4">
      <c r="B4" s="1" t="s">
        <v>92</v>
      </c>
      <c r="C4" s="22">
        <v>1.0249999761581421</v>
      </c>
      <c r="D4" s="1" t="s">
        <v>93</v>
      </c>
    </row>
    <row r="5" spans="2:4">
      <c r="B5" s="1" t="s">
        <v>94</v>
      </c>
      <c r="C5" s="23">
        <v>0.9</v>
      </c>
      <c r="D5" s="1" t="s">
        <v>95</v>
      </c>
    </row>
    <row r="6" spans="2:4">
      <c r="B6" s="1" t="s">
        <v>96</v>
      </c>
      <c r="C6" s="23">
        <v>1.1499999999999999</v>
      </c>
      <c r="D6" s="1" t="s">
        <v>97</v>
      </c>
    </row>
    <row r="7" spans="2:4" ht="13" thickBot="1">
      <c r="B7" s="1" t="s">
        <v>98</v>
      </c>
      <c r="C7" s="24">
        <v>24</v>
      </c>
      <c r="D7" s="1" t="s">
        <v>99</v>
      </c>
    </row>
    <row r="8" spans="2:4" ht="13" thickBot="1">
      <c r="B8" s="1" t="s">
        <v>100</v>
      </c>
      <c r="C8" s="2">
        <v>0.9</v>
      </c>
    </row>
    <row r="9" spans="2:4">
      <c r="B9" s="1" t="s">
        <v>101</v>
      </c>
      <c r="C9" s="25">
        <f>C7-2</f>
        <v>22</v>
      </c>
    </row>
    <row r="10" spans="2:4">
      <c r="B10" s="1" t="s">
        <v>102</v>
      </c>
      <c r="C10" s="25">
        <f>TINV(1-$C$8,$C$9)</f>
        <v>1.7171443743802424</v>
      </c>
    </row>
    <row r="11" spans="2:4">
      <c r="B11" s="1" t="s">
        <v>103</v>
      </c>
      <c r="C11" s="25">
        <f>(LN($C$4)-LN($C$5))/$C$10</f>
        <v>7.5738014186947755E-2</v>
      </c>
    </row>
    <row r="12" spans="2:4">
      <c r="B12" s="1" t="s">
        <v>104</v>
      </c>
      <c r="C12" s="25">
        <f>(LN($C$6)-LN($C$4))/$C$10</f>
        <v>6.7012043228262499E-2</v>
      </c>
    </row>
    <row r="13" spans="2:4">
      <c r="B13" s="1" t="s">
        <v>105</v>
      </c>
      <c r="C13" s="25">
        <f>(C11^2)*($C$9+2)/2</f>
        <v>6.8834961515787593E-2</v>
      </c>
    </row>
    <row r="14" spans="2:4">
      <c r="B14" s="1" t="s">
        <v>106</v>
      </c>
      <c r="C14" s="25">
        <f>(C12^2)*($C$9+2)/2</f>
        <v>5.3887367251518256E-2</v>
      </c>
    </row>
    <row r="15" spans="2:4">
      <c r="B15" s="1" t="s">
        <v>107</v>
      </c>
      <c r="C15" s="25">
        <f>SQRT(EXP($C$13)-1)*100</f>
        <v>26.694455516339939</v>
      </c>
    </row>
    <row r="16" spans="2:4">
      <c r="B16" s="1" t="s">
        <v>108</v>
      </c>
      <c r="C16" s="25">
        <f>SQRT(EXP($C$14)-1)*100</f>
        <v>23.52992280440343</v>
      </c>
    </row>
    <row r="18" spans="2:7" ht="18">
      <c r="B18" s="20" t="s">
        <v>109</v>
      </c>
      <c r="C18" s="26">
        <f>(C15+C16)/2</f>
        <v>25.112189160371685</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18">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2021-07-14T16:27:50Z</dcterms:modified>
  <cp:category>Sample Size Estimation</cp:category>
</cp:coreProperties>
</file>