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DD660977-6796-4F6D-BC20-0C6D334EFE03}" xr6:coauthVersionLast="47" xr6:coauthVersionMax="47" xr10:uidLastSave="{00000000-0000-0000-0000-000000000000}"/>
  <bookViews>
    <workbookView xWindow="-110" yWindow="-110" windowWidth="19420" windowHeight="104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O20" i="28" l="1"/>
  <c r="C20" i="8" l="1"/>
  <c r="C8" i="1"/>
  <c r="C20" i="28" l="1"/>
  <c r="C12" i="28"/>
  <c r="C13" i="28" s="1"/>
  <c r="Z32" i="28"/>
  <c r="Z33" i="28" s="1"/>
  <c r="V11" i="28"/>
  <c r="C10" i="28"/>
  <c r="C15" i="28" s="1"/>
  <c r="C8" i="28"/>
  <c r="D6" i="28"/>
  <c r="C17" i="28"/>
  <c r="C14" i="28" l="1"/>
  <c r="D20" i="28"/>
  <c r="E20" i="28" s="1"/>
  <c r="Z35" i="28"/>
  <c r="Z36" i="28" s="1"/>
  <c r="W11" i="28"/>
  <c r="V15" i="28"/>
  <c r="C20" i="27"/>
  <c r="Y6" i="27"/>
  <c r="Z2" i="27"/>
  <c r="Z32" i="27"/>
  <c r="Z33" i="27" s="1"/>
  <c r="C12" i="27"/>
  <c r="C13" i="27" s="1"/>
  <c r="V11" i="27"/>
  <c r="V15" i="27" s="1"/>
  <c r="C10" i="27"/>
  <c r="C15" i="27" s="1"/>
  <c r="C8" i="27"/>
  <c r="Z35" i="27" s="1"/>
  <c r="Z36" i="27" s="1"/>
  <c r="C16" i="28"/>
  <c r="C17" i="27"/>
  <c r="C18" i="28" l="1"/>
  <c r="X11" i="28"/>
  <c r="Y11" i="28" s="1"/>
  <c r="Z16" i="28"/>
  <c r="Z17" i="28" s="1"/>
  <c r="Z19" i="28"/>
  <c r="Z20" i="28" s="1"/>
  <c r="AA11" i="28"/>
  <c r="AB11" i="28" s="1"/>
  <c r="U16" i="28" s="1"/>
  <c r="C14" i="27"/>
  <c r="D6" i="27"/>
  <c r="W11" i="27"/>
  <c r="X11" i="27" s="1"/>
  <c r="Y11" i="27" s="1"/>
  <c r="K7" i="14"/>
  <c r="K7" i="13"/>
  <c r="C16" i="27"/>
  <c r="U17" i="28" l="1"/>
  <c r="V16" i="28"/>
  <c r="AD16" i="28"/>
  <c r="AD17" i="28" s="1"/>
  <c r="AD19" i="28"/>
  <c r="AD20" i="28" s="1"/>
  <c r="C18" i="27"/>
  <c r="Z16" i="27"/>
  <c r="Z17" i="27" s="1"/>
  <c r="AA11" i="27"/>
  <c r="AB11" i="27" s="1"/>
  <c r="U16" i="27" s="1"/>
  <c r="Z19" i="27"/>
  <c r="Z20" i="27" s="1"/>
  <c r="C25" i="7"/>
  <c r="V17" i="28" l="1"/>
  <c r="U18" i="28"/>
  <c r="U17" i="27"/>
  <c r="V16" i="27"/>
  <c r="AD16" i="27"/>
  <c r="AD17" i="27" s="1"/>
  <c r="AD19" i="27"/>
  <c r="AD20" i="27" s="1"/>
  <c r="V11" i="1"/>
  <c r="V15" i="1" s="1"/>
  <c r="Z35" i="1"/>
  <c r="Z36" i="1" s="1"/>
  <c r="Z32" i="1"/>
  <c r="Z33" i="1" s="1"/>
  <c r="AE25" i="14"/>
  <c r="AE28" i="14" s="1"/>
  <c r="AA25" i="14"/>
  <c r="AA28" i="14" s="1"/>
  <c r="AE17" i="14"/>
  <c r="AE20" i="14" s="1"/>
  <c r="AA17" i="14"/>
  <c r="AA20" i="14" s="1"/>
  <c r="W12" i="14"/>
  <c r="W11" i="14"/>
  <c r="V11" i="14"/>
  <c r="V12" i="14" s="1"/>
  <c r="W12" i="13"/>
  <c r="W11" i="13"/>
  <c r="Z19" i="13" s="1"/>
  <c r="Z20" i="13" s="1"/>
  <c r="V11" i="13"/>
  <c r="W12" i="12"/>
  <c r="C20" i="12"/>
  <c r="W11" i="12"/>
  <c r="V11" i="12"/>
  <c r="V11" i="11"/>
  <c r="V12" i="11" s="1"/>
  <c r="W12" i="11"/>
  <c r="C20" i="11"/>
  <c r="D20" i="11" s="1"/>
  <c r="W11" i="11"/>
  <c r="W12" i="8"/>
  <c r="W11" i="8"/>
  <c r="V11" i="8"/>
  <c r="Z32" i="8" s="1"/>
  <c r="C20" i="7"/>
  <c r="W12" i="7"/>
  <c r="W11" i="7"/>
  <c r="V11" i="7"/>
  <c r="V15" i="7" s="1"/>
  <c r="V15" i="14"/>
  <c r="Z19" i="14"/>
  <c r="Z20" i="14" s="1"/>
  <c r="V12" i="13"/>
  <c r="Z32" i="13" s="1"/>
  <c r="V15" i="13"/>
  <c r="Z16" i="13"/>
  <c r="Z17" i="13" s="1"/>
  <c r="V12" i="12"/>
  <c r="V15" i="12"/>
  <c r="Z19" i="12"/>
  <c r="Z20" i="12" s="1"/>
  <c r="Z16" i="12"/>
  <c r="Z17" i="12" s="1"/>
  <c r="C156" i="26"/>
  <c r="C155" i="26"/>
  <c r="C117" i="26"/>
  <c r="C116" i="26"/>
  <c r="C115" i="26"/>
  <c r="C114" i="26"/>
  <c r="D153" i="26"/>
  <c r="C84" i="26"/>
  <c r="C86" i="26" s="1"/>
  <c r="C55" i="26"/>
  <c r="C53" i="26"/>
  <c r="C54" i="26" s="1"/>
  <c r="C15" i="26"/>
  <c r="C16" i="26"/>
  <c r="C18" i="26" s="1"/>
  <c r="C13" i="26"/>
  <c r="C14" i="26"/>
  <c r="B18" i="26"/>
  <c r="C36" i="26"/>
  <c r="C37" i="26"/>
  <c r="C154" i="26"/>
  <c r="C158" i="26" s="1"/>
  <c r="C10" i="1"/>
  <c r="C15" i="1" s="1"/>
  <c r="C12" i="1"/>
  <c r="C13" i="1" s="1"/>
  <c r="D6" i="1"/>
  <c r="C12" i="8"/>
  <c r="C13" i="8" s="1"/>
  <c r="C10" i="7"/>
  <c r="C14" i="7" s="1"/>
  <c r="C12" i="7"/>
  <c r="C13" i="7" s="1"/>
  <c r="C21" i="23"/>
  <c r="C9" i="24"/>
  <c r="C10" i="24" s="1"/>
  <c r="C8" i="23"/>
  <c r="C20" i="23"/>
  <c r="C20" i="17"/>
  <c r="D20" i="17" s="1"/>
  <c r="E20" i="17" s="1"/>
  <c r="C20" i="13"/>
  <c r="C12" i="18"/>
  <c r="C13" i="18" s="1"/>
  <c r="C10" i="18"/>
  <c r="I7" i="12"/>
  <c r="C8" i="7"/>
  <c r="C57" i="19"/>
  <c r="C59" i="19" s="1"/>
  <c r="C39" i="19"/>
  <c r="C41" i="19" s="1"/>
  <c r="C20" i="19"/>
  <c r="C22" i="19"/>
  <c r="C8" i="18"/>
  <c r="C20" i="18"/>
  <c r="C8" i="11"/>
  <c r="C10" i="12"/>
  <c r="C15" i="12" s="1"/>
  <c r="C12" i="17"/>
  <c r="C13" i="17"/>
  <c r="C10" i="17"/>
  <c r="C10" i="14"/>
  <c r="C14" i="14" s="1"/>
  <c r="C8" i="14"/>
  <c r="C12" i="14"/>
  <c r="C13" i="14" s="1"/>
  <c r="C20" i="14"/>
  <c r="X12" i="14" s="1"/>
  <c r="C8" i="13"/>
  <c r="C12" i="13"/>
  <c r="C13" i="13" s="1"/>
  <c r="C10" i="13"/>
  <c r="C14" i="13" s="1"/>
  <c r="C12" i="12"/>
  <c r="C13" i="12" s="1"/>
  <c r="C10" i="11"/>
  <c r="C14" i="11" s="1"/>
  <c r="C12" i="11"/>
  <c r="C13" i="11" s="1"/>
  <c r="C10" i="8"/>
  <c r="C14" i="8" s="1"/>
  <c r="C20" i="1"/>
  <c r="C8" i="17"/>
  <c r="C8" i="8"/>
  <c r="AA11" i="13"/>
  <c r="AB11" i="13" s="1"/>
  <c r="U16" i="13" s="1"/>
  <c r="Z24" i="12"/>
  <c r="Z25" i="12" s="1"/>
  <c r="W15" i="12"/>
  <c r="Z27" i="12"/>
  <c r="Z28" i="12" s="1"/>
  <c r="C38" i="26"/>
  <c r="C40" i="26" s="1"/>
  <c r="AA17" i="1"/>
  <c r="AA20" i="1" s="1"/>
  <c r="AE17" i="13"/>
  <c r="AE20" i="13" s="1"/>
  <c r="AA17" i="13"/>
  <c r="AA20" i="13" s="1"/>
  <c r="AA25" i="13"/>
  <c r="AA28" i="13" s="1"/>
  <c r="AE25" i="13"/>
  <c r="AE28" i="13" s="1"/>
  <c r="AE17" i="12"/>
  <c r="AE20" i="12" s="1"/>
  <c r="AA17" i="12"/>
  <c r="AA20" i="12" s="1"/>
  <c r="AE25" i="12"/>
  <c r="AE28" i="12" s="1"/>
  <c r="AA25" i="12"/>
  <c r="AA28" i="12" s="1"/>
  <c r="AA17" i="8"/>
  <c r="AA20" i="8" s="1"/>
  <c r="AA25" i="8"/>
  <c r="AA28" i="8" s="1"/>
  <c r="C17" i="8"/>
  <c r="C17" i="14"/>
  <c r="C17" i="12"/>
  <c r="C17" i="13"/>
  <c r="C17" i="7"/>
  <c r="C16" i="11"/>
  <c r="C17" i="1"/>
  <c r="U19" i="28" l="1"/>
  <c r="V18" i="28"/>
  <c r="W11" i="1"/>
  <c r="Z19" i="1" s="1"/>
  <c r="Z20" i="1" s="1"/>
  <c r="C14" i="1"/>
  <c r="Z16" i="8"/>
  <c r="Z17" i="8" s="1"/>
  <c r="U18" i="27"/>
  <c r="V17" i="27"/>
  <c r="Z35" i="14"/>
  <c r="Z36" i="14" s="1"/>
  <c r="Z27" i="14"/>
  <c r="Z28" i="14" s="1"/>
  <c r="AA11" i="14"/>
  <c r="AB11" i="14" s="1"/>
  <c r="U16" i="14" s="1"/>
  <c r="W15" i="14"/>
  <c r="Z32" i="14"/>
  <c r="Z33" i="14" s="1"/>
  <c r="Z24" i="14"/>
  <c r="Z25" i="14" s="1"/>
  <c r="C8" i="12"/>
  <c r="V12" i="8"/>
  <c r="Z35" i="8" s="1"/>
  <c r="Z36" i="8" s="1"/>
  <c r="Z19" i="8"/>
  <c r="Z20" i="8" s="1"/>
  <c r="X11" i="12"/>
  <c r="C14" i="12"/>
  <c r="C14" i="17"/>
  <c r="C14" i="18"/>
  <c r="C118" i="26"/>
  <c r="C119" i="26" s="1"/>
  <c r="AA11" i="12"/>
  <c r="AB11" i="12" s="1"/>
  <c r="U16" i="12" s="1"/>
  <c r="Z16" i="14"/>
  <c r="Z17" i="14" s="1"/>
  <c r="X11" i="8"/>
  <c r="Y11" i="8" s="1"/>
  <c r="AD19" i="8" s="1"/>
  <c r="AD20" i="8" s="1"/>
  <c r="V15" i="8"/>
  <c r="X11" i="7"/>
  <c r="Y11" i="7" s="1"/>
  <c r="AD19" i="7" s="1"/>
  <c r="AD20" i="7" s="1"/>
  <c r="X12" i="8"/>
  <c r="Y12" i="8" s="1"/>
  <c r="W16" i="14"/>
  <c r="U17" i="14"/>
  <c r="V17" i="14" s="1"/>
  <c r="V16" i="14"/>
  <c r="X11" i="14"/>
  <c r="Y11" i="14" s="1"/>
  <c r="AD16" i="14" s="1"/>
  <c r="AD17" i="14" s="1"/>
  <c r="Z35" i="13"/>
  <c r="Z36" i="13" s="1"/>
  <c r="Z24" i="13"/>
  <c r="Z25" i="13" s="1"/>
  <c r="W16" i="13"/>
  <c r="V16" i="13"/>
  <c r="U17" i="13"/>
  <c r="Z27" i="13"/>
  <c r="Z28" i="13" s="1"/>
  <c r="Z33" i="13"/>
  <c r="W15" i="13"/>
  <c r="Z35" i="12"/>
  <c r="Z36" i="12" s="1"/>
  <c r="Z32" i="12"/>
  <c r="Z33" i="12" s="1"/>
  <c r="Z27" i="11"/>
  <c r="Z28" i="11" s="1"/>
  <c r="W15" i="11"/>
  <c r="AA11" i="11"/>
  <c r="AB11" i="11" s="1"/>
  <c r="U16" i="11" s="1"/>
  <c r="V16" i="11" s="1"/>
  <c r="Z24" i="11"/>
  <c r="Z25" i="11" s="1"/>
  <c r="C15" i="11"/>
  <c r="Z19" i="11"/>
  <c r="Z20" i="11" s="1"/>
  <c r="V15" i="11"/>
  <c r="Z16" i="11"/>
  <c r="Z17" i="11" s="1"/>
  <c r="Z35" i="11"/>
  <c r="Z36" i="11" s="1"/>
  <c r="Z32" i="11"/>
  <c r="Z33" i="11" s="1"/>
  <c r="E20" i="11"/>
  <c r="X11" i="11"/>
  <c r="Y11" i="11" s="1"/>
  <c r="Z16" i="7"/>
  <c r="Z17" i="7" s="1"/>
  <c r="C12" i="24"/>
  <c r="C14" i="24" s="1"/>
  <c r="C16" i="24" s="1"/>
  <c r="C11" i="24"/>
  <c r="C13" i="24" s="1"/>
  <c r="C15" i="24" s="1"/>
  <c r="C57" i="26"/>
  <c r="D20" i="13"/>
  <c r="E20" i="13" s="1"/>
  <c r="X11" i="13"/>
  <c r="Y11" i="13" s="1"/>
  <c r="X12" i="11"/>
  <c r="Y12" i="11" s="1"/>
  <c r="Y11" i="12"/>
  <c r="X12" i="12"/>
  <c r="Y12" i="12" s="1"/>
  <c r="Z33" i="8"/>
  <c r="Y12" i="14"/>
  <c r="Z19" i="7"/>
  <c r="Z20" i="7" s="1"/>
  <c r="X12" i="13"/>
  <c r="Y12" i="13" s="1"/>
  <c r="V12" i="7"/>
  <c r="Z35" i="7" s="1"/>
  <c r="D20" i="7"/>
  <c r="C18" i="13"/>
  <c r="C18" i="7"/>
  <c r="C18" i="8"/>
  <c r="C18" i="14"/>
  <c r="V16" i="12"/>
  <c r="U17" i="12"/>
  <c r="W16" i="12"/>
  <c r="C17" i="11"/>
  <c r="C16" i="1"/>
  <c r="C16" i="12"/>
  <c r="W16" i="11" l="1"/>
  <c r="Z27" i="8"/>
  <c r="Z28" i="8" s="1"/>
  <c r="U20" i="28"/>
  <c r="V19" i="28"/>
  <c r="C18" i="1"/>
  <c r="X11" i="1"/>
  <c r="Y11" i="1" s="1"/>
  <c r="AD16" i="1" s="1"/>
  <c r="AD17" i="1" s="1"/>
  <c r="Z16" i="1"/>
  <c r="Z17" i="1" s="1"/>
  <c r="AA11" i="1"/>
  <c r="AB11" i="1" s="1"/>
  <c r="U16" i="1" s="1"/>
  <c r="V16" i="1" s="1"/>
  <c r="U17" i="11"/>
  <c r="V17" i="11" s="1"/>
  <c r="AD16" i="7"/>
  <c r="AD17" i="7" s="1"/>
  <c r="AD16" i="8"/>
  <c r="AD17" i="8" s="1"/>
  <c r="U19" i="27"/>
  <c r="V18" i="27"/>
  <c r="C18" i="12"/>
  <c r="AD24" i="8"/>
  <c r="AD25" i="8" s="1"/>
  <c r="AD27" i="8"/>
  <c r="AD28" i="8" s="1"/>
  <c r="C18" i="24"/>
  <c r="W17" i="14"/>
  <c r="W15" i="8"/>
  <c r="Z24" i="8"/>
  <c r="Z25" i="8" s="1"/>
  <c r="AA11" i="8"/>
  <c r="AB11" i="8" s="1"/>
  <c r="U16" i="8" s="1"/>
  <c r="U18" i="14"/>
  <c r="AD19" i="14"/>
  <c r="AD20" i="14" s="1"/>
  <c r="U18" i="13"/>
  <c r="V17" i="13"/>
  <c r="W17" i="13"/>
  <c r="C18" i="11"/>
  <c r="AD19" i="11"/>
  <c r="AD20" i="11" s="1"/>
  <c r="AD16" i="11"/>
  <c r="AD17" i="11" s="1"/>
  <c r="AD24" i="11"/>
  <c r="AD25" i="11" s="1"/>
  <c r="AD27" i="11"/>
  <c r="AD28" i="11" s="1"/>
  <c r="AD24" i="12"/>
  <c r="AD25" i="12" s="1"/>
  <c r="AD27" i="12"/>
  <c r="AD28" i="12" s="1"/>
  <c r="AD19" i="13"/>
  <c r="AD20" i="13" s="1"/>
  <c r="AD16" i="13"/>
  <c r="AD17" i="13" s="1"/>
  <c r="AD19" i="12"/>
  <c r="AD20" i="12" s="1"/>
  <c r="AD16" i="12"/>
  <c r="AD17" i="12" s="1"/>
  <c r="AD24" i="13"/>
  <c r="AD25" i="13" s="1"/>
  <c r="AD27" i="13"/>
  <c r="AD28" i="13" s="1"/>
  <c r="AD24" i="14"/>
  <c r="AD25" i="14" s="1"/>
  <c r="AD27" i="14"/>
  <c r="AD28" i="14" s="1"/>
  <c r="Z36" i="7"/>
  <c r="AA11" i="7"/>
  <c r="AB11" i="7" s="1"/>
  <c r="U16" i="7" s="1"/>
  <c r="Z32" i="7"/>
  <c r="Z33" i="7" s="1"/>
  <c r="Z24" i="7"/>
  <c r="Z25" i="7" s="1"/>
  <c r="W15" i="7"/>
  <c r="Z27" i="7"/>
  <c r="Z28" i="7" s="1"/>
  <c r="X12" i="7"/>
  <c r="Y12" i="7" s="1"/>
  <c r="AD27" i="7" s="1"/>
  <c r="AD28" i="7" s="1"/>
  <c r="E20" i="7"/>
  <c r="W17" i="12"/>
  <c r="V17" i="12"/>
  <c r="U18" i="12"/>
  <c r="U21" i="28" l="1"/>
  <c r="V20" i="28"/>
  <c r="AD19" i="1"/>
  <c r="AD20" i="1" s="1"/>
  <c r="U17" i="1"/>
  <c r="W17" i="11"/>
  <c r="U18" i="11"/>
  <c r="V18" i="11" s="1"/>
  <c r="U20" i="27"/>
  <c r="V19" i="27"/>
  <c r="W16" i="8"/>
  <c r="U17" i="8"/>
  <c r="V16" i="8"/>
  <c r="U19" i="14"/>
  <c r="W18" i="14"/>
  <c r="V18" i="14"/>
  <c r="U19" i="13"/>
  <c r="V18" i="13"/>
  <c r="W18" i="13"/>
  <c r="U17" i="7"/>
  <c r="W16" i="7"/>
  <c r="V16" i="7"/>
  <c r="AD24" i="7"/>
  <c r="AD25" i="7" s="1"/>
  <c r="W18" i="12"/>
  <c r="V18" i="12"/>
  <c r="U19" i="12"/>
  <c r="U22" i="28" l="1"/>
  <c r="V21" i="28"/>
  <c r="U18" i="1"/>
  <c r="V17" i="1"/>
  <c r="U19" i="11"/>
  <c r="W19" i="11" s="1"/>
  <c r="W18" i="11"/>
  <c r="U21" i="27"/>
  <c r="V20" i="27"/>
  <c r="U18" i="8"/>
  <c r="W17" i="8"/>
  <c r="V17" i="8"/>
  <c r="W19" i="14"/>
  <c r="U20" i="14"/>
  <c r="V19" i="14"/>
  <c r="V19" i="13"/>
  <c r="W19" i="13"/>
  <c r="U20" i="13"/>
  <c r="W17" i="7"/>
  <c r="V17" i="7"/>
  <c r="U18" i="7"/>
  <c r="U20" i="12"/>
  <c r="V19" i="12"/>
  <c r="W19" i="12"/>
  <c r="U23" i="28" l="1"/>
  <c r="V22" i="28"/>
  <c r="V18" i="1"/>
  <c r="U19" i="1"/>
  <c r="V19" i="11"/>
  <c r="U20" i="11"/>
  <c r="W20" i="11" s="1"/>
  <c r="V21" i="27"/>
  <c r="U22" i="27"/>
  <c r="W18" i="8"/>
  <c r="V18" i="8"/>
  <c r="U19" i="8"/>
  <c r="W20" i="14"/>
  <c r="U21" i="14"/>
  <c r="V20" i="14"/>
  <c r="V20" i="13"/>
  <c r="U21" i="13"/>
  <c r="W20" i="13"/>
  <c r="V18" i="7"/>
  <c r="W18" i="7"/>
  <c r="U19" i="7"/>
  <c r="V20" i="12"/>
  <c r="W20" i="12"/>
  <c r="U21" i="12"/>
  <c r="V23" i="28" l="1"/>
  <c r="U24" i="28"/>
  <c r="U20" i="1"/>
  <c r="V19" i="1"/>
  <c r="V20" i="11"/>
  <c r="U21" i="11"/>
  <c r="U22" i="11" s="1"/>
  <c r="V22" i="11" s="1"/>
  <c r="U23" i="27"/>
  <c r="V22" i="27"/>
  <c r="V19" i="8"/>
  <c r="W19" i="8"/>
  <c r="U20" i="8"/>
  <c r="V21" i="14"/>
  <c r="U22" i="14"/>
  <c r="W21" i="14"/>
  <c r="W21" i="13"/>
  <c r="V21" i="13"/>
  <c r="U22" i="13"/>
  <c r="W19" i="7"/>
  <c r="U20" i="7"/>
  <c r="V19" i="7"/>
  <c r="V21" i="12"/>
  <c r="W21" i="12"/>
  <c r="U22" i="12"/>
  <c r="V24" i="28" l="1"/>
  <c r="U25" i="28"/>
  <c r="V20" i="1"/>
  <c r="U21" i="1"/>
  <c r="V21" i="11"/>
  <c r="U23" i="11"/>
  <c r="U24" i="11" s="1"/>
  <c r="W22" i="11"/>
  <c r="W21" i="11"/>
  <c r="V23" i="27"/>
  <c r="U24" i="27"/>
  <c r="U21" i="8"/>
  <c r="W20" i="8"/>
  <c r="V20" i="8"/>
  <c r="V22" i="14"/>
  <c r="W22" i="14"/>
  <c r="U23" i="14"/>
  <c r="W22" i="13"/>
  <c r="V22" i="13"/>
  <c r="U23" i="13"/>
  <c r="W20" i="7"/>
  <c r="U21" i="7"/>
  <c r="V20" i="7"/>
  <c r="V22" i="12"/>
  <c r="U23" i="12"/>
  <c r="W22" i="12"/>
  <c r="W23" i="11" l="1"/>
  <c r="U26" i="28"/>
  <c r="V25" i="28"/>
  <c r="V21" i="1"/>
  <c r="U22" i="1"/>
  <c r="V23" i="11"/>
  <c r="U25" i="27"/>
  <c r="V24" i="27"/>
  <c r="W21" i="8"/>
  <c r="V21" i="8"/>
  <c r="U22" i="8"/>
  <c r="U24" i="14"/>
  <c r="W23" i="14"/>
  <c r="V23" i="14"/>
  <c r="V23" i="13"/>
  <c r="W23" i="13"/>
  <c r="U24" i="13"/>
  <c r="W21" i="7"/>
  <c r="V21" i="7"/>
  <c r="U22" i="7"/>
  <c r="U24" i="12"/>
  <c r="W23" i="12"/>
  <c r="V23" i="12"/>
  <c r="U25" i="11"/>
  <c r="W24" i="11"/>
  <c r="V24" i="11"/>
  <c r="U27" i="28" l="1"/>
  <c r="V26" i="28"/>
  <c r="V22" i="1"/>
  <c r="U23" i="1"/>
  <c r="V25" i="27"/>
  <c r="U26" i="27"/>
  <c r="V22" i="8"/>
  <c r="W22" i="8"/>
  <c r="U23" i="8"/>
  <c r="W24" i="14"/>
  <c r="U25" i="14"/>
  <c r="V24" i="14"/>
  <c r="V24" i="13"/>
  <c r="W24" i="13"/>
  <c r="U25" i="13"/>
  <c r="W22" i="7"/>
  <c r="U23" i="7"/>
  <c r="V22" i="7"/>
  <c r="U25" i="12"/>
  <c r="W24" i="12"/>
  <c r="V24" i="12"/>
  <c r="U26" i="11"/>
  <c r="V25" i="11"/>
  <c r="W25" i="11"/>
  <c r="U28" i="28" l="1"/>
  <c r="V27" i="28"/>
  <c r="V23" i="1"/>
  <c r="U24" i="1"/>
  <c r="U27" i="27"/>
  <c r="V26" i="27"/>
  <c r="U24" i="8"/>
  <c r="V23" i="8"/>
  <c r="W23" i="8"/>
  <c r="W25" i="14"/>
  <c r="V25" i="14"/>
  <c r="U26" i="14"/>
  <c r="W25" i="13"/>
  <c r="U26" i="13"/>
  <c r="V25" i="13"/>
  <c r="W23" i="7"/>
  <c r="U24" i="7"/>
  <c r="V23" i="7"/>
  <c r="U27" i="11"/>
  <c r="V26" i="11"/>
  <c r="W26" i="11"/>
  <c r="W25" i="12"/>
  <c r="U26" i="12"/>
  <c r="V25" i="12"/>
  <c r="V28" i="28" l="1"/>
  <c r="U29" i="28"/>
  <c r="V24" i="1"/>
  <c r="U25" i="1"/>
  <c r="V27" i="27"/>
  <c r="U28" i="27"/>
  <c r="V24" i="8"/>
  <c r="U25" i="8"/>
  <c r="W24" i="8"/>
  <c r="W26" i="14"/>
  <c r="U27" i="14"/>
  <c r="V26" i="14"/>
  <c r="V26" i="13"/>
  <c r="W26" i="13"/>
  <c r="U27" i="13"/>
  <c r="V24" i="7"/>
  <c r="W24" i="7"/>
  <c r="U25" i="7"/>
  <c r="U28" i="11"/>
  <c r="W27" i="11"/>
  <c r="V27" i="11"/>
  <c r="W26" i="12"/>
  <c r="U27" i="12"/>
  <c r="V26" i="12"/>
  <c r="U30" i="28" l="1"/>
  <c r="V29" i="28"/>
  <c r="U26" i="1"/>
  <c r="V25" i="1"/>
  <c r="U29" i="27"/>
  <c r="V28" i="27"/>
  <c r="U26" i="8"/>
  <c r="W25" i="8"/>
  <c r="V25" i="8"/>
  <c r="W27" i="14"/>
  <c r="U28" i="14"/>
  <c r="V27" i="14"/>
  <c r="W27" i="13"/>
  <c r="U28" i="13"/>
  <c r="V27" i="13"/>
  <c r="V25" i="7"/>
  <c r="U26" i="7"/>
  <c r="W25" i="7"/>
  <c r="W27" i="12"/>
  <c r="V27" i="12"/>
  <c r="U28" i="12"/>
  <c r="V28" i="11"/>
  <c r="W28" i="11"/>
  <c r="U29" i="11"/>
  <c r="U31" i="28" l="1"/>
  <c r="V30" i="28"/>
  <c r="U27" i="1"/>
  <c r="V26" i="1"/>
  <c r="V29" i="27"/>
  <c r="U30" i="27"/>
  <c r="U27" i="8"/>
  <c r="W26" i="8"/>
  <c r="V26" i="8"/>
  <c r="V28" i="14"/>
  <c r="U29" i="14"/>
  <c r="W28" i="14"/>
  <c r="U29" i="13"/>
  <c r="V28" i="13"/>
  <c r="W28" i="13"/>
  <c r="V26" i="7"/>
  <c r="U27" i="7"/>
  <c r="W26" i="7"/>
  <c r="U29" i="12"/>
  <c r="V28" i="12"/>
  <c r="W28" i="12"/>
  <c r="U30" i="11"/>
  <c r="W29" i="11"/>
  <c r="V29" i="11"/>
  <c r="U32" i="28" l="1"/>
  <c r="V31" i="28"/>
  <c r="U28" i="1"/>
  <c r="V27" i="1"/>
  <c r="U31" i="27"/>
  <c r="V30" i="27"/>
  <c r="W27" i="8"/>
  <c r="V27" i="8"/>
  <c r="U28" i="8"/>
  <c r="V29" i="14"/>
  <c r="U30" i="14"/>
  <c r="W29" i="14"/>
  <c r="W29" i="13"/>
  <c r="U30" i="13"/>
  <c r="V29" i="13"/>
  <c r="W27" i="7"/>
  <c r="V27" i="7"/>
  <c r="U28" i="7"/>
  <c r="V30" i="11"/>
  <c r="U31" i="11"/>
  <c r="W30" i="11"/>
  <c r="U30" i="12"/>
  <c r="V29" i="12"/>
  <c r="W29" i="12"/>
  <c r="V32" i="28" l="1"/>
  <c r="U33" i="28"/>
  <c r="V28" i="1"/>
  <c r="U29" i="1"/>
  <c r="U32" i="27"/>
  <c r="V31" i="27"/>
  <c r="U29" i="8"/>
  <c r="W28" i="8"/>
  <c r="V28" i="8"/>
  <c r="V30" i="14"/>
  <c r="W30" i="14"/>
  <c r="U31" i="14"/>
  <c r="V30" i="13"/>
  <c r="W30" i="13"/>
  <c r="U31" i="13"/>
  <c r="W28" i="7"/>
  <c r="V28" i="7"/>
  <c r="U29" i="7"/>
  <c r="U31" i="12"/>
  <c r="W30" i="12"/>
  <c r="V30" i="12"/>
  <c r="V31" i="11"/>
  <c r="W31" i="11"/>
  <c r="U32" i="11"/>
  <c r="V33" i="28" l="1"/>
  <c r="U34" i="28"/>
  <c r="U30" i="1"/>
  <c r="V29" i="1"/>
  <c r="U33" i="27"/>
  <c r="V32" i="27"/>
  <c r="V29" i="8"/>
  <c r="U30" i="8"/>
  <c r="W29" i="8"/>
  <c r="W31" i="14"/>
  <c r="U32" i="14"/>
  <c r="V31" i="14"/>
  <c r="V31" i="13"/>
  <c r="U32" i="13"/>
  <c r="W31" i="13"/>
  <c r="U30" i="7"/>
  <c r="V29" i="7"/>
  <c r="W29" i="7"/>
  <c r="V32" i="11"/>
  <c r="U33" i="11"/>
  <c r="W32" i="11"/>
  <c r="U32" i="12"/>
  <c r="W31" i="12"/>
  <c r="V31" i="12"/>
  <c r="U35" i="28" l="1"/>
  <c r="V34" i="28"/>
  <c r="V30" i="1"/>
  <c r="U31" i="1"/>
  <c r="U34" i="27"/>
  <c r="V33" i="27"/>
  <c r="U31" i="8"/>
  <c r="V30" i="8"/>
  <c r="W30" i="8"/>
  <c r="U33" i="14"/>
  <c r="V32" i="14"/>
  <c r="W32" i="14"/>
  <c r="U33" i="13"/>
  <c r="W32" i="13"/>
  <c r="V32" i="13"/>
  <c r="V30" i="7"/>
  <c r="U31" i="7"/>
  <c r="W30" i="7"/>
  <c r="V33" i="11"/>
  <c r="U34" i="11"/>
  <c r="W33" i="11"/>
  <c r="U33" i="12"/>
  <c r="V32" i="12"/>
  <c r="W32" i="12"/>
  <c r="U36" i="28" l="1"/>
  <c r="V35" i="28"/>
  <c r="V31" i="1"/>
  <c r="U32" i="1"/>
  <c r="U35" i="27"/>
  <c r="V34" i="27"/>
  <c r="U32" i="8"/>
  <c r="W31" i="8"/>
  <c r="V31" i="8"/>
  <c r="W33" i="14"/>
  <c r="U34" i="14"/>
  <c r="V33" i="14"/>
  <c r="V33" i="13"/>
  <c r="U34" i="13"/>
  <c r="W33" i="13"/>
  <c r="W31" i="7"/>
  <c r="U32" i="7"/>
  <c r="V31" i="7"/>
  <c r="W33" i="12"/>
  <c r="U34" i="12"/>
  <c r="V33" i="12"/>
  <c r="V34" i="11"/>
  <c r="U35" i="11"/>
  <c r="W34" i="11"/>
  <c r="U37" i="28" l="1"/>
  <c r="V36" i="28"/>
  <c r="U33" i="1"/>
  <c r="V32" i="1"/>
  <c r="V35" i="27"/>
  <c r="U36" i="27"/>
  <c r="V32" i="8"/>
  <c r="W32" i="8"/>
  <c r="U33" i="8"/>
  <c r="W34" i="14"/>
  <c r="V34" i="14"/>
  <c r="U35" i="14"/>
  <c r="U35" i="13"/>
  <c r="W34" i="13"/>
  <c r="V34" i="13"/>
  <c r="W32" i="7"/>
  <c r="U33" i="7"/>
  <c r="V32" i="7"/>
  <c r="V34" i="12"/>
  <c r="U35" i="12"/>
  <c r="W34" i="12"/>
  <c r="V35" i="11"/>
  <c r="U36" i="11"/>
  <c r="W35" i="11"/>
  <c r="V37" i="28" l="1"/>
  <c r="U38" i="28"/>
  <c r="V33" i="1"/>
  <c r="U34" i="1"/>
  <c r="V36" i="27"/>
  <c r="U37" i="27"/>
  <c r="V33" i="8"/>
  <c r="U34" i="8"/>
  <c r="W33" i="8"/>
  <c r="U36" i="14"/>
  <c r="W35" i="14"/>
  <c r="V35" i="14"/>
  <c r="W35" i="13"/>
  <c r="V35" i="13"/>
  <c r="U36" i="13"/>
  <c r="V33" i="7"/>
  <c r="U34" i="7"/>
  <c r="W33" i="7"/>
  <c r="W36" i="11"/>
  <c r="V36" i="11"/>
  <c r="U37" i="11"/>
  <c r="V35" i="12"/>
  <c r="U36" i="12"/>
  <c r="W35" i="12"/>
  <c r="U39" i="28" l="1"/>
  <c r="V38" i="28"/>
  <c r="U35" i="1"/>
  <c r="V34" i="1"/>
  <c r="U38" i="27"/>
  <c r="V37" i="27"/>
  <c r="U35" i="8"/>
  <c r="W34" i="8"/>
  <c r="V34" i="8"/>
  <c r="U37" i="14"/>
  <c r="V36" i="14"/>
  <c r="W36" i="14"/>
  <c r="V36" i="13"/>
  <c r="W36" i="13"/>
  <c r="U37" i="13"/>
  <c r="W34" i="7"/>
  <c r="U35" i="7"/>
  <c r="V34" i="7"/>
  <c r="U37" i="12"/>
  <c r="V36" i="12"/>
  <c r="W36" i="12"/>
  <c r="V37" i="11"/>
  <c r="U38" i="11"/>
  <c r="W37" i="11"/>
  <c r="U40" i="28" l="1"/>
  <c r="V39" i="28"/>
  <c r="V35" i="1"/>
  <c r="U36" i="1"/>
  <c r="V38" i="27"/>
  <c r="U39" i="27"/>
  <c r="U36" i="8"/>
  <c r="W35" i="8"/>
  <c r="V35" i="8"/>
  <c r="W37" i="14"/>
  <c r="V37" i="14"/>
  <c r="U38" i="14"/>
  <c r="W37" i="13"/>
  <c r="U38" i="13"/>
  <c r="V37" i="13"/>
  <c r="W35" i="7"/>
  <c r="U36" i="7"/>
  <c r="V35" i="7"/>
  <c r="V38" i="11"/>
  <c r="U39" i="11"/>
  <c r="W38" i="11"/>
  <c r="W37" i="12"/>
  <c r="V37" i="12"/>
  <c r="U38" i="12"/>
  <c r="U41" i="28" l="1"/>
  <c r="V40" i="28"/>
  <c r="U37" i="1"/>
  <c r="V36" i="1"/>
  <c r="U40" i="27"/>
  <c r="V39" i="27"/>
  <c r="V36" i="8"/>
  <c r="U37" i="8"/>
  <c r="W36" i="8"/>
  <c r="V38" i="14"/>
  <c r="U39" i="14"/>
  <c r="W38" i="14"/>
  <c r="U39" i="13"/>
  <c r="V38" i="13"/>
  <c r="W38" i="13"/>
  <c r="U37" i="7"/>
  <c r="W36" i="7"/>
  <c r="V36" i="7"/>
  <c r="W38" i="12"/>
  <c r="V38" i="12"/>
  <c r="U39" i="12"/>
  <c r="W39" i="11"/>
  <c r="V39" i="11"/>
  <c r="U40" i="11"/>
  <c r="V41" i="28" l="1"/>
  <c r="U42" i="28"/>
  <c r="V37" i="1"/>
  <c r="U38" i="1"/>
  <c r="V40" i="27"/>
  <c r="U41" i="27"/>
  <c r="V37" i="8"/>
  <c r="U38" i="8"/>
  <c r="W37" i="8"/>
  <c r="U40" i="14"/>
  <c r="W39" i="14"/>
  <c r="V39" i="14"/>
  <c r="U40" i="13"/>
  <c r="V39" i="13"/>
  <c r="W39" i="13"/>
  <c r="W37" i="7"/>
  <c r="V37" i="7"/>
  <c r="U38" i="7"/>
  <c r="W40" i="11"/>
  <c r="V40" i="11"/>
  <c r="U41" i="11"/>
  <c r="W39" i="12"/>
  <c r="V39" i="12"/>
  <c r="U40" i="12"/>
  <c r="U43" i="28" l="1"/>
  <c r="V42" i="28"/>
  <c r="V38" i="1"/>
  <c r="U39" i="1"/>
  <c r="U42" i="27"/>
  <c r="V41" i="27"/>
  <c r="V38" i="8"/>
  <c r="U39" i="8"/>
  <c r="W38" i="8"/>
  <c r="V40" i="14"/>
  <c r="U41" i="14"/>
  <c r="W40" i="14"/>
  <c r="W40" i="13"/>
  <c r="V40" i="13"/>
  <c r="U41" i="13"/>
  <c r="V38" i="7"/>
  <c r="U39" i="7"/>
  <c r="W38" i="7"/>
  <c r="U41" i="12"/>
  <c r="W40" i="12"/>
  <c r="V40" i="12"/>
  <c r="V41" i="11"/>
  <c r="U42" i="11"/>
  <c r="W41" i="11"/>
  <c r="U44" i="28" l="1"/>
  <c r="V43" i="28"/>
  <c r="U40" i="1"/>
  <c r="V39" i="1"/>
  <c r="V42" i="27"/>
  <c r="U43" i="27"/>
  <c r="V39" i="8"/>
  <c r="U40" i="8"/>
  <c r="W39" i="8"/>
  <c r="V41" i="14"/>
  <c r="U42" i="14"/>
  <c r="W41" i="14"/>
  <c r="V41" i="13"/>
  <c r="U42" i="13"/>
  <c r="W41" i="13"/>
  <c r="V39" i="7"/>
  <c r="W39" i="7"/>
  <c r="U40" i="7"/>
  <c r="V42" i="11"/>
  <c r="U43" i="11"/>
  <c r="W42" i="11"/>
  <c r="W41" i="12"/>
  <c r="V41" i="12"/>
  <c r="U42" i="12"/>
  <c r="U45" i="28" l="1"/>
  <c r="V44" i="28"/>
  <c r="U41" i="1"/>
  <c r="V40" i="1"/>
  <c r="U44" i="27"/>
  <c r="V43" i="27"/>
  <c r="V40" i="8"/>
  <c r="U41" i="8"/>
  <c r="W40" i="8"/>
  <c r="U43" i="14"/>
  <c r="V42" i="14"/>
  <c r="W42" i="14"/>
  <c r="W42" i="13"/>
  <c r="U43" i="13"/>
  <c r="V42" i="13"/>
  <c r="V40" i="7"/>
  <c r="U41" i="7"/>
  <c r="W40" i="7"/>
  <c r="W42" i="12"/>
  <c r="V42" i="12"/>
  <c r="U43" i="12"/>
  <c r="W43" i="11"/>
  <c r="V43" i="11"/>
  <c r="U44" i="11"/>
  <c r="V45" i="28" l="1"/>
  <c r="U46" i="28"/>
  <c r="U42" i="1"/>
  <c r="V41" i="1"/>
  <c r="V44" i="27"/>
  <c r="U45" i="27"/>
  <c r="U42" i="8"/>
  <c r="W41" i="8"/>
  <c r="V41" i="8"/>
  <c r="V43" i="14"/>
  <c r="U44" i="14"/>
  <c r="W43" i="14"/>
  <c r="V43" i="13"/>
  <c r="W43" i="13"/>
  <c r="U44" i="13"/>
  <c r="W41" i="7"/>
  <c r="U42" i="7"/>
  <c r="V41" i="7"/>
  <c r="W44" i="11"/>
  <c r="V44" i="11"/>
  <c r="U45" i="11"/>
  <c r="W43" i="12"/>
  <c r="V43" i="12"/>
  <c r="U44" i="12"/>
  <c r="U47" i="28" l="1"/>
  <c r="V47" i="28" s="1"/>
  <c r="AA17" i="28" s="1"/>
  <c r="AA20" i="28" s="1"/>
  <c r="V46" i="28"/>
  <c r="V42" i="1"/>
  <c r="U43" i="1"/>
  <c r="U46" i="27"/>
  <c r="V45" i="27"/>
  <c r="U43" i="8"/>
  <c r="V42" i="8"/>
  <c r="W42" i="8"/>
  <c r="W44" i="14"/>
  <c r="V44" i="14"/>
  <c r="U45" i="14"/>
  <c r="W44" i="13"/>
  <c r="V44" i="13"/>
  <c r="U45" i="13"/>
  <c r="V42" i="7"/>
  <c r="U43" i="7"/>
  <c r="W42" i="7"/>
  <c r="V45" i="11"/>
  <c r="U46" i="11"/>
  <c r="W45" i="11"/>
  <c r="U45" i="12"/>
  <c r="W44" i="12"/>
  <c r="V44" i="12"/>
  <c r="AE17" i="28" l="1"/>
  <c r="AE20" i="28" s="1"/>
  <c r="AA33" i="28"/>
  <c r="AA36" i="28" s="1"/>
  <c r="U44" i="1"/>
  <c r="V43" i="1"/>
  <c r="V46" i="27"/>
  <c r="U47" i="27"/>
  <c r="V47" i="27" s="1"/>
  <c r="AA17" i="27" s="1"/>
  <c r="AA20" i="27" s="1"/>
  <c r="V43" i="8"/>
  <c r="U44" i="8"/>
  <c r="W43" i="8"/>
  <c r="V45" i="14"/>
  <c r="U46" i="14"/>
  <c r="W45" i="14"/>
  <c r="V45" i="13"/>
  <c r="U46" i="13"/>
  <c r="W45" i="13"/>
  <c r="W43" i="7"/>
  <c r="U44" i="7"/>
  <c r="V43" i="7"/>
  <c r="W45" i="12"/>
  <c r="V45" i="12"/>
  <c r="U46" i="12"/>
  <c r="V46" i="11"/>
  <c r="U47" i="11"/>
  <c r="W46" i="11"/>
  <c r="V44" i="1" l="1"/>
  <c r="U45" i="1"/>
  <c r="AA33" i="27"/>
  <c r="AA36" i="27" s="1"/>
  <c r="AE17" i="27"/>
  <c r="AE20" i="27" s="1"/>
  <c r="V44" i="8"/>
  <c r="U45" i="8"/>
  <c r="W44" i="8"/>
  <c r="V46" i="14"/>
  <c r="U47" i="14"/>
  <c r="W46" i="14"/>
  <c r="V46" i="13"/>
  <c r="W46" i="13"/>
  <c r="U47" i="13"/>
  <c r="W44" i="7"/>
  <c r="V44" i="7"/>
  <c r="U45" i="7"/>
  <c r="W47" i="11"/>
  <c r="V47" i="11"/>
  <c r="W46" i="12"/>
  <c r="V46" i="12"/>
  <c r="U47" i="12"/>
  <c r="U46" i="1" l="1"/>
  <c r="V45" i="1"/>
  <c r="AE17" i="11"/>
  <c r="AE20" i="11" s="1"/>
  <c r="AA17" i="11"/>
  <c r="AA20" i="11" s="1"/>
  <c r="AE25" i="11"/>
  <c r="AE28" i="11" s="1"/>
  <c r="AA25" i="11"/>
  <c r="AA28" i="11" s="1"/>
  <c r="U46" i="8"/>
  <c r="W45" i="8"/>
  <c r="V45" i="8"/>
  <c r="V47" i="14"/>
  <c r="W47" i="14"/>
  <c r="W47" i="13"/>
  <c r="V47" i="13"/>
  <c r="AA33" i="13" s="1"/>
  <c r="AA36" i="13" s="1"/>
  <c r="W45" i="7"/>
  <c r="U46" i="7"/>
  <c r="V45" i="7"/>
  <c r="AA33" i="11"/>
  <c r="AA36" i="11" s="1"/>
  <c r="W47" i="12"/>
  <c r="AA33" i="12" s="1"/>
  <c r="AA36" i="12" s="1"/>
  <c r="V47" i="12"/>
  <c r="V46" i="1" l="1"/>
  <c r="U47" i="1"/>
  <c r="V47" i="1" s="1"/>
  <c r="AA33" i="1" s="1"/>
  <c r="AA36" i="1" s="1"/>
  <c r="V46" i="8"/>
  <c r="W46" i="8"/>
  <c r="U47" i="8"/>
  <c r="AA33" i="14"/>
  <c r="AA36" i="14" s="1"/>
  <c r="V46" i="7"/>
  <c r="U47" i="7"/>
  <c r="W46" i="7"/>
  <c r="AE17" i="1" l="1"/>
  <c r="AE20" i="1" s="1"/>
  <c r="W47" i="8"/>
  <c r="AE25" i="8" s="1"/>
  <c r="AE28" i="8" s="1"/>
  <c r="V47" i="8"/>
  <c r="V47" i="7"/>
  <c r="W47" i="7"/>
  <c r="AE25" i="7" s="1"/>
  <c r="AE28" i="7" s="1"/>
  <c r="AA33" i="8" l="1"/>
  <c r="AA36" i="8" s="1"/>
  <c r="AE17" i="8"/>
  <c r="AE20" i="8" s="1"/>
  <c r="AA17" i="7"/>
  <c r="AA20" i="7" s="1"/>
  <c r="AE17" i="7"/>
  <c r="AE20" i="7" s="1"/>
  <c r="AA33" i="7"/>
  <c r="AA36" i="7" s="1"/>
  <c r="AA25" i="7"/>
  <c r="AA28"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41E01026-CE5B-462B-BB59-BCA6A4AAE980}">
      <text>
        <r>
          <rPr>
            <b/>
            <sz val="9"/>
            <color indexed="81"/>
            <rFont val="Tahoma"/>
            <family val="2"/>
          </rPr>
          <t>NCt(t, df, delta=0, errBound=1e-8, maxIters=400)</t>
        </r>
      </text>
    </comment>
    <comment ref="C17" authorId="0" shapeId="0" xr:uid="{46C3C989-9B3A-4F50-92A0-B5628CB5255C}">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700-000001000000}">
      <text>
        <r>
          <rPr>
            <b/>
            <sz val="9"/>
            <color indexed="81"/>
            <rFont val="Tahoma"/>
            <family val="2"/>
          </rPr>
          <t>NCt(t, df, delta=0, errBound=1e-8, maxIters=400)</t>
        </r>
      </text>
    </comment>
    <comment ref="C17" authorId="0" shapeId="0" xr:uid="{00000000-0006-0000-07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E528EAED-C043-49B2-9598-4F264A953F2F}">
      <text>
        <r>
          <rPr>
            <b/>
            <sz val="9"/>
            <color indexed="81"/>
            <rFont val="Tahoma"/>
            <family val="2"/>
          </rPr>
          <t>NCt(t, df, delta=0, errBound=1e-8, maxIters=400)</t>
        </r>
      </text>
    </comment>
    <comment ref="C17" authorId="0" shapeId="0" xr:uid="{7BC797FE-DA1B-4673-94BB-2B6420F4D022}">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<sst xmlns="http://schemas.openxmlformats.org/spreadsheetml/2006/main" count="994" uniqueCount="248">
  <si>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</si>
  <si>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</si>
  <si>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</si>
  <si>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</si>
  <si>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</si>
  <si>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</si>
  <si>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</si>
  <si>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</si>
  <si>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</si>
  <si>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</si>
  <si>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</si>
  <si>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</si>
  <si>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</si>
  <si>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</si>
  <si>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</si>
  <si>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</si>
  <si>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</si>
  <si>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</si>
  <si>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</si>
  <si>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</si>
  <si>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</si>
  <si>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</si>
  <si>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</si>
  <si>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</si>
  <si>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</si>
  <si>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</si>
  <si>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</si>
  <si>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</si>
  <si>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</si>
  <si>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</si>
  <si>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</si>
  <si>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</si>
  <si>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</si>
  <si>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</si>
  <si>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</si>
  <si>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</si>
  <si>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</si>
  <si>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</si>
  <si>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</si>
  <si>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</si>
  <si>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</si>
  <si>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</si>
  <si>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</si>
  <si>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</si>
  <si>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</si>
  <si>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</si>
  <si>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</si>
  <si>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</si>
  <si>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</si>
  <si>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</si>
  <si>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</si>
  <si>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</si>
  <si>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</si>
  <si>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</si>
  <si>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</si>
  <si>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</si>
  <si>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</si>
  <si>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</si>
  <si>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</si>
  <si>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</si>
  <si>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</si>
  <si>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</si>
  <si>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</si>
  <si>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</si>
  <si>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</si>
  <si>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</si>
  <si>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</si>
  <si>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</si>
  <si>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</si>
  <si>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</si>
  <si>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</si>
  <si>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</si>
  <si>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</si>
  <si>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</si>
  <si>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</si>
  <si>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</si>
  <si>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</si>
  <si>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</si>
  <si>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</si>
  <si>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</si>
  <si>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</si>
  <si>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</si>
  <si>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</si>
  <si>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</si>
  <si>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</si>
  <si>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</si>
  <si>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</si>
  <si>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</si>
  <si>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</si>
  <si>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</si>
  <si>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</si>
  <si>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</si>
  <si>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</si>
  <si>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</si>
  <si>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</si>
  <si>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</si>
  <si>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</si>
  <si>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</si>
  <si>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</si>
  <si>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</si>
  <si>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</si>
  <si>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</si>
  <si>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</si>
  <si>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</si>
  <si>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</si>
  <si>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</si>
  <si>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</si>
  <si>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</si>
  <si>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</si>
  <si>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</si>
  <si>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</si>
  <si>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</si>
  <si>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</si>
  <si>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</si>
  <si>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</si>
  <si>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</si>
  <si>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</si>
  <si>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</si>
  <si>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</si>
  <si>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</si>
  <si>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</si>
  <si>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</si>
  <si>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</si>
  <si>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</si>
  <si>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</si>
  <si>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</si>
  <si>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</si>
  <si>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</si>
  <si>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</si>
  <si>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</si>
  <si>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</si>
  <si>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</si>
  <si>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</si>
  <si>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</si>
  <si>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</si>
  <si>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</si>
  <si>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</si>
  <si>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</si>
  <si>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</si>
  <si>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</si>
  <si>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</si>
  <si>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</si>
  <si>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</si>
  <si>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</si>
  <si>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</si>
  <si>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</si>
  <si>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</si>
  <si>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</si>
  <si>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</si>
  <si>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</si>
  <si>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</si>
  <si>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</si>
  <si>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</si>
  <si>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</si>
  <si>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</si>
  <si>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</si>
  <si>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</si>
  <si>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</si>
  <si>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</si>
  <si>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</si>
  <si>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</si>
  <si>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</si>
  <si>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</si>
  <si>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</si>
  <si>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</si>
  <si>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</si>
  <si>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</si>
  <si>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</si>
  <si>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</si>
  <si>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</si>
  <si>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</si>
  <si>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</si>
  <si>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</si>
  <si>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</si>
  <si>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</si>
  <si>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</si>
  <si>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</si>
  <si>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</si>
  <si>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</si>
  <si>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</si>
  <si>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</si>
  <si>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</si>
  <si>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</si>
  <si>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</si>
  <si>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</si>
  <si>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</si>
  <si>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</si>
  <si>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</si>
  <si>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</si>
  <si>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</si>
  <si>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</si>
  <si>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</si>
  <si>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</si>
  <si>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</si>
  <si>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</si>
  <si>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</si>
  <si>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</si>
  <si>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</si>
  <si>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</si>
  <si>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</si>
  <si>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</si>
  <si>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</si>
  <si>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</si>
  <si>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</si>
  <si>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</si>
  <si>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</si>
  <si>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</si>
  <si>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</si>
  <si>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</si>
  <si>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</si>
  <si>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</si>
  <si>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</si>
  <si>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</si>
  <si>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</si>
  <si>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</si>
  <si>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</si>
  <si>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</si>
  <si>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</si>
  <si>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</si>
  <si>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</si>
  <si>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</si>
  <si>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</si>
  <si>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</si>
  <si>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</si>
  <si>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</si>
  <si>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</si>
  <si>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</si>
  <si>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</si>
  <si>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</si>
  <si>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</si>
  <si>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</si>
  <si>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</si>
  <si>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</si>
  <si>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 David Dubins, 2007-2021 (d.dubins@utoronto.ca)</t>
  </si>
  <si>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</si>
  <si>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</si>
  <si>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</si>
  <si>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</si>
  <si>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</si>
  <si>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</si>
  <si>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</si>
  <si>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</si>
  <si>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Calculate Total CV here:</t>
  </si>
  <si>
    <t>For a quick and dirty estimate, use published standard deviation/mean, or perhaps sqrt(5)*IntraCV. See these equations for much better estimates:</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</si>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</sst>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3">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8">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 fillId="5" borderId="0" xfId="0" applyFont="1" applyFill="1" applyAlignment="1">
      <alignment horizontal="left" vertical="top" wrapText="1"/>
    </xf>
    <xf numFmtId="0" fontId="26" fillId="5" borderId="0" xfId="1" applyFont="1" applyFill="1" applyAlignment="1" applyProtection="1"/>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16859904"/>
        <c:axId val="16861440"/>
      </c:scatterChart>
      <c:valAx>
        <c:axId val="168599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61440"/>
        <c:crosses val="autoZero"/>
        <c:crossBetween val="midCat"/>
      </c:valAx>
      <c:valAx>
        <c:axId val="1686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599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17186816"/>
        <c:axId val="17188352"/>
      </c:scatterChart>
      <c:valAx>
        <c:axId val="1718681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8352"/>
        <c:crosses val="autoZero"/>
        <c:crossBetween val="midCat"/>
      </c:valAx>
      <c:valAx>
        <c:axId val="171883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681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196.15197153020961</c:v>
                </c:pt>
                <c:pt idx="1">
                  <c:v>196.15197153020961</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203.8480285</c:v>
                </c:pt>
                <c:pt idx="1">
                  <c:v>203.8480285</c:v>
                </c:pt>
              </c:strCache>
            </c:strRef>
          </c:tx>
          <c:spPr>
            <a:ln>
              <a:solidFill>
                <a:srgbClr val="FFFF00"/>
              </a:solidFill>
            </a:ln>
          </c:spPr>
          <c:marker>
            <c:symbol val="none"/>
          </c:marker>
          <c:xVal>
            <c:numRef>
              <c:f>'Equivalence, Parallel'!$AD$19:$AD$20</c:f>
              <c:numCache>
                <c:formatCode>General</c:formatCode>
                <c:ptCount val="2"/>
                <c:pt idx="0">
                  <c:v>203.84802846979039</c:v>
                </c:pt>
                <c:pt idx="1">
                  <c:v>203.84802846979039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196.15197153020961</c:v>
                </c:pt>
                <c:pt idx="1">
                  <c:v>196.15197153020961</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203.84802846979039</c:v>
                </c:pt>
                <c:pt idx="1">
                  <c:v>203.84802846979039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17415552"/>
        <c:axId val="17421440"/>
      </c:scatterChart>
      <c:valAx>
        <c:axId val="1741555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21440"/>
        <c:crosses val="autoZero"/>
        <c:crossBetween val="midCat"/>
      </c:valAx>
      <c:valAx>
        <c:axId val="1742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1555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130969600"/>
        <c:axId val="130971136"/>
      </c:scatterChart>
      <c:valAx>
        <c:axId val="13096960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71136"/>
        <c:crosses val="autoZero"/>
        <c:crossBetween val="midCat"/>
      </c:valAx>
      <c:valAx>
        <c:axId val="130971136"/>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6960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131111168"/>
        <c:axId val="131129344"/>
      </c:scatterChart>
      <c:valAx>
        <c:axId val="131111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29344"/>
        <c:crosses val="autoZero"/>
        <c:crossBetween val="midCat"/>
      </c:valAx>
      <c:valAx>
        <c:axId val="131129344"/>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11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131343104"/>
        <c:axId val="131344640"/>
      </c:scatterChart>
      <c:valAx>
        <c:axId val="1313431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4640"/>
        <c:crosses val="autoZero"/>
        <c:crossBetween val="midCat"/>
      </c:valAx>
      <c:valAx>
        <c:axId val="1313446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31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0.92094054279720083</c:v>
                </c:pt>
                <c:pt idx="1">
                  <c:v>0.92094054279720083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1.0790594572027992</c:v>
                </c:pt>
                <c:pt idx="1">
                  <c:v>1.0790594572027992</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0.9108695298333388</c:v>
                </c:pt>
                <c:pt idx="1">
                  <c:v>0.9108695298333388</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0.98913047016666111</c:v>
                </c:pt>
                <c:pt idx="1">
                  <c:v>0.98913047016666111</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6.2855803540427163E-2</c:v>
                </c:pt>
                <c:pt idx="2">
                  <c:v>0.12571160708085433</c:v>
                </c:pt>
                <c:pt idx="3">
                  <c:v>0.18856741062128149</c:v>
                </c:pt>
                <c:pt idx="4">
                  <c:v>0.25142321416170865</c:v>
                </c:pt>
                <c:pt idx="5">
                  <c:v>0.31427901770213584</c:v>
                </c:pt>
                <c:pt idx="6">
                  <c:v>0.37713482124256303</c:v>
                </c:pt>
                <c:pt idx="7">
                  <c:v>0.43999062478299023</c:v>
                </c:pt>
                <c:pt idx="8">
                  <c:v>0.50284642832341742</c:v>
                </c:pt>
                <c:pt idx="9">
                  <c:v>0.56570223186384461</c:v>
                </c:pt>
                <c:pt idx="10">
                  <c:v>0.6285580354042718</c:v>
                </c:pt>
                <c:pt idx="11">
                  <c:v>0.69141383894469899</c:v>
                </c:pt>
                <c:pt idx="12">
                  <c:v>0.75426964248512618</c:v>
                </c:pt>
                <c:pt idx="13">
                  <c:v>0.81712544602555337</c:v>
                </c:pt>
                <c:pt idx="14">
                  <c:v>0.87998124956598056</c:v>
                </c:pt>
                <c:pt idx="15">
                  <c:v>0.94283705310640775</c:v>
                </c:pt>
                <c:pt idx="16">
                  <c:v>1.0056928566468348</c:v>
                </c:pt>
                <c:pt idx="17">
                  <c:v>1.068548660187262</c:v>
                </c:pt>
                <c:pt idx="18">
                  <c:v>1.1314044637276892</c:v>
                </c:pt>
                <c:pt idx="19">
                  <c:v>1.1942602672681164</c:v>
                </c:pt>
                <c:pt idx="20">
                  <c:v>1.2571160708085436</c:v>
                </c:pt>
                <c:pt idx="21">
                  <c:v>1.3199718743489708</c:v>
                </c:pt>
                <c:pt idx="22">
                  <c:v>1.382827677889398</c:v>
                </c:pt>
                <c:pt idx="23">
                  <c:v>1.4456834814298252</c:v>
                </c:pt>
                <c:pt idx="24">
                  <c:v>1.5085392849702524</c:v>
                </c:pt>
                <c:pt idx="25">
                  <c:v>1.5713950885106795</c:v>
                </c:pt>
                <c:pt idx="26">
                  <c:v>1.6342508920511067</c:v>
                </c:pt>
                <c:pt idx="27">
                  <c:v>1.6971066955915339</c:v>
                </c:pt>
                <c:pt idx="28">
                  <c:v>1.7599624991319611</c:v>
                </c:pt>
                <c:pt idx="29">
                  <c:v>1.8228183026723883</c:v>
                </c:pt>
                <c:pt idx="30">
                  <c:v>1.8856741062128155</c:v>
                </c:pt>
                <c:pt idx="31">
                  <c:v>1.9485299097532427</c:v>
                </c:pt>
                <c:pt idx="32">
                  <c:v>2.0113857132936697</c:v>
                </c:pt>
              </c:numCache>
            </c:numRef>
          </c:xVal>
          <c:yVal>
            <c:numRef>
              <c:f>'Bioequivalence, Replicate'!$V$15:$V$47</c:f>
              <c:numCache>
                <c:formatCode>General</c:formatCode>
                <c:ptCount val="33"/>
                <c:pt idx="0">
                  <c:v>1.477282803979336E-2</c:v>
                </c:pt>
                <c:pt idx="1">
                  <c:v>2.7096333066061466E-2</c:v>
                </c:pt>
                <c:pt idx="2">
                  <c:v>4.7565557097961828E-2</c:v>
                </c:pt>
                <c:pt idx="3">
                  <c:v>7.9911602450833827E-2</c:v>
                </c:pt>
                <c:pt idx="4">
                  <c:v>0.12848791379412886</c:v>
                </c:pt>
                <c:pt idx="5">
                  <c:v>0.1977196814466011</c:v>
                </c:pt>
                <c:pt idx="6">
                  <c:v>0.29118748986942972</c:v>
                </c:pt>
                <c:pt idx="7">
                  <c:v>0.41042207290166549</c:v>
                </c:pt>
                <c:pt idx="8">
                  <c:v>0.55363545229058264</c:v>
                </c:pt>
                <c:pt idx="9">
                  <c:v>0.71474686948667876</c:v>
                </c:pt>
                <c:pt idx="10">
                  <c:v>0.88311206356970129</c:v>
                </c:pt>
                <c:pt idx="11">
                  <c:v>1.0442742258768614</c:v>
                </c:pt>
                <c:pt idx="12">
                  <c:v>1.1818122495065957</c:v>
                </c:pt>
                <c:pt idx="13">
                  <c:v>1.2800224931945334</c:v>
                </c:pt>
                <c:pt idx="14">
                  <c:v>1.3268502231061179</c:v>
                </c:pt>
                <c:pt idx="15">
                  <c:v>1.3163197227249672</c:v>
                </c:pt>
                <c:pt idx="16">
                  <c:v>1.2497871682536457</c:v>
                </c:pt>
                <c:pt idx="17">
                  <c:v>1.1356537008909846</c:v>
                </c:pt>
                <c:pt idx="18">
                  <c:v>0.98762247825526639</c:v>
                </c:pt>
                <c:pt idx="19">
                  <c:v>0.82199882643964128</c:v>
                </c:pt>
                <c:pt idx="20">
                  <c:v>0.65476674718804873</c:v>
                </c:pt>
                <c:pt idx="21">
                  <c:v>0.49915706150721351</c:v>
                </c:pt>
                <c:pt idx="22">
                  <c:v>0.3641858012715018</c:v>
                </c:pt>
                <c:pt idx="23">
                  <c:v>0.25429860993809755</c:v>
                </c:pt>
                <c:pt idx="24">
                  <c:v>0.169941774582163</c:v>
                </c:pt>
                <c:pt idx="25">
                  <c:v>0.10869047781366145</c:v>
                </c:pt>
                <c:pt idx="26">
                  <c:v>6.6530078085967767E-2</c:v>
                </c:pt>
                <c:pt idx="27">
                  <c:v>3.8974428408071964E-2</c:v>
                </c:pt>
                <c:pt idx="28">
                  <c:v>2.1851268942557921E-2</c:v>
                </c:pt>
                <c:pt idx="29">
                  <c:v>1.1724889439740756E-2</c:v>
                </c:pt>
                <c:pt idx="30">
                  <c:v>6.0211027202522194E-3</c:v>
                </c:pt>
                <c:pt idx="31">
                  <c:v>2.9592285119466512E-3</c:v>
                </c:pt>
                <c:pt idx="32">
                  <c:v>1.3919260261450537E-3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0.60643962079147595</c:v>
                </c:pt>
                <c:pt idx="1">
                  <c:v>0.60643962079147595</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1.1935603792085241</c:v>
                </c:pt>
                <c:pt idx="1">
                  <c:v>1.1935603792085241</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0.84501198858299298</c:v>
                </c:pt>
                <c:pt idx="1">
                  <c:v>0.84501198858299298</c:v>
                </c:pt>
              </c:numCache>
            </c:numRef>
          </c:xVal>
          <c:yVal>
            <c:numRef>
              <c:f>'Bioequivalence, Replicate'!$AE$16:$AE$17</c:f>
              <c:numCache>
                <c:formatCode>General</c:formatCode>
                <c:ptCount val="2"/>
                <c:pt idx="0">
                  <c:v>0</c:v>
                </c:pt>
                <c:pt idx="1">
                  <c:v>1.3268502231061179</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0.95498801141700707</c:v>
                </c:pt>
                <c:pt idx="1">
                  <c:v>0.95498801141700707</c:v>
                </c:pt>
              </c:numCache>
            </c:numRef>
          </c:xVal>
          <c:yVal>
            <c:numRef>
              <c:f>'Bioequivalence, Replicate'!$AE$19:$AE$20</c:f>
              <c:numCache>
                <c:formatCode>General</c:formatCode>
                <c:ptCount val="2"/>
                <c:pt idx="0">
                  <c:v>0</c:v>
                </c:pt>
                <c:pt idx="1">
                  <c:v>1.3268502231061179</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1.3268502231061179</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1.3268502231061179</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6.emf"/><Relationship Id="rId6" Type="http://schemas.openxmlformats.org/officeDocument/2006/relationships/chart" Target="../charts/chart8.xml"/><Relationship Id="rId5" Type="http://schemas.openxmlformats.org/officeDocument/2006/relationships/image" Target="../media/image38.emf"/><Relationship Id="rId4" Type="http://schemas.openxmlformats.org/officeDocument/2006/relationships/image" Target="../media/image37.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image" Target="../media/image32.emf"/><Relationship Id="rId7" Type="http://schemas.openxmlformats.org/officeDocument/2006/relationships/image" Target="../media/image41.emf"/><Relationship Id="rId2" Type="http://schemas.openxmlformats.org/officeDocument/2006/relationships/image" Target="../media/image29.emf"/><Relationship Id="rId1" Type="http://schemas.openxmlformats.org/officeDocument/2006/relationships/image" Target="../media/image36.emf"/><Relationship Id="rId6" Type="http://schemas.openxmlformats.org/officeDocument/2006/relationships/image" Target="../media/image40.emf"/><Relationship Id="rId5" Type="http://schemas.openxmlformats.org/officeDocument/2006/relationships/image" Target="../media/image39.emf"/><Relationship Id="rId4" Type="http://schemas.openxmlformats.org/officeDocument/2006/relationships/chart" Target="../charts/chart9.xml"/><Relationship Id="rId9" Type="http://schemas.openxmlformats.org/officeDocument/2006/relationships/image" Target="../media/image43.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2.emf"/><Relationship Id="rId13" Type="http://schemas.openxmlformats.org/officeDocument/2006/relationships/image" Target="../media/image57.emf"/><Relationship Id="rId3" Type="http://schemas.openxmlformats.org/officeDocument/2006/relationships/image" Target="../media/image47.emf"/><Relationship Id="rId7" Type="http://schemas.openxmlformats.org/officeDocument/2006/relationships/image" Target="../media/image51.emf"/><Relationship Id="rId12" Type="http://schemas.openxmlformats.org/officeDocument/2006/relationships/image" Target="../media/image56.emf"/><Relationship Id="rId2" Type="http://schemas.openxmlformats.org/officeDocument/2006/relationships/image" Target="../media/image46.emf"/><Relationship Id="rId1" Type="http://schemas.openxmlformats.org/officeDocument/2006/relationships/image" Target="../media/image45.emf"/><Relationship Id="rId6" Type="http://schemas.openxmlformats.org/officeDocument/2006/relationships/image" Target="../media/image50.emf"/><Relationship Id="rId11" Type="http://schemas.openxmlformats.org/officeDocument/2006/relationships/image" Target="../media/image55.emf"/><Relationship Id="rId5" Type="http://schemas.openxmlformats.org/officeDocument/2006/relationships/image" Target="../media/image49.emf"/><Relationship Id="rId10" Type="http://schemas.openxmlformats.org/officeDocument/2006/relationships/image" Target="../media/image54.emf"/><Relationship Id="rId4" Type="http://schemas.openxmlformats.org/officeDocument/2006/relationships/image" Target="../media/image48.emf"/><Relationship Id="rId9" Type="http://schemas.openxmlformats.org/officeDocument/2006/relationships/image" Target="../media/image53.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 Id="rId4" Type="http://schemas.openxmlformats.org/officeDocument/2006/relationships/image" Target="../media/image61.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6.png"/><Relationship Id="rId2" Type="http://schemas.openxmlformats.org/officeDocument/2006/relationships/image" Target="../media/image65.png"/><Relationship Id="rId1" Type="http://schemas.openxmlformats.org/officeDocument/2006/relationships/image" Target="../media/image64.png"/><Relationship Id="rId5" Type="http://schemas.openxmlformats.org/officeDocument/2006/relationships/image" Target="../media/image68.emf"/><Relationship Id="rId4" Type="http://schemas.openxmlformats.org/officeDocument/2006/relationships/image" Target="../media/image6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emf"/><Relationship Id="rId1" Type="http://schemas.openxmlformats.org/officeDocument/2006/relationships/image" Target="../media/image6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4.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6</xdr:row>
      <xdr:rowOff>93345</xdr:rowOff>
    </xdr:from>
    <xdr:to>
      <xdr:col>8</xdr:col>
      <xdr:colOff>596282</xdr:colOff>
      <xdr:row>16</xdr:row>
      <xdr:rowOff>93345</xdr:rowOff>
    </xdr:to>
    <xdr:sp macro="" textlink="">
      <xdr:nvSpPr>
        <xdr:cNvPr id="25612" name="Text Box 12">
          <a:extLst>
            <a:ext uri="{FF2B5EF4-FFF2-40B4-BE49-F238E27FC236}">
              <a16:creationId xmlns:a16="http://schemas.microsoft.com/office/drawing/2014/main" id="{00000000-0008-0000-0000-00000C640000}"/>
            </a:ext>
          </a:extLst>
        </xdr:cNvPr>
        <xdr:cNvSpPr txBox="1">
          <a:spLocks noChangeArrowheads="1"/>
        </xdr:cNvSpPr>
      </xdr:nvSpPr>
      <xdr:spPr bwMode="auto">
        <a:xfrm>
          <a:off x="361950" y="1247775"/>
          <a:ext cx="4924425" cy="1619250"/>
        </a:xfrm>
        <a:prstGeom prst="rect">
          <a:avLst/>
        </a:prstGeom>
        <a:gradFill rotWithShape="1">
          <a:gsLst>
            <a:gs pos="0">
              <a:srgbClr val="FFFFFF"/>
            </a:gs>
            <a:gs pos="100000">
              <a:srgbClr val="C0C0C0"/>
            </a:gs>
          </a:gsLst>
          <a:lin ang="5400000" scaled="1"/>
        </a:gra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License:</a:t>
          </a:r>
          <a:r>
            <a:rPr lang="en-US" sz="800" b="0" i="0" strike="noStrike">
              <a:solidFill>
                <a:srgbClr val="000000"/>
              </a:solidFill>
              <a:latin typeface="Arial"/>
              <a:cs typeface="Arial"/>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strike="noStrike" baseline="0">
              <a:solidFill>
                <a:srgbClr val="000000"/>
              </a:solidFill>
              <a:latin typeface="Arial"/>
              <a:cs typeface="Arial"/>
            </a:rPr>
            <a:t> download from </a:t>
          </a:r>
          <a:r>
            <a:rPr lang="en-CA" sz="800">
              <a:hlinkClick xmlns:r="http://schemas.openxmlformats.org/officeDocument/2006/relationships" r:id=""/>
            </a:rPr>
            <a:t>FARTSSIE/FARTSSIE27.xlsm at main · dndubins/FARTSSIE (github.com)</a:t>
          </a:r>
          <a:endParaRPr lang="en-US" sz="800" b="0" i="0" strike="noStrike">
            <a:solidFill>
              <a:srgbClr val="000000"/>
            </a:solidFill>
            <a:latin typeface="Arial"/>
            <a:cs typeface="Arial"/>
          </a:endParaRPr>
        </a:p>
      </xdr:txBody>
    </xdr:sp>
    <xdr:clientData/>
  </xdr:twoCellAnchor>
  <xdr:twoCellAnchor>
    <xdr:from>
      <xdr:col>1</xdr:col>
      <xdr:colOff>19050</xdr:colOff>
      <xdr:row>17</xdr:row>
      <xdr:rowOff>28575</xdr:rowOff>
    </xdr:from>
    <xdr:to>
      <xdr:col>8</xdr:col>
      <xdr:colOff>596282</xdr:colOff>
      <xdr:row>26</xdr:row>
      <xdr:rowOff>92776</xdr:rowOff>
    </xdr:to>
    <xdr:sp macro="" textlink="">
      <xdr:nvSpPr>
        <xdr:cNvPr id="25615" name="Text Box 15">
          <a:extLst>
            <a:ext uri="{FF2B5EF4-FFF2-40B4-BE49-F238E27FC236}">
              <a16:creationId xmlns:a16="http://schemas.microsoft.com/office/drawing/2014/main" id="{00000000-0008-0000-0000-00000F640000}"/>
            </a:ext>
          </a:extLst>
        </xdr:cNvPr>
        <xdr:cNvSpPr txBox="1">
          <a:spLocks noChangeArrowheads="1"/>
        </xdr:cNvSpPr>
      </xdr:nvSpPr>
      <xdr:spPr bwMode="auto">
        <a:xfrm>
          <a:off x="359229" y="2960296"/>
          <a:ext cx="4943887" cy="1511506"/>
        </a:xfrm>
        <a:prstGeom prst="rect">
          <a:avLst/>
        </a:prstGeom>
        <a:gradFill rotWithShape="1">
          <a:gsLst>
            <a:gs pos="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0" bIns="0" anchor="t" upright="1"/>
        <a:lstStyle/>
        <a:p>
          <a:pPr algn="l" rtl="1">
            <a:defRPr sz="1000"/>
          </a:pPr>
          <a:r>
            <a:rPr lang="en-US" sz="800" b="0" i="0" strike="noStrike">
              <a:solidFill>
                <a:srgbClr val="000000"/>
              </a:solidFill>
              <a:latin typeface="Arial"/>
              <a:cs typeface="Arial"/>
            </a:rPr>
            <a:t>I would like to very warmly thank the the following people for making this workbook possible: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BEBAC Ing. Helmut Schütz</a:t>
          </a:r>
          <a:br>
            <a:rPr lang="en-US" sz="800" b="0" i="0" strike="noStrike">
              <a:solidFill>
                <a:srgbClr val="000000"/>
              </a:solidFill>
              <a:latin typeface="Arial"/>
              <a:cs typeface="Arial"/>
            </a:rPr>
          </a:br>
          <a:r>
            <a:rPr lang="en-US" sz="800" b="0" i="0" strike="noStrike">
              <a:solidFill>
                <a:srgbClr val="000000"/>
              </a:solidFill>
              <a:latin typeface="Arial"/>
              <a:cs typeface="Arial"/>
            </a:rPr>
            <a:t>Consultancy Services for Bioequivalence and Bioavailability Studies</a:t>
          </a:r>
        </a:p>
        <a:p>
          <a:pPr algn="l" rtl="1">
            <a:defRPr sz="1000"/>
          </a:pPr>
          <a:r>
            <a:rPr lang="en-CA" sz="800">
              <a:hlinkClick xmlns:r="http://schemas.openxmlformats.org/officeDocument/2006/relationships" r:id=""/>
            </a:rPr>
            <a:t>BEBAC • Consultancy Services for Bioequivalence and Bioavailability Studies • Helmut Schütz</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Russell V. Lenth, Professor</a:t>
          </a:r>
        </a:p>
        <a:p>
          <a:pPr algn="l" rtl="1">
            <a:defRPr sz="1000"/>
          </a:pPr>
          <a:r>
            <a:rPr lang="en-US" sz="800" b="0" i="0" strike="noStrike">
              <a:solidFill>
                <a:srgbClr val="000000"/>
              </a:solidFill>
              <a:latin typeface="Arial"/>
              <a:cs typeface="Arial"/>
            </a:rPr>
            <a:t>Department of Statistics &amp; Actuarial Science </a:t>
          </a:r>
        </a:p>
        <a:p>
          <a:pPr algn="l" rtl="1">
            <a:defRPr sz="1000"/>
          </a:pPr>
          <a:r>
            <a:rPr lang="en-US" sz="800" b="0" i="0" strike="noStrike">
              <a:solidFill>
                <a:srgbClr val="000000"/>
              </a:solidFill>
              <a:latin typeface="Arial"/>
              <a:cs typeface="Arial"/>
            </a:rPr>
            <a:t>The University of Iowa, Iowa City, IA 52242  USA</a:t>
          </a:r>
        </a:p>
        <a:p>
          <a:pPr algn="l" rtl="1">
            <a:defRPr sz="1000"/>
          </a:pPr>
          <a:r>
            <a:rPr lang="en-US" sz="800" b="0" i="0" strike="noStrike">
              <a:solidFill>
                <a:srgbClr val="000000"/>
              </a:solidFill>
              <a:latin typeface="Arial"/>
              <a:cs typeface="Arial"/>
            </a:rPr>
            <a:t>http://www.stat.uiowa.edu/~rlenth/</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In fond memory of: Richard Moisan, Laszlo Endrenyi</a:t>
          </a:r>
        </a:p>
        <a:p>
          <a:pPr algn="l" rtl="1">
            <a:defRPr sz="1000"/>
          </a:pPr>
          <a:endParaRPr lang="en-US" sz="8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476250</xdr:colOff>
          <xdr:row>7</xdr:row>
          <xdr:rowOff>95250</xdr:rowOff>
        </xdr:from>
        <xdr:to>
          <xdr:col>13</xdr:col>
          <xdr:colOff>19050</xdr:colOff>
          <xdr:row>8</xdr:row>
          <xdr:rowOff>133350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8</xdr:row>
          <xdr:rowOff>133350</xdr:rowOff>
        </xdr:from>
        <xdr:to>
          <xdr:col>13</xdr:col>
          <xdr:colOff>19050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10</xdr:row>
          <xdr:rowOff>12700</xdr:rowOff>
        </xdr:from>
        <xdr:to>
          <xdr:col>13</xdr:col>
          <xdr:colOff>19050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552450</xdr:colOff>
          <xdr:row>7</xdr:row>
          <xdr:rowOff>19050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8</xdr:row>
          <xdr:rowOff>38100</xdr:rowOff>
        </xdr:from>
        <xdr:to>
          <xdr:col>12</xdr:col>
          <xdr:colOff>76200</xdr:colOff>
          <xdr:row>9</xdr:row>
          <xdr:rowOff>95250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9</xdr:row>
          <xdr:rowOff>95250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323850</xdr:colOff>
          <xdr:row>8</xdr:row>
          <xdr:rowOff>114300</xdr:rowOff>
        </xdr:from>
        <xdr:to>
          <xdr:col>12</xdr:col>
          <xdr:colOff>476250</xdr:colOff>
          <xdr:row>9</xdr:row>
          <xdr:rowOff>171450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9</xdr:row>
          <xdr:rowOff>171450</xdr:rowOff>
        </xdr:from>
        <xdr:to>
          <xdr:col>12</xdr:col>
          <xdr:colOff>476250</xdr:colOff>
          <xdr:row>11</xdr:row>
          <xdr:rowOff>19050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11</xdr:row>
          <xdr:rowOff>19050</xdr:rowOff>
        </xdr:from>
        <xdr:to>
          <xdr:col>12</xdr:col>
          <xdr:colOff>476250</xdr:colOff>
          <xdr:row>12</xdr:row>
          <xdr:rowOff>57150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361950</xdr:colOff>
          <xdr:row>7</xdr:row>
          <xdr:rowOff>209550</xdr:rowOff>
        </xdr:from>
        <xdr:to>
          <xdr:col>11</xdr:col>
          <xdr:colOff>514350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9</xdr:row>
          <xdr:rowOff>38100</xdr:rowOff>
        </xdr:from>
        <xdr:to>
          <xdr:col>11</xdr:col>
          <xdr:colOff>514350</xdr:colOff>
          <xdr:row>10</xdr:row>
          <xdr:rowOff>57150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10</xdr:row>
          <xdr:rowOff>57150</xdr:rowOff>
        </xdr:from>
        <xdr:to>
          <xdr:col>11</xdr:col>
          <xdr:colOff>514350</xdr:colOff>
          <xdr:row>11</xdr:row>
          <xdr:rowOff>95250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590550</xdr:colOff>
          <xdr:row>7</xdr:row>
          <xdr:rowOff>171450</xdr:rowOff>
        </xdr:from>
        <xdr:to>
          <xdr:col>13</xdr:col>
          <xdr:colOff>133350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xdr:row>
          <xdr:rowOff>38100</xdr:rowOff>
        </xdr:from>
        <xdr:to>
          <xdr:col>13</xdr:col>
          <xdr:colOff>133350</xdr:colOff>
          <xdr:row>10</xdr:row>
          <xdr:rowOff>95250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10</xdr:row>
          <xdr:rowOff>95250</xdr:rowOff>
        </xdr:from>
        <xdr:to>
          <xdr:col>13</xdr:col>
          <xdr:colOff>133350</xdr:colOff>
          <xdr:row>11</xdr:row>
          <xdr:rowOff>133350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8</xdr:row>
          <xdr:rowOff>57150</xdr:rowOff>
        </xdr:from>
        <xdr:to>
          <xdr:col>12</xdr:col>
          <xdr:colOff>19050</xdr:colOff>
          <xdr:row>9</xdr:row>
          <xdr:rowOff>95250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9</xdr:row>
          <xdr:rowOff>95250</xdr:rowOff>
        </xdr:from>
        <xdr:to>
          <xdr:col>12</xdr:col>
          <xdr:colOff>19050</xdr:colOff>
          <xdr:row>10</xdr:row>
          <xdr:rowOff>95250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10</xdr:row>
          <xdr:rowOff>95250</xdr:rowOff>
        </xdr:from>
        <xdr:to>
          <xdr:col>12</xdr:col>
          <xdr:colOff>19050</xdr:colOff>
          <xdr:row>11</xdr:row>
          <xdr:rowOff>133350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57150</xdr:rowOff>
        </xdr:from>
        <xdr:to>
          <xdr:col>12</xdr:col>
          <xdr:colOff>317500</xdr:colOff>
          <xdr:row>7</xdr:row>
          <xdr:rowOff>95250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95250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19050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565784</xdr:colOff>
      <xdr:row>24</xdr:row>
      <xdr:rowOff>104775</xdr:rowOff>
    </xdr:from>
    <xdr:to>
      <xdr:col>8</xdr:col>
      <xdr:colOff>194309</xdr:colOff>
      <xdr:row>25</xdr:row>
      <xdr:rowOff>32384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385434" y="4505325"/>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438150</xdr:colOff>
      <xdr:row>25</xdr:row>
      <xdr:rowOff>36197</xdr:rowOff>
    </xdr:from>
    <xdr:to>
      <xdr:col>11</xdr:col>
      <xdr:colOff>411488</xdr:colOff>
      <xdr:row>31</xdr:row>
      <xdr:rowOff>6350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00247"/>
          <a:ext cx="3821438" cy="9290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615950</xdr:colOff>
      <xdr:row>5</xdr:row>
      <xdr:rowOff>120650</xdr:rowOff>
    </xdr:from>
    <xdr:to>
      <xdr:col>16</xdr:col>
      <xdr:colOff>452582</xdr:colOff>
      <xdr:row>13</xdr:row>
      <xdr:rowOff>31750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b="22595"/>
        <a:stretch/>
      </xdr:blipFill>
      <xdr:spPr>
        <a:xfrm>
          <a:off x="8890000" y="1130300"/>
          <a:ext cx="2402032" cy="1377950"/>
        </a:xfrm>
        <a:prstGeom prst="rect">
          <a:avLst/>
        </a:prstGeom>
      </xdr:spPr>
    </xdr:pic>
    <xdr:clientData/>
  </xdr:twoCellAnchor>
  <xdr:twoCellAnchor>
    <xdr:from>
      <xdr:col>3</xdr:col>
      <xdr:colOff>609600</xdr:colOff>
      <xdr:row>49</xdr:row>
      <xdr:rowOff>50800</xdr:rowOff>
    </xdr:from>
    <xdr:to>
      <xdr:col>6</xdr:col>
      <xdr:colOff>190500</xdr:colOff>
      <xdr:row>49</xdr:row>
      <xdr:rowOff>50800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11500" y="84582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57150</xdr:rowOff>
    </xdr:from>
    <xdr:to>
      <xdr:col>2</xdr:col>
      <xdr:colOff>495300</xdr:colOff>
      <xdr:row>52</xdr:row>
      <xdr:rowOff>57150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89408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20459</xdr:colOff>
      <xdr:row>13</xdr:row>
      <xdr:rowOff>95250</xdr:rowOff>
    </xdr:from>
    <xdr:to>
      <xdr:col>18</xdr:col>
      <xdr:colOff>139701</xdr:colOff>
      <xdr:row>14</xdr:row>
      <xdr:rowOff>114677</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8"/>
        <a:stretch>
          <a:fillRect/>
        </a:stretch>
      </xdr:blipFill>
      <xdr:spPr>
        <a:xfrm>
          <a:off x="8935859" y="2571750"/>
          <a:ext cx="3325992" cy="184527"/>
        </a:xfrm>
        <a:prstGeom prst="rect">
          <a:avLst/>
        </a:prstGeom>
      </xdr:spPr>
    </xdr:pic>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28322964-1ACA-4897-B758-73EF42698279}"/>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57150</xdr:rowOff>
        </xdr:from>
        <xdr:to>
          <xdr:col>11</xdr:col>
          <xdr:colOff>508000</xdr:colOff>
          <xdr:row>7</xdr:row>
          <xdr:rowOff>95250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95250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323850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7</xdr:row>
          <xdr:rowOff>127000</xdr:rowOff>
        </xdr:from>
        <xdr:to>
          <xdr:col>11</xdr:col>
          <xdr:colOff>488950</xdr:colOff>
          <xdr:row>9</xdr:row>
          <xdr:rowOff>19050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9</xdr:row>
          <xdr:rowOff>19050</xdr:rowOff>
        </xdr:from>
        <xdr:to>
          <xdr:col>11</xdr:col>
          <xdr:colOff>488950</xdr:colOff>
          <xdr:row>10</xdr:row>
          <xdr:rowOff>19050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400050</xdr:colOff>
          <xdr:row>2</xdr:row>
          <xdr:rowOff>19050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30</xdr:row>
          <xdr:rowOff>38100</xdr:rowOff>
        </xdr:from>
        <xdr:to>
          <xdr:col>5</xdr:col>
          <xdr:colOff>114300</xdr:colOff>
          <xdr:row>33</xdr:row>
          <xdr:rowOff>133350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11" Type="http://schemas.openxmlformats.org/officeDocument/2006/relationships/drawing" Target="../drawings/drawing1.xml"/><Relationship Id="rId5" Type="http://schemas.openxmlformats.org/officeDocument/2006/relationships/hyperlink" Target="http://www.fda.gov/ohrms/dockets/ac/06/slides/2006-4241s2_4.ppt" TargetMode="External"/><Relationship Id="rId10" Type="http://schemas.openxmlformats.org/officeDocument/2006/relationships/printerSettings" Target="../printerSettings/printerSettings1.bin"/><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trlProp" Target="../ctrlProps/ctrlProp33.xml"/><Relationship Id="rId11" Type="http://schemas.openxmlformats.org/officeDocument/2006/relationships/comments" Target="../comments7.xml"/><Relationship Id="rId5" Type="http://schemas.openxmlformats.org/officeDocument/2006/relationships/ctrlProp" Target="../ctrlProps/ctrlProp32.xml"/><Relationship Id="rId10" Type="http://schemas.openxmlformats.org/officeDocument/2006/relationships/ctrlProp" Target="../ctrlProps/ctrlProp3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9.vml"/><Relationship Id="rId7" Type="http://schemas.openxmlformats.org/officeDocument/2006/relationships/ctrlProp" Target="../ctrlProps/ctrlProp48.xml"/><Relationship Id="rId12"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4.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workbookViewId="0">
      <selection activeCell="C8" sqref="C8"/>
    </sheetView>
  </sheetViews>
  <sheetFormatPr defaultColWidth="9.1796875" defaultRowHeight="12.5"/>
  <cols>
    <col min="1" max="1" width="5.1796875" style="66" customWidth="1"/>
    <col min="2" max="2" width="10.453125" style="66" customWidth="1"/>
    <col min="3" max="16384" width="9.1796875" style="66"/>
  </cols>
  <sheetData>
    <row r="2" spans="2:9" ht="20">
      <c r="C2" s="67" t="s">
        <v>245</v>
      </c>
      <c r="I2" s="68" t="s">
        <v>244</v>
      </c>
    </row>
    <row r="3" spans="2:9" ht="20">
      <c r="C3" s="67" t="s">
        <v>246</v>
      </c>
    </row>
    <row r="4" spans="2:9">
      <c r="B4" s="69" t="s">
        <v>80</v>
      </c>
    </row>
    <row r="6" spans="2:9">
      <c r="B6" s="70" t="s">
        <v>233</v>
      </c>
    </row>
    <row r="8" spans="2:9" ht="13">
      <c r="B8" s="71"/>
    </row>
    <row r="9" spans="2:9">
      <c r="B9" s="72"/>
    </row>
    <row r="10" spans="2:9">
      <c r="B10" s="73"/>
    </row>
    <row r="11" spans="2:9">
      <c r="B11" s="73"/>
    </row>
    <row r="12" spans="2:9">
      <c r="B12" s="73"/>
    </row>
    <row r="28" spans="2:9" ht="13">
      <c r="B28" s="74" t="s">
        <v>89</v>
      </c>
    </row>
    <row r="29" spans="2:9">
      <c r="B29" s="75" t="s">
        <v>196</v>
      </c>
    </row>
    <row r="30" spans="2:9" ht="22.5" customHeight="1">
      <c r="B30" s="76" t="s">
        <v>130</v>
      </c>
      <c r="C30" s="76"/>
      <c r="D30" s="76"/>
      <c r="E30" s="76"/>
      <c r="F30" s="76"/>
      <c r="G30" s="76"/>
      <c r="H30" s="76"/>
      <c r="I30" s="76"/>
    </row>
    <row r="31" spans="2:9">
      <c r="B31" s="77" t="s">
        <v>144</v>
      </c>
    </row>
    <row r="32" spans="2:9">
      <c r="B32" s="77" t="s">
        <v>147</v>
      </c>
    </row>
    <row r="33" spans="2:2">
      <c r="B33" s="77" t="s">
        <v>137</v>
      </c>
    </row>
    <row r="34" spans="2:2">
      <c r="B34" s="77" t="s">
        <v>136</v>
      </c>
    </row>
    <row r="35" spans="2:2">
      <c r="B35" s="77" t="s">
        <v>141</v>
      </c>
    </row>
    <row r="36" spans="2:2">
      <c r="B36" s="77" t="s">
        <v>178</v>
      </c>
    </row>
    <row r="37" spans="2:2">
      <c r="B37" s="77" t="s">
        <v>199</v>
      </c>
    </row>
    <row r="38" spans="2:2">
      <c r="B38" s="77" t="s">
        <v>247</v>
      </c>
    </row>
    <row r="40" spans="2:2">
      <c r="B40" s="75" t="s">
        <v>201</v>
      </c>
    </row>
    <row r="41" spans="2:2">
      <c r="B41" s="75" t="s">
        <v>202</v>
      </c>
    </row>
    <row r="42" spans="2:2">
      <c r="B42" s="75" t="s">
        <v>203</v>
      </c>
    </row>
    <row r="43" spans="2:2">
      <c r="B43" s="75" t="s">
        <v>131</v>
      </c>
    </row>
    <row r="44" spans="2:2">
      <c r="B44" s="75" t="s">
        <v>204</v>
      </c>
    </row>
    <row r="45" spans="2:2">
      <c r="B45" s="77"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805EED3E-2BDF-47BA-9BD3-7927F32CCE7E}"/>
  </hyperlinks>
  <pageMargins left="0.75" right="0.75" top="1" bottom="1" header="0.5" footer="0.5"/>
  <pageSetup orientation="portrait" horizontalDpi="4294967293" r:id="rId10"/>
  <headerFooter alignWithMargins="0"/>
  <drawing r:id="rId1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2"/>
    <col min="22" max="23" width="12.26953125" style="52" bestFit="1" customWidth="1"/>
    <col min="24" max="30" width="9.1796875" style="52"/>
    <col min="31" max="32" width="9.1796875" style="51"/>
    <col min="33" max="16384" width="9.1796875" style="1"/>
  </cols>
  <sheetData>
    <row r="1" spans="2:31" ht="25.5" thickBot="1">
      <c r="B1" s="17" t="s">
        <v>68</v>
      </c>
      <c r="E1" s="9" t="s">
        <v>122</v>
      </c>
    </row>
    <row r="2" spans="2:31" ht="13.5" thickBot="1">
      <c r="B2" s="1" t="s">
        <v>1</v>
      </c>
      <c r="C2" s="2">
        <v>0.9</v>
      </c>
      <c r="D2" s="1" t="s">
        <v>21</v>
      </c>
    </row>
    <row r="3" spans="2:31" ht="16"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 thickBot="1">
      <c r="B6" s="1" t="s">
        <v>17</v>
      </c>
      <c r="C6" s="3">
        <v>8</v>
      </c>
      <c r="D6" s="1" t="s">
        <v>24</v>
      </c>
      <c r="U6" s="52">
        <v>2</v>
      </c>
    </row>
    <row r="7" spans="2:31" ht="13" thickBot="1">
      <c r="C7" s="4"/>
    </row>
    <row r="8" spans="2:31" ht="13" thickBot="1">
      <c r="B8" s="12" t="s">
        <v>118</v>
      </c>
      <c r="C8" s="11">
        <f>C6/C5</f>
        <v>0.2</v>
      </c>
    </row>
    <row r="10" spans="2:31">
      <c r="B10" s="8" t="s">
        <v>18</v>
      </c>
      <c r="C10" s="1">
        <f>C5</f>
        <v>40</v>
      </c>
      <c r="V10" s="52" t="s">
        <v>212</v>
      </c>
      <c r="W10" s="52" t="s">
        <v>210</v>
      </c>
      <c r="X10" s="52" t="s">
        <v>213</v>
      </c>
      <c r="Y10" s="52" t="s">
        <v>211</v>
      </c>
      <c r="AA10" s="52" t="s">
        <v>224</v>
      </c>
      <c r="AB10" s="52" t="s">
        <v>225</v>
      </c>
    </row>
    <row r="11" spans="2:31" ht="15.5">
      <c r="B11" s="1" t="s">
        <v>60</v>
      </c>
      <c r="C11" s="7">
        <v>527</v>
      </c>
      <c r="U11" s="52" t="s">
        <v>206</v>
      </c>
      <c r="V11" s="55">
        <f>4*C5</f>
        <v>160</v>
      </c>
      <c r="W11" s="52">
        <f>$C$5</f>
        <v>40</v>
      </c>
      <c r="X11" s="52">
        <f>W11/SQRT(C20)</f>
        <v>1.7424273674761284</v>
      </c>
      <c r="Y11" s="52">
        <f>TINV($C$4*2,$C$20-1)*X11</f>
        <v>2.8710945679140898</v>
      </c>
      <c r="AA11" s="52">
        <f>V12+4*W12</f>
        <v>328</v>
      </c>
      <c r="AB11" s="52">
        <f>AA11/33</f>
        <v>9.9393939393939394</v>
      </c>
    </row>
    <row r="12" spans="2:31" ht="15.5">
      <c r="B12" s="1" t="s">
        <v>61</v>
      </c>
      <c r="C12" s="1">
        <f>C11*(C3+1)-2</f>
        <v>1052</v>
      </c>
      <c r="U12" s="52" t="s">
        <v>207</v>
      </c>
      <c r="V12" s="55">
        <f>V11+C6</f>
        <v>168</v>
      </c>
      <c r="W12" s="52">
        <f>$C$5</f>
        <v>40</v>
      </c>
      <c r="X12" s="52">
        <f>W12/SQRT(D20)</f>
        <v>1.7424273674761284</v>
      </c>
      <c r="Y12" s="52">
        <f>TINV($C$4*2,$D$20-1)*X12</f>
        <v>2.8710945679140898</v>
      </c>
    </row>
    <row r="13" spans="2:31" ht="15.5">
      <c r="B13" s="1" t="s">
        <v>62</v>
      </c>
      <c r="C13" s="1">
        <f>TINV(C4,C12)</f>
        <v>1.9622215477763136</v>
      </c>
      <c r="Y13" s="52" t="b">
        <v>1</v>
      </c>
      <c r="AC13" s="52" t="b">
        <v>0</v>
      </c>
    </row>
    <row r="14" spans="2:31" ht="13">
      <c r="B14" s="1" t="s">
        <v>4</v>
      </c>
      <c r="C14" s="1">
        <f>SQRT((C3*C11*C6^2)/((C3+1)*C10^2))</f>
        <v>3.246536616149585</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157.1289054320859</v>
      </c>
      <c r="AE16" s="51">
        <v>0</v>
      </c>
    </row>
    <row r="17" spans="2:31">
      <c r="B17" s="1" t="s">
        <v>6</v>
      </c>
      <c r="C17" s="1">
        <f>NCt(C13,C12,C14)</f>
        <v>9.9639668978869542E-2</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157.1289054320859</v>
      </c>
      <c r="AE17" s="51">
        <f>IF(AC13,MAX($V$15:$V$47),0)</f>
        <v>0</v>
      </c>
    </row>
    <row r="18" spans="2:31">
      <c r="B18" s="1" t="s">
        <v>58</v>
      </c>
      <c r="C18" s="1">
        <f>1-C17</f>
        <v>0.90036033102113044</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162.8710945679141</v>
      </c>
      <c r="AE19" s="51">
        <v>0</v>
      </c>
    </row>
    <row r="20" spans="2:31">
      <c r="B20" s="1" t="s">
        <v>11</v>
      </c>
      <c r="C20" s="1">
        <f>CEILING(C11,1)</f>
        <v>527</v>
      </c>
      <c r="D20" s="1">
        <f>C20*C3</f>
        <v>527</v>
      </c>
      <c r="E20" s="1">
        <f>C20+D20</f>
        <v>1054</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162.8710945679141</v>
      </c>
      <c r="AE20" s="51">
        <f>AE17</f>
        <v>0</v>
      </c>
    </row>
    <row r="21" spans="2:31">
      <c r="U21" s="52">
        <f t="shared" si="2"/>
        <v>59.636363636363633</v>
      </c>
      <c r="V21" s="52">
        <f t="shared" si="0"/>
        <v>4.2834287111349645E-4</v>
      </c>
      <c r="W21" s="52">
        <f t="shared" si="1"/>
        <v>2.5419604341562314E-4</v>
      </c>
    </row>
    <row r="22" spans="2:31" ht="13">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165.1289054320859</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165.1289054320859</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170.8710945679141</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170.8710945679141</v>
      </c>
      <c r="AE28" s="51">
        <f>AE25</f>
        <v>0</v>
      </c>
    </row>
    <row r="29" spans="2:31">
      <c r="U29" s="52">
        <f t="shared" si="2"/>
        <v>139.15151515151516</v>
      </c>
      <c r="V29" s="52">
        <f t="shared" si="0"/>
        <v>8.7068167558675656E-3</v>
      </c>
      <c r="W29" s="52">
        <f t="shared" si="1"/>
        <v>7.6895620381677134E-3</v>
      </c>
      <c r="Y29" s="52" t="b">
        <v>1</v>
      </c>
    </row>
    <row r="30" spans="2:31" ht="13">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ht="13">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ht="13">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476250</xdr:colOff>
                    <xdr:row>7</xdr:row>
                    <xdr:rowOff>95250</xdr:rowOff>
                  </from>
                  <to>
                    <xdr:col>13</xdr:col>
                    <xdr:colOff>19050</xdr:colOff>
                    <xdr:row>8</xdr:row>
                    <xdr:rowOff>133350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476250</xdr:colOff>
                    <xdr:row>8</xdr:row>
                    <xdr:rowOff>133350</xdr:rowOff>
                  </from>
                  <to>
                    <xdr:col>13</xdr:col>
                    <xdr:colOff>19050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476250</xdr:colOff>
                    <xdr:row>10</xdr:row>
                    <xdr:rowOff>12700</xdr:rowOff>
                  </from>
                  <to>
                    <xdr:col>13</xdr:col>
                    <xdr:colOff>19050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 thickBot="1">
      <c r="B5" s="8" t="s">
        <v>26</v>
      </c>
      <c r="C5" s="3">
        <v>20</v>
      </c>
      <c r="D5" s="1" t="s">
        <v>117</v>
      </c>
      <c r="U5" s="1" t="s">
        <v>56</v>
      </c>
    </row>
    <row r="6" spans="2:31" ht="16" thickBot="1">
      <c r="B6" s="1" t="s">
        <v>17</v>
      </c>
      <c r="C6" s="3">
        <v>10</v>
      </c>
      <c r="D6" s="1" t="s">
        <v>24</v>
      </c>
      <c r="U6" s="1">
        <v>1</v>
      </c>
    </row>
    <row r="7" spans="2:31" ht="13" thickBot="1">
      <c r="C7" s="4"/>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87</v>
      </c>
      <c r="U11" s="44" t="s">
        <v>206</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44" t="s">
        <v>207</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ht="13">
      <c r="B14" s="1" t="s">
        <v>4</v>
      </c>
      <c r="C14" s="1">
        <f>SQRT((C11*C6^2)/(2*C10^2))</f>
        <v>3.2977264895682299</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ht="13">
      <c r="C19" s="9"/>
      <c r="D19" s="9"/>
      <c r="U19" s="1">
        <f t="shared" si="2"/>
        <v>20.606060606060606</v>
      </c>
      <c r="V19" s="1">
        <f t="shared" si="0"/>
        <v>2.4256984882431001E-4</v>
      </c>
      <c r="W19" s="1">
        <f t="shared" si="1"/>
        <v>4.8494055355597541E-5</v>
      </c>
      <c r="Y19" s="44" t="s">
        <v>216</v>
      </c>
      <c r="Z19" s="1">
        <f>$V$11+$W$11</f>
        <v>100</v>
      </c>
      <c r="AA19" s="1">
        <v>0</v>
      </c>
      <c r="AC19" s="44" t="s">
        <v>216</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83.56580018939232</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86.43419981060768</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86.43419981060768</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93.56580018939232</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93.56580018939232</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125</v>
      </c>
      <c r="U45" s="1">
        <f t="shared" si="2"/>
        <v>154.54545454545459</v>
      </c>
      <c r="V45" s="1">
        <f t="shared" si="0"/>
        <v>1.919325201047218E-5</v>
      </c>
      <c r="W45" s="1">
        <f t="shared" si="1"/>
        <v>1.092015353404756E-4</v>
      </c>
    </row>
    <row r="46" spans="2:27" ht="13">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2300" r:id="rId5" name="Button 12">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2304" r:id="rId6" name="Check Box 16">
              <controlPr defaultSize="0" autoFill="0" autoLine="0" autoPict="0">
                <anchor moveWithCells="1">
                  <from>
                    <xdr:col>10</xdr:col>
                    <xdr:colOff>552450</xdr:colOff>
                    <xdr:row>7</xdr:row>
                    <xdr:rowOff>19050</xdr:rowOff>
                  </from>
                  <to>
                    <xdr:col>12</xdr:col>
                    <xdr:colOff>76200</xdr:colOff>
                    <xdr:row>8</xdr:row>
                    <xdr:rowOff>38100</xdr:rowOff>
                  </to>
                </anchor>
              </controlPr>
            </control>
          </mc:Choice>
        </mc:AlternateContent>
        <mc:AlternateContent xmlns:mc="http://schemas.openxmlformats.org/markup-compatibility/2006">
          <mc:Choice Requires="x14">
            <control shapeId="12305" r:id="rId7" name="Check Box 17">
              <controlPr defaultSize="0" autoFill="0" autoLine="0" autoPict="0">
                <anchor moveWithCells="1">
                  <from>
                    <xdr:col>10</xdr:col>
                    <xdr:colOff>552450</xdr:colOff>
                    <xdr:row>8</xdr:row>
                    <xdr:rowOff>38100</xdr:rowOff>
                  </from>
                  <to>
                    <xdr:col>12</xdr:col>
                    <xdr:colOff>76200</xdr:colOff>
                    <xdr:row>9</xdr:row>
                    <xdr:rowOff>95250</xdr:rowOff>
                  </to>
                </anchor>
              </controlPr>
            </control>
          </mc:Choice>
        </mc:AlternateContent>
        <mc:AlternateContent xmlns:mc="http://schemas.openxmlformats.org/markup-compatibility/2006">
          <mc:Choice Requires="x14">
            <control shapeId="12306" r:id="rId8" name="Check Box 18">
              <controlPr defaultSize="0" autoFill="0" autoLine="0" autoPict="0">
                <anchor moveWithCells="1">
                  <from>
                    <xdr:col>10</xdr:col>
                    <xdr:colOff>552450</xdr:colOff>
                    <xdr:row>9</xdr:row>
                    <xdr:rowOff>95250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E1" s="9" t="s">
        <v>122</v>
      </c>
    </row>
    <row r="2" spans="2:31" ht="13.5" thickBot="1">
      <c r="B2" s="1" t="s">
        <v>1</v>
      </c>
      <c r="C2" s="2">
        <v>0.9</v>
      </c>
      <c r="D2" s="1" t="s">
        <v>21</v>
      </c>
    </row>
    <row r="3" spans="2:31" ht="16"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 thickBot="1">
      <c r="B6" s="1" t="s">
        <v>17</v>
      </c>
      <c r="C6" s="3">
        <v>10</v>
      </c>
      <c r="D6" s="1" t="s">
        <v>28</v>
      </c>
      <c r="U6" s="1">
        <v>2</v>
      </c>
    </row>
    <row r="7" spans="2:31" ht="16" thickBot="1">
      <c r="B7" s="12" t="s">
        <v>5</v>
      </c>
      <c r="C7" s="3">
        <v>0</v>
      </c>
      <c r="D7" s="1" t="s">
        <v>57</v>
      </c>
      <c r="AC7" s="48" t="s">
        <v>231</v>
      </c>
    </row>
    <row r="8" spans="2:31" ht="13" thickBot="1">
      <c r="B8" s="12" t="s">
        <v>118</v>
      </c>
      <c r="C8" s="11">
        <f>C6/C5</f>
        <v>0.2</v>
      </c>
    </row>
    <row r="10" spans="2:31" ht="13" thickBot="1">
      <c r="B10" s="8" t="s">
        <v>18</v>
      </c>
      <c r="C10" s="1">
        <f>C5</f>
        <v>50</v>
      </c>
      <c r="V10" s="44" t="s">
        <v>212</v>
      </c>
      <c r="W10" s="44" t="s">
        <v>210</v>
      </c>
      <c r="X10" s="44" t="s">
        <v>213</v>
      </c>
      <c r="Y10" s="44" t="s">
        <v>211</v>
      </c>
      <c r="AA10" s="44" t="s">
        <v>224</v>
      </c>
      <c r="AB10" s="44" t="s">
        <v>225</v>
      </c>
    </row>
    <row r="11" spans="2:31" ht="13.5" thickBot="1">
      <c r="B11" s="1" t="s">
        <v>16</v>
      </c>
      <c r="C11" s="7">
        <v>651</v>
      </c>
      <c r="U11" s="44" t="s">
        <v>206</v>
      </c>
      <c r="V11" s="30">
        <f>4*C5</f>
        <v>200</v>
      </c>
      <c r="W11" s="1">
        <f>$C$5</f>
        <v>50</v>
      </c>
      <c r="X11" s="1">
        <f>W11/SQRT(C20)</f>
        <v>1.9596545041740514</v>
      </c>
      <c r="Y11" s="1">
        <f>TINV($C$4*2,$C$20-2)*X11</f>
        <v>3.8480284697903908</v>
      </c>
      <c r="AA11" s="1">
        <f>V12+4*W12</f>
        <v>400</v>
      </c>
      <c r="AB11" s="1">
        <f>AA11/33</f>
        <v>12.121212121212121</v>
      </c>
    </row>
    <row r="12" spans="2:31" ht="13.5" thickBot="1">
      <c r="B12" s="1" t="s">
        <v>15</v>
      </c>
      <c r="C12" s="1">
        <f>C11*(C3+1)-2</f>
        <v>1300</v>
      </c>
      <c r="U12" s="44" t="s">
        <v>207</v>
      </c>
      <c r="V12" s="30">
        <f>V11+C7</f>
        <v>200</v>
      </c>
      <c r="W12" s="1">
        <f>$C$5</f>
        <v>50</v>
      </c>
      <c r="X12" s="1">
        <f>W12/SQRT(C20)</f>
        <v>1.9596545041740514</v>
      </c>
      <c r="Y12" s="1">
        <f>TINV($C$4*2,$C$20-2)*X12</f>
        <v>3.8480284697903908</v>
      </c>
    </row>
    <row r="13" spans="2:31">
      <c r="B13" s="1" t="s">
        <v>27</v>
      </c>
      <c r="C13" s="1">
        <f>TINV(C4*2,C12)</f>
        <v>1.9617904798448025</v>
      </c>
      <c r="Y13" s="1" t="b">
        <v>1</v>
      </c>
      <c r="AC13" s="1" t="b">
        <v>0</v>
      </c>
    </row>
    <row r="14" spans="2:31" ht="13">
      <c r="B14" s="1" t="s">
        <v>3</v>
      </c>
      <c r="C14" s="1">
        <f>(C7-C6)*SQRT(C3*C11)/SQRT((C3+1)*C10^2)</f>
        <v>-3.6083237105337429</v>
      </c>
      <c r="U14" s="44" t="s">
        <v>205</v>
      </c>
      <c r="V14" s="44" t="s">
        <v>208</v>
      </c>
      <c r="W14" s="44" t="s">
        <v>209</v>
      </c>
      <c r="Y14" s="9" t="s">
        <v>220</v>
      </c>
      <c r="AC14" s="9" t="s">
        <v>222</v>
      </c>
    </row>
    <row r="15" spans="2:31">
      <c r="B15" s="1" t="s">
        <v>4</v>
      </c>
      <c r="C15" s="1">
        <f>(C7+C6)*SQRT(C3*C11)/SQRT((C3+1)*C10^2)</f>
        <v>3.6083237105337429</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0.95008649124778599</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196.15197153020961</v>
      </c>
      <c r="AE16" s="1">
        <v>0</v>
      </c>
    </row>
    <row r="17" spans="2:31">
      <c r="B17" s="1" t="s">
        <v>6</v>
      </c>
      <c r="C17" s="1">
        <f>NCt(C13,C12,C15)</f>
        <v>4.9913508752214023E-2</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196.15197153020961</v>
      </c>
      <c r="AE17" s="1">
        <f>IF(AC13,MAX($V$15:$V$47),0)</f>
        <v>0</v>
      </c>
    </row>
    <row r="18" spans="2:31">
      <c r="B18" s="1" t="s">
        <v>58</v>
      </c>
      <c r="C18" s="1">
        <f>C16-C17</f>
        <v>0.90017298249557198</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203.84802846979039</v>
      </c>
      <c r="AE19" s="1">
        <v>0</v>
      </c>
    </row>
    <row r="20" spans="2:31">
      <c r="B20" s="1" t="s">
        <v>11</v>
      </c>
      <c r="C20" s="1">
        <f>CEILING(C11,1)</f>
        <v>651</v>
      </c>
      <c r="D20" s="1">
        <f>C20*C3</f>
        <v>651</v>
      </c>
      <c r="E20" s="1">
        <f>C20+D20</f>
        <v>1302</v>
      </c>
      <c r="U20" s="1">
        <f t="shared" si="2"/>
        <v>60.606060606060609</v>
      </c>
      <c r="V20" s="1">
        <f t="shared" si="0"/>
        <v>1.6376213053574513E-4</v>
      </c>
      <c r="W20" s="1">
        <f t="shared" si="1"/>
        <v>1.6376213053574513E-4</v>
      </c>
      <c r="Y20" s="44" t="s">
        <v>218</v>
      </c>
      <c r="Z20" s="1">
        <f>Z19</f>
        <v>250</v>
      </c>
      <c r="AA20" s="1">
        <f>AA17</f>
        <v>7.9204462678126551E-3</v>
      </c>
      <c r="AC20" s="44" t="s">
        <v>218</v>
      </c>
      <c r="AD20" s="1">
        <f>AD19</f>
        <v>203.84802846979039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196.15197153020961</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196.15197153020961</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203.84802846979039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203.84802846979039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5370" r:id="rId5" name="Button 10">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5376" r:id="rId6" name="Check Box 16">
              <controlPr defaultSize="0" autoFill="0" autoLine="0" autoPict="0">
                <anchor moveWithCells="1">
                  <from>
                    <xdr:col>11</xdr:col>
                    <xdr:colOff>323850</xdr:colOff>
                    <xdr:row>8</xdr:row>
                    <xdr:rowOff>114300</xdr:rowOff>
                  </from>
                  <to>
                    <xdr:col>12</xdr:col>
                    <xdr:colOff>476250</xdr:colOff>
                    <xdr:row>9</xdr:row>
                    <xdr:rowOff>171450</xdr:rowOff>
                  </to>
                </anchor>
              </controlPr>
            </control>
          </mc:Choice>
        </mc:AlternateContent>
        <mc:AlternateContent xmlns:mc="http://schemas.openxmlformats.org/markup-compatibility/2006">
          <mc:Choice Requires="x14">
            <control shapeId="15377" r:id="rId7" name="Check Box 17">
              <controlPr defaultSize="0" autoFill="0" autoLine="0" autoPict="0">
                <anchor moveWithCells="1">
                  <from>
                    <xdr:col>11</xdr:col>
                    <xdr:colOff>323850</xdr:colOff>
                    <xdr:row>9</xdr:row>
                    <xdr:rowOff>171450</xdr:rowOff>
                  </from>
                  <to>
                    <xdr:col>12</xdr:col>
                    <xdr:colOff>476250</xdr:colOff>
                    <xdr:row>11</xdr:row>
                    <xdr:rowOff>19050</xdr:rowOff>
                  </to>
                </anchor>
              </controlPr>
            </control>
          </mc:Choice>
        </mc:AlternateContent>
        <mc:AlternateContent xmlns:mc="http://schemas.openxmlformats.org/markup-compatibility/2006">
          <mc:Choice Requires="x14">
            <control shapeId="15378" r:id="rId8" name="Check Box 18">
              <controlPr defaultSize="0" autoFill="0" autoLine="0" autoPict="0">
                <anchor moveWithCells="1">
                  <from>
                    <xdr:col>11</xdr:col>
                    <xdr:colOff>323850</xdr:colOff>
                    <xdr:row>11</xdr:row>
                    <xdr:rowOff>19050</xdr:rowOff>
                  </from>
                  <to>
                    <xdr:col>12</xdr:col>
                    <xdr:colOff>476250</xdr:colOff>
                    <xdr:row>12</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 thickBot="1">
      <c r="B5" s="8" t="s">
        <v>26</v>
      </c>
      <c r="C5" s="3">
        <v>20</v>
      </c>
      <c r="D5" s="1" t="s">
        <v>30</v>
      </c>
      <c r="U5" s="1" t="s">
        <v>56</v>
      </c>
    </row>
    <row r="6" spans="2:31" ht="16" thickBot="1">
      <c r="B6" s="1" t="s">
        <v>17</v>
      </c>
      <c r="C6" s="3">
        <v>10</v>
      </c>
      <c r="D6" s="1" t="s">
        <v>28</v>
      </c>
      <c r="U6" s="1">
        <v>1</v>
      </c>
    </row>
    <row r="7" spans="2:31" ht="16" thickBot="1">
      <c r="B7" s="12" t="s">
        <v>5</v>
      </c>
      <c r="C7" s="3">
        <v>2</v>
      </c>
      <c r="D7" s="1" t="s">
        <v>57</v>
      </c>
      <c r="I7" s="9" t="str">
        <f>IF(C7&gt;=C6,"WARNING: Expected mean difference higher than maximum allowable difference.","")</f>
        <v/>
      </c>
    </row>
    <row r="8" spans="2:31" ht="16" thickBot="1">
      <c r="B8" s="12" t="s">
        <v>119</v>
      </c>
      <c r="C8" s="11">
        <f>C6/C10</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135</v>
      </c>
      <c r="U11" s="44" t="s">
        <v>206</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44" t="s">
        <v>207</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ht="13">
      <c r="B14" s="1" t="s">
        <v>3</v>
      </c>
      <c r="C14" s="1">
        <f>(C7-C6)*SQRT(C11)/SQRT(2*C10^2)</f>
        <v>-3.2863353450309964</v>
      </c>
      <c r="U14" s="44" t="s">
        <v>205</v>
      </c>
      <c r="V14" s="44" t="s">
        <v>208</v>
      </c>
      <c r="W14" s="44" t="s">
        <v>209</v>
      </c>
      <c r="Y14" s="9" t="s">
        <v>220</v>
      </c>
      <c r="AC14" s="9" t="s">
        <v>222</v>
      </c>
    </row>
    <row r="15" spans="2:31">
      <c r="B15" s="1" t="s">
        <v>4</v>
      </c>
      <c r="C15" s="1">
        <f>(C7+C6)*SQRT(C11)/SQRT(2*C10^2)</f>
        <v>4.9295030175464944</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ht="13">
      <c r="C19" s="9"/>
      <c r="D19" s="9"/>
      <c r="U19" s="1">
        <f t="shared" si="2"/>
        <v>19.636363636363637</v>
      </c>
      <c r="V19" s="1">
        <f t="shared" si="0"/>
        <v>2.0979461060970466E-4</v>
      </c>
      <c r="W19" s="1">
        <f t="shared" si="1"/>
        <v>1.5436359491898969E-4</v>
      </c>
      <c r="Y19" s="44" t="s">
        <v>216</v>
      </c>
      <c r="Z19" s="1">
        <f>$V$11+$W$11</f>
        <v>100</v>
      </c>
      <c r="AA19" s="1">
        <v>0</v>
      </c>
      <c r="AC19" s="44" t="s">
        <v>216</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44" t="s">
        <v>218</v>
      </c>
      <c r="Z20" s="1">
        <f>Z19</f>
        <v>100</v>
      </c>
      <c r="AA20" s="1">
        <f>AA17</f>
        <v>1.9894431016018829E-2</v>
      </c>
      <c r="AC20" s="44" t="s">
        <v>218</v>
      </c>
      <c r="AD20" s="1">
        <f>AD19</f>
        <v>83.404716015806656</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78.595283984193344</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78.595283984193344</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85.404716015806656</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85.404716015806656</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361950</xdr:colOff>
                    <xdr:row>7</xdr:row>
                    <xdr:rowOff>209550</xdr:rowOff>
                  </from>
                  <to>
                    <xdr:col>11</xdr:col>
                    <xdr:colOff>514350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361950</xdr:colOff>
                    <xdr:row>9</xdr:row>
                    <xdr:rowOff>38100</xdr:rowOff>
                  </from>
                  <to>
                    <xdr:col>11</xdr:col>
                    <xdr:colOff>514350</xdr:colOff>
                    <xdr:row>10</xdr:row>
                    <xdr:rowOff>57150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361950</xdr:colOff>
                    <xdr:row>10</xdr:row>
                    <xdr:rowOff>57150</xdr:rowOff>
                  </from>
                  <to>
                    <xdr:col>11</xdr:col>
                    <xdr:colOff>514350</xdr:colOff>
                    <xdr:row>11</xdr:row>
                    <xdr:rowOff>95250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F1" s="9" t="s">
        <v>122</v>
      </c>
    </row>
    <row r="2" spans="2:31" ht="13.5" thickBot="1">
      <c r="B2" s="1" t="s">
        <v>1</v>
      </c>
      <c r="C2" s="2">
        <v>0.9</v>
      </c>
      <c r="D2" s="1" t="s">
        <v>21</v>
      </c>
      <c r="N2" s="44"/>
    </row>
    <row r="3" spans="2:31" ht="16"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3" thickBot="1">
      <c r="B8" s="12" t="s">
        <v>118</v>
      </c>
      <c r="C8" s="11">
        <f>C6/C5</f>
        <v>0.25</v>
      </c>
    </row>
    <row r="10" spans="2:31" ht="13" thickBot="1">
      <c r="B10" s="8" t="s">
        <v>18</v>
      </c>
      <c r="C10" s="1">
        <f>C5</f>
        <v>40</v>
      </c>
      <c r="V10" s="44" t="s">
        <v>212</v>
      </c>
      <c r="W10" s="44" t="s">
        <v>210</v>
      </c>
      <c r="X10" s="44" t="s">
        <v>213</v>
      </c>
      <c r="Y10" s="44" t="s">
        <v>211</v>
      </c>
      <c r="AA10" s="44" t="s">
        <v>224</v>
      </c>
      <c r="AB10" s="44" t="s">
        <v>225</v>
      </c>
    </row>
    <row r="11" spans="2:31" ht="13.5" thickBot="1">
      <c r="B11" s="1" t="s">
        <v>16</v>
      </c>
      <c r="C11" s="7">
        <v>235</v>
      </c>
      <c r="U11" s="44" t="s">
        <v>206</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44" t="s">
        <v>207</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ht="13">
      <c r="B14" s="1" t="s">
        <v>4</v>
      </c>
      <c r="C14" s="1">
        <f>ABS((C7-C6)*SQRT(C3*C11)/SQRT((C3+1)*C10^2))</f>
        <v>3.2519225083018197</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44" t="s">
        <v>218</v>
      </c>
      <c r="Z20" s="1">
        <f>Z19</f>
        <v>200</v>
      </c>
      <c r="AA20" s="1">
        <f>AA17</f>
        <v>9.928222971854481E-3</v>
      </c>
      <c r="AC20" s="44" t="s">
        <v>218</v>
      </c>
      <c r="AD20" s="1">
        <f>AD19</f>
        <v>165.14086081308906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152.85913918691094</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152.85913918691094</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163.14086081308906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163.14086081308906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590550</xdr:colOff>
                    <xdr:row>7</xdr:row>
                    <xdr:rowOff>171450</xdr:rowOff>
                  </from>
                  <to>
                    <xdr:col>13</xdr:col>
                    <xdr:colOff>133350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590550</xdr:colOff>
                    <xdr:row>9</xdr:row>
                    <xdr:rowOff>38100</xdr:rowOff>
                  </from>
                  <to>
                    <xdr:col>13</xdr:col>
                    <xdr:colOff>133350</xdr:colOff>
                    <xdr:row>10</xdr:row>
                    <xdr:rowOff>95250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590550</xdr:colOff>
                    <xdr:row>10</xdr:row>
                    <xdr:rowOff>95250</xdr:rowOff>
                  </from>
                  <to>
                    <xdr:col>13</xdr:col>
                    <xdr:colOff>133350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 thickBot="1">
      <c r="B5" s="8" t="s">
        <v>26</v>
      </c>
      <c r="C5" s="3">
        <v>20</v>
      </c>
      <c r="D5" s="1" t="s">
        <v>30</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16</v>
      </c>
      <c r="C11" s="7">
        <v>61</v>
      </c>
      <c r="U11" s="44" t="s">
        <v>206</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44" t="s">
        <v>207</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ht="13">
      <c r="B14" s="1" t="s">
        <v>4</v>
      </c>
      <c r="C14" s="1">
        <f>ABS((C7-C6)*SQRT(C11)/SQRT(2*C10^2))</f>
        <v>3.313608305156178</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ht="13">
      <c r="C19" s="9"/>
      <c r="D19" s="9"/>
      <c r="U19" s="1">
        <f t="shared" si="2"/>
        <v>19.151515151515152</v>
      </c>
      <c r="V19" s="1">
        <f t="shared" si="0"/>
        <v>1.9493518442765021E-4</v>
      </c>
      <c r="W19" s="1">
        <f t="shared" si="1"/>
        <v>2.6293570641790979E-4</v>
      </c>
      <c r="Y19" s="44" t="s">
        <v>216</v>
      </c>
      <c r="Z19" s="1">
        <f>$V$11+$W$11</f>
        <v>100</v>
      </c>
      <c r="AA19" s="1">
        <v>0</v>
      </c>
      <c r="AC19" s="44" t="s">
        <v>216</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44" t="s">
        <v>218</v>
      </c>
      <c r="Z20" s="1">
        <f>Z19</f>
        <v>100</v>
      </c>
      <c r="AA20" s="1">
        <f>AA17</f>
        <v>1.9898724584214315E-2</v>
      </c>
      <c r="AC20" s="44" t="s">
        <v>218</v>
      </c>
      <c r="AD20" s="1">
        <f>AD19</f>
        <v>85.124024099411344</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72.875975900588656</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72.875975900588656</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83.124024099411344</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83.124024099411344</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476250</xdr:colOff>
                    <xdr:row>8</xdr:row>
                    <xdr:rowOff>57150</xdr:rowOff>
                  </from>
                  <to>
                    <xdr:col>12</xdr:col>
                    <xdr:colOff>19050</xdr:colOff>
                    <xdr:row>9</xdr:row>
                    <xdr:rowOff>95250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476250</xdr:colOff>
                    <xdr:row>9</xdr:row>
                    <xdr:rowOff>95250</xdr:rowOff>
                  </from>
                  <to>
                    <xdr:col>12</xdr:col>
                    <xdr:colOff>19050</xdr:colOff>
                    <xdr:row>10</xdr:row>
                    <xdr:rowOff>95250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476250</xdr:colOff>
                    <xdr:row>10</xdr:row>
                    <xdr:rowOff>95250</xdr:rowOff>
                  </from>
                  <to>
                    <xdr:col>12</xdr:col>
                    <xdr:colOff>19050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A6523-912A-436C-94CD-36FF3F7393FD}">
  <sheetPr codeName="Sheet9"/>
  <dimension ref="B1:AE70"/>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75</v>
      </c>
      <c r="G1" s="9" t="s">
        <v>122</v>
      </c>
    </row>
    <row r="2" spans="2:31" ht="13.5" thickBot="1">
      <c r="B2" s="1" t="s">
        <v>1</v>
      </c>
      <c r="C2" s="2">
        <v>0.9</v>
      </c>
    </row>
    <row r="3" spans="2:31" ht="13.5" thickBot="1">
      <c r="B3" s="1" t="s">
        <v>234</v>
      </c>
      <c r="C3" s="49">
        <v>1</v>
      </c>
      <c r="D3" s="1" t="s">
        <v>235</v>
      </c>
    </row>
    <row r="4" spans="2:31" ht="13.5" thickBot="1">
      <c r="B4" s="8" t="s">
        <v>59</v>
      </c>
      <c r="C4" s="2">
        <v>0.05</v>
      </c>
    </row>
    <row r="5" spans="2:31" ht="13.5" thickBot="1">
      <c r="B5" s="44" t="s">
        <v>238</v>
      </c>
      <c r="C5" s="43">
        <v>0.8</v>
      </c>
      <c r="D5" s="44" t="s">
        <v>243</v>
      </c>
      <c r="U5" s="1" t="s">
        <v>56</v>
      </c>
    </row>
    <row r="6" spans="2:31" ht="16"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4" t="s">
        <v>212</v>
      </c>
      <c r="W10" s="44" t="s">
        <v>210</v>
      </c>
      <c r="X10" s="44" t="s">
        <v>213</v>
      </c>
      <c r="Y10" s="44" t="s">
        <v>211</v>
      </c>
      <c r="AA10" s="44" t="s">
        <v>224</v>
      </c>
      <c r="AB10" s="44" t="s">
        <v>225</v>
      </c>
    </row>
    <row r="11" spans="2:31" ht="16" thickBot="1">
      <c r="B11" s="1" t="s">
        <v>35</v>
      </c>
      <c r="C11" s="7">
        <v>216</v>
      </c>
      <c r="U11" s="44" t="s">
        <v>206</v>
      </c>
      <c r="V11" s="45">
        <f>C6</f>
        <v>1</v>
      </c>
      <c r="W11" s="1">
        <f>$C$10</f>
        <v>0.70334645931866824</v>
      </c>
      <c r="X11" s="1">
        <f>W11/SQRT(C20)</f>
        <v>4.7856664936776212E-2</v>
      </c>
      <c r="Y11" s="1">
        <f>TINV($C$4*2,$C$20-2)*X11</f>
        <v>7.9059457202799208E-2</v>
      </c>
      <c r="AA11" s="46">
        <f>V11+4*W11</f>
        <v>3.813385837274673</v>
      </c>
      <c r="AB11" s="1">
        <f>AA11/33</f>
        <v>0.11555714658408101</v>
      </c>
    </row>
    <row r="12" spans="2:31" ht="15.5">
      <c r="B12" s="1" t="s">
        <v>36</v>
      </c>
      <c r="C12" s="1">
        <f>C11*(C3+1)-2</f>
        <v>430</v>
      </c>
      <c r="U12" s="44"/>
    </row>
    <row r="13" spans="2:31" ht="15.5">
      <c r="B13" s="1" t="s">
        <v>37</v>
      </c>
      <c r="C13" s="1">
        <f>TINV(C4*2,C12)</f>
        <v>1.6484049694330176</v>
      </c>
      <c r="Y13" s="1" t="b">
        <v>0</v>
      </c>
      <c r="AC13" s="1" t="b">
        <v>1</v>
      </c>
    </row>
    <row r="14" spans="2:31" ht="13">
      <c r="B14" s="1" t="s">
        <v>3</v>
      </c>
      <c r="C14" s="1">
        <f>SQRT(C3*C11)*(LN(C6)-LN(C8))/SQRT((C3+1)*C10^2)</f>
        <v>-3.2970604725753181</v>
      </c>
      <c r="U14" s="44" t="s">
        <v>205</v>
      </c>
      <c r="V14" s="44" t="s">
        <v>227</v>
      </c>
      <c r="W14" s="44"/>
      <c r="Y14" s="9" t="s">
        <v>220</v>
      </c>
      <c r="AC14" s="9" t="s">
        <v>222</v>
      </c>
    </row>
    <row r="15" spans="2:31">
      <c r="B15" s="1" t="s">
        <v>4</v>
      </c>
      <c r="C15" s="1">
        <f>SQRT(C3*C11)*(LN(C6)-LN(C7))/SQRT((C3+1)*C10^2)</f>
        <v>3.2970604725753176</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0.95022236556488759</v>
      </c>
      <c r="U16" s="1">
        <f>U15+$AB$11</f>
        <v>0.11555714658408101</v>
      </c>
      <c r="V16" s="1">
        <f t="shared" ref="V16:V47" si="0">_xlfn.NORM.DIST($U16,$V$11,$C$5,FALSE)</f>
        <v>0.27065256559820106</v>
      </c>
      <c r="Y16" s="44" t="s">
        <v>216</v>
      </c>
      <c r="Z16" s="1">
        <f>$V$11-$W$11</f>
        <v>0.29665354068133176</v>
      </c>
      <c r="AA16" s="1">
        <v>0</v>
      </c>
      <c r="AC16" s="44" t="s">
        <v>216</v>
      </c>
      <c r="AD16" s="1">
        <f>$V$11-$Y$11</f>
        <v>0.92094054279720083</v>
      </c>
      <c r="AE16" s="1">
        <v>0</v>
      </c>
    </row>
    <row r="17" spans="2:31" ht="13.5" thickBot="1">
      <c r="B17" s="1" t="s">
        <v>6</v>
      </c>
      <c r="C17" s="1">
        <f>NCt(C13,C12,C15)</f>
        <v>4.9777634435112433E-2</v>
      </c>
      <c r="N17" s="57" t="s">
        <v>242</v>
      </c>
      <c r="O17" s="58"/>
      <c r="P17" s="59"/>
      <c r="U17" s="1">
        <f t="shared" ref="U17:U47" si="1">U16+$AB$11</f>
        <v>0.23111429316816201</v>
      </c>
      <c r="V17" s="1">
        <f t="shared" si="0"/>
        <v>0.314221086732277</v>
      </c>
      <c r="Y17" s="44" t="s">
        <v>218</v>
      </c>
      <c r="Z17" s="1">
        <f>Z16</f>
        <v>0.29665354068133176</v>
      </c>
      <c r="AA17" s="1">
        <f>IF(Y13,MAX($V$15:$V$47),0)</f>
        <v>0</v>
      </c>
      <c r="AC17" s="44" t="s">
        <v>218</v>
      </c>
      <c r="AD17" s="1">
        <f>AD16</f>
        <v>0.92094054279720083</v>
      </c>
      <c r="AE17" s="1">
        <f>IF(AC13,MAX($V$15:$V$47),0)</f>
        <v>0.49805444680287991</v>
      </c>
    </row>
    <row r="18" spans="2:31" ht="13.5" thickBot="1">
      <c r="B18" s="1" t="s">
        <v>58</v>
      </c>
      <c r="C18" s="1">
        <f>C16-C17</f>
        <v>0.90044473112977519</v>
      </c>
      <c r="E18" s="5"/>
      <c r="N18" s="60" t="s">
        <v>239</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5" thickBot="1">
      <c r="C19" s="16" t="s">
        <v>63</v>
      </c>
      <c r="D19" s="16" t="s">
        <v>64</v>
      </c>
      <c r="E19" s="16" t="s">
        <v>66</v>
      </c>
      <c r="N19" s="60" t="s">
        <v>240</v>
      </c>
      <c r="O19" s="65">
        <v>0.2</v>
      </c>
      <c r="P19" s="61"/>
      <c r="U19" s="1">
        <f t="shared" si="1"/>
        <v>0.46222858633632402</v>
      </c>
      <c r="V19" s="1">
        <f t="shared" si="0"/>
        <v>0.39782980438758542</v>
      </c>
      <c r="Y19" s="44" t="s">
        <v>216</v>
      </c>
      <c r="Z19" s="1">
        <f>$V$11+$W$11</f>
        <v>1.7033464593186682</v>
      </c>
      <c r="AA19" s="1">
        <v>0</v>
      </c>
      <c r="AC19" s="44" t="s">
        <v>216</v>
      </c>
      <c r="AD19" s="1">
        <f>$V$11+$Y$11</f>
        <v>1.0790594572027992</v>
      </c>
      <c r="AE19" s="1">
        <v>0</v>
      </c>
    </row>
    <row r="20" spans="2:31" ht="13">
      <c r="B20" s="1" t="s">
        <v>11</v>
      </c>
      <c r="C20" s="1">
        <f>CEILING(C11,1)</f>
        <v>216</v>
      </c>
      <c r="D20" s="1">
        <f>C20*C3</f>
        <v>216</v>
      </c>
      <c r="E20" s="1">
        <f>C20+D20</f>
        <v>432</v>
      </c>
      <c r="N20" s="62" t="s">
        <v>241</v>
      </c>
      <c r="O20" s="63">
        <f>SQRT(O18^2+O19^2+O18^2*O19^2)</f>
        <v>0.36551333764994132</v>
      </c>
      <c r="P20" s="64"/>
      <c r="U20" s="1">
        <f t="shared" si="1"/>
        <v>0.57778573292040503</v>
      </c>
      <c r="V20" s="1">
        <f t="shared" si="0"/>
        <v>0.4338465299206547</v>
      </c>
      <c r="Y20" s="44" t="s">
        <v>218</v>
      </c>
      <c r="Z20" s="1">
        <f>Z19</f>
        <v>1.7033464593186682</v>
      </c>
      <c r="AA20" s="1">
        <f>AA17</f>
        <v>0</v>
      </c>
      <c r="AC20" s="44" t="s">
        <v>218</v>
      </c>
      <c r="AD20" s="1">
        <f>AD19</f>
        <v>1.0790594572027992</v>
      </c>
      <c r="AE20" s="1">
        <f>AE17</f>
        <v>0.49805444680287991</v>
      </c>
    </row>
    <row r="21" spans="2:31">
      <c r="U21" s="1">
        <f t="shared" si="1"/>
        <v>0.69334287950448603</v>
      </c>
      <c r="V21" s="1">
        <f t="shared" si="0"/>
        <v>0.46335460617253399</v>
      </c>
    </row>
    <row r="22" spans="2:31" ht="13">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ht="13">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ht="13">
      <c r="B59" s="9" t="s">
        <v>125</v>
      </c>
    </row>
    <row r="61" spans="2:2" ht="13">
      <c r="B61" s="9" t="s">
        <v>237</v>
      </c>
    </row>
    <row r="67" spans="2:7" ht="13">
      <c r="B67" s="9"/>
      <c r="G67" s="6"/>
    </row>
    <row r="68" spans="2:7">
      <c r="G68" s="6"/>
    </row>
    <row r="69" spans="2:7">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5"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45059"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45060" r:id="rId7" name="Button 4">
              <controlPr defaultSize="0" print="0" autoFill="0" autoPict="0" macro="[0]!Power_Calculator_parallel">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45061" r:id="rId8" name="Check Box 5">
              <controlPr defaultSize="0" autoFill="0" autoLine="0" autoPict="0">
                <anchor moveWithCells="1">
                  <from>
                    <xdr:col>11</xdr:col>
                    <xdr:colOff>165100</xdr:colOff>
                    <xdr:row>6</xdr:row>
                    <xdr:rowOff>57150</xdr:rowOff>
                  </from>
                  <to>
                    <xdr:col>12</xdr:col>
                    <xdr:colOff>317500</xdr:colOff>
                    <xdr:row>7</xdr:row>
                    <xdr:rowOff>95250</xdr:rowOff>
                  </to>
                </anchor>
              </controlPr>
            </control>
          </mc:Choice>
        </mc:AlternateContent>
        <mc:AlternateContent xmlns:mc="http://schemas.openxmlformats.org/markup-compatibility/2006">
          <mc:Choice Requires="x14">
            <control shapeId="45062" r:id="rId9" name="Check Box 6">
              <controlPr defaultSize="0" autoFill="0" autoLine="0" autoPict="0">
                <anchor moveWithCells="1">
                  <from>
                    <xdr:col>11</xdr:col>
                    <xdr:colOff>165100</xdr:colOff>
                    <xdr:row>7</xdr:row>
                    <xdr:rowOff>95250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10" name="Check Box 7">
              <controlPr defaultSize="0" autoFill="0" autoLine="0" autoPict="0">
                <anchor moveWithCells="1">
                  <from>
                    <xdr:col>11</xdr:col>
                    <xdr:colOff>165100</xdr:colOff>
                    <xdr:row>8</xdr:row>
                    <xdr:rowOff>152400</xdr:rowOff>
                  </from>
                  <to>
                    <xdr:col>12</xdr:col>
                    <xdr:colOff>317500</xdr:colOff>
                    <xdr:row>10</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AE70"/>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 thickBot="1">
      <c r="B5" s="1" t="s">
        <v>120</v>
      </c>
      <c r="C5" s="43">
        <v>0.25</v>
      </c>
      <c r="D5" s="1" t="s">
        <v>127</v>
      </c>
      <c r="U5" s="1" t="s">
        <v>56</v>
      </c>
    </row>
    <row r="6" spans="2:31" ht="16"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4" t="s">
        <v>212</v>
      </c>
      <c r="W10" s="44" t="s">
        <v>210</v>
      </c>
      <c r="X10" s="44" t="s">
        <v>213</v>
      </c>
      <c r="Y10" s="44" t="s">
        <v>211</v>
      </c>
      <c r="AA10" s="44" t="s">
        <v>224</v>
      </c>
      <c r="AB10" s="44" t="s">
        <v>225</v>
      </c>
    </row>
    <row r="11" spans="2:31" ht="13.5" thickBot="1">
      <c r="B11" s="1" t="s">
        <v>0</v>
      </c>
      <c r="C11" s="7">
        <v>109</v>
      </c>
      <c r="U11" s="44" t="s">
        <v>206</v>
      </c>
      <c r="V11" s="45">
        <f>C6</f>
        <v>0.95</v>
      </c>
      <c r="W11" s="1">
        <f>$C$10</f>
        <v>0.24622067706923975</v>
      </c>
      <c r="X11" s="1">
        <f>W11/SQRT(C20)</f>
        <v>2.3583663646186664E-2</v>
      </c>
      <c r="Y11" s="1">
        <f>TINV($C$4*2,$C$20-2)*X11</f>
        <v>3.9130470166661116E-2</v>
      </c>
      <c r="AA11" s="46">
        <f>V11+4*W11</f>
        <v>1.9348827082769589</v>
      </c>
      <c r="AB11" s="1">
        <f>AA11/33</f>
        <v>5.8632809341726023E-2</v>
      </c>
    </row>
    <row r="12" spans="2:31">
      <c r="B12" s="1" t="s">
        <v>2</v>
      </c>
      <c r="C12" s="1">
        <f>C11-2</f>
        <v>107</v>
      </c>
      <c r="U12" s="44"/>
    </row>
    <row r="13" spans="2:31">
      <c r="B13" s="1" t="s">
        <v>8</v>
      </c>
      <c r="C13" s="1">
        <f>TINV(C4*2,C12)</f>
        <v>1.6592193118810985</v>
      </c>
      <c r="Y13" s="1" t="b">
        <v>0</v>
      </c>
      <c r="AC13" s="1" t="b">
        <v>1</v>
      </c>
    </row>
    <row r="14" spans="2:31" ht="13">
      <c r="B14" s="1" t="s">
        <v>3</v>
      </c>
      <c r="C14" s="1">
        <f>(SQRT(C11)*(LN(C6)-LN(C8)))/(SQRT(2*C10^2))</f>
        <v>-8.2284142750033951</v>
      </c>
      <c r="U14" s="44" t="s">
        <v>205</v>
      </c>
      <c r="V14" s="44" t="s">
        <v>227</v>
      </c>
      <c r="W14" s="44"/>
      <c r="Y14" s="9" t="s">
        <v>220</v>
      </c>
      <c r="AC14" s="9" t="s">
        <v>222</v>
      </c>
    </row>
    <row r="15" spans="2:31">
      <c r="B15" s="1" t="s">
        <v>4</v>
      </c>
      <c r="C15" s="1">
        <f>(SQRT(C11)*(LN(C6)-LN(C7)))/(SQRT(2*C10^2))</f>
        <v>5.1525701792791478</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0.9999999999673217</v>
      </c>
      <c r="U16" s="1">
        <f>U15+$AB$11</f>
        <v>5.8632809341726023E-2</v>
      </c>
      <c r="V16" s="1">
        <f t="shared" ref="V16:V47" si="0">_xlfn.NORM.DIST($U16,$V$11,$C$5,FALSE)</f>
        <v>2.7699447059280034E-3</v>
      </c>
      <c r="Y16" s="44" t="s">
        <v>216</v>
      </c>
      <c r="Z16" s="1">
        <f>$V$11-$W$11</f>
        <v>0.70377932293076018</v>
      </c>
      <c r="AA16" s="1">
        <v>0</v>
      </c>
      <c r="AC16" s="44" t="s">
        <v>216</v>
      </c>
      <c r="AD16" s="1">
        <f>$V$11-$Y$11</f>
        <v>0.9108695298333388</v>
      </c>
      <c r="AE16" s="1">
        <v>0</v>
      </c>
    </row>
    <row r="17" spans="2:31">
      <c r="B17" s="1" t="s">
        <v>6</v>
      </c>
      <c r="C17" s="1">
        <f>NCt(C13,C12,C15)</f>
        <v>2.5560413901991091E-4</v>
      </c>
      <c r="U17" s="1">
        <f t="shared" ref="U17:U47" si="1">U16+$AB$11</f>
        <v>0.11726561868345205</v>
      </c>
      <c r="V17" s="1">
        <f t="shared" si="0"/>
        <v>6.2185621117606723E-3</v>
      </c>
      <c r="Y17" s="44" t="s">
        <v>218</v>
      </c>
      <c r="Z17" s="1">
        <f>Z16</f>
        <v>0.70377932293076018</v>
      </c>
      <c r="AA17" s="1">
        <f>IF(Y13,MAX($V$15:$V$47),0)</f>
        <v>0</v>
      </c>
      <c r="AC17" s="44" t="s">
        <v>218</v>
      </c>
      <c r="AD17" s="1">
        <f>AD16</f>
        <v>0.9108695298333388</v>
      </c>
      <c r="AE17" s="1">
        <f>IF(AC13,MAX($V$15:$V$47),0)</f>
        <v>1.5939698943202625</v>
      </c>
    </row>
    <row r="18" spans="2:31">
      <c r="B18" s="1" t="s">
        <v>58</v>
      </c>
      <c r="C18" s="1">
        <f>C16-C17</f>
        <v>0.99974439582830177</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0.98913047016666111</v>
      </c>
      <c r="AE19" s="1">
        <v>0</v>
      </c>
    </row>
    <row r="20" spans="2:31">
      <c r="B20" s="1" t="s">
        <v>11</v>
      </c>
      <c r="C20" s="1">
        <f>CEILING(C11,1)</f>
        <v>109</v>
      </c>
      <c r="U20" s="1">
        <f t="shared" si="1"/>
        <v>0.29316404670863011</v>
      </c>
      <c r="V20" s="1">
        <f t="shared" si="0"/>
        <v>5.0584406183643189E-2</v>
      </c>
      <c r="Y20" s="44" t="s">
        <v>218</v>
      </c>
      <c r="Z20" s="1">
        <f>Z19</f>
        <v>1.1962206770692396</v>
      </c>
      <c r="AA20" s="1">
        <f>AA17</f>
        <v>0</v>
      </c>
      <c r="AC20" s="44" t="s">
        <v>218</v>
      </c>
      <c r="AD20" s="1">
        <f>AD19</f>
        <v>0.98913047016666111</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ht="13">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ht="13">
      <c r="B67" s="9" t="s">
        <v>125</v>
      </c>
      <c r="G67" s="6"/>
    </row>
    <row r="68" spans="2:7">
      <c r="G68" s="6"/>
    </row>
    <row r="69" spans="2:7" ht="13">
      <c r="B69" s="9" t="s">
        <v>237</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57150</xdr:rowOff>
                  </from>
                  <to>
                    <xdr:col>11</xdr:col>
                    <xdr:colOff>508000</xdr:colOff>
                    <xdr:row>7</xdr:row>
                    <xdr:rowOff>95250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95250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8BFAF-1601-42E5-9296-16081ABAA8BE}">
  <sheetPr codeName="Sheet6"/>
  <dimension ref="B1:AH70"/>
  <sheetViews>
    <sheetView zoomScale="95" zoomScaleNormal="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2"/>
    <col min="27" max="27" width="20.453125" style="52" bestFit="1" customWidth="1"/>
    <col min="28" max="34" width="9.1796875" style="52"/>
    <col min="35" max="16384" width="9.1796875" style="1"/>
  </cols>
  <sheetData>
    <row r="1" spans="2:31" ht="25.5" thickBot="1">
      <c r="B1" s="17" t="s">
        <v>76</v>
      </c>
      <c r="G1" s="9" t="s">
        <v>122</v>
      </c>
      <c r="Z1" s="52" t="s">
        <v>33</v>
      </c>
    </row>
    <row r="2" spans="2:31" ht="13.5" thickBot="1">
      <c r="B2" s="1" t="s">
        <v>1</v>
      </c>
      <c r="C2" s="2">
        <v>0.8</v>
      </c>
      <c r="Y2" s="52" t="s">
        <v>32</v>
      </c>
      <c r="Z2" s="52">
        <f>(2*G9+1)/(G9+1)</f>
        <v>1</v>
      </c>
    </row>
    <row r="3" spans="2:31" ht="13.5" thickBot="1">
      <c r="C3" s="14"/>
      <c r="Y3" s="52" t="s">
        <v>236</v>
      </c>
      <c r="Z3" s="52">
        <v>0.75</v>
      </c>
    </row>
    <row r="4" spans="2:31" ht="13.5" thickBot="1">
      <c r="B4" s="8" t="s">
        <v>59</v>
      </c>
      <c r="C4" s="2">
        <v>0.05</v>
      </c>
      <c r="Y4" s="52" t="s">
        <v>31</v>
      </c>
      <c r="Z4" s="52">
        <v>0.5</v>
      </c>
    </row>
    <row r="5" spans="2:31" ht="16" thickBot="1">
      <c r="B5" s="1" t="s">
        <v>120</v>
      </c>
      <c r="C5" s="43">
        <v>0.3</v>
      </c>
      <c r="D5" s="1" t="s">
        <v>127</v>
      </c>
      <c r="U5" s="52" t="s">
        <v>56</v>
      </c>
      <c r="Y5" s="52">
        <v>3</v>
      </c>
    </row>
    <row r="6" spans="2:31" ht="16"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5">
      <c r="B10" s="8" t="s">
        <v>26</v>
      </c>
      <c r="C10" s="1">
        <f>SQRT(LN((C5)^2+1))</f>
        <v>0.29356037920852401</v>
      </c>
      <c r="V10" s="52" t="s">
        <v>212</v>
      </c>
      <c r="W10" s="52" t="s">
        <v>210</v>
      </c>
      <c r="X10" s="52" t="s">
        <v>213</v>
      </c>
      <c r="Y10" s="52" t="s">
        <v>211</v>
      </c>
      <c r="AA10" s="52" t="s">
        <v>224</v>
      </c>
      <c r="AB10" s="52" t="s">
        <v>225</v>
      </c>
    </row>
    <row r="11" spans="2:31" ht="13">
      <c r="B11" s="1" t="s">
        <v>0</v>
      </c>
      <c r="C11" s="7">
        <v>79</v>
      </c>
      <c r="U11" s="52" t="s">
        <v>206</v>
      </c>
      <c r="V11" s="53">
        <f>C6</f>
        <v>0.9</v>
      </c>
      <c r="W11" s="52">
        <f>$C$10</f>
        <v>0.29356037920852401</v>
      </c>
      <c r="X11" s="52">
        <f>W11/SQRT(C11)</f>
        <v>3.3028123083876586E-2</v>
      </c>
      <c r="Y11" s="52">
        <f>TINV($C$4*2,$C$11-2)*X11</f>
        <v>5.4988011417007022E-2</v>
      </c>
      <c r="AA11" s="54">
        <f>V11+4*W11</f>
        <v>2.0742415168340962</v>
      </c>
      <c r="AB11" s="52">
        <f>AA11/33</f>
        <v>6.2855803540427163E-2</v>
      </c>
    </row>
    <row r="12" spans="2:31">
      <c r="B12" s="1" t="s">
        <v>2</v>
      </c>
      <c r="C12" s="1">
        <f>C11-2</f>
        <v>77</v>
      </c>
    </row>
    <row r="13" spans="2:31">
      <c r="B13" s="1" t="s">
        <v>8</v>
      </c>
      <c r="C13" s="1">
        <f>TINV(C4*2,C12)</f>
        <v>1.6648845372582084</v>
      </c>
      <c r="Y13" s="52" t="b">
        <v>0</v>
      </c>
      <c r="AC13" s="52" t="b">
        <v>1</v>
      </c>
    </row>
    <row r="14" spans="2:31" ht="13">
      <c r="B14" s="1" t="s">
        <v>3</v>
      </c>
      <c r="C14" s="1">
        <f>(SQRT(C11)*(LN(C6)-LN(C8)))/(SQRT(2*C10^2))</f>
        <v>-7.0330200966425114</v>
      </c>
      <c r="U14" s="52" t="s">
        <v>205</v>
      </c>
      <c r="V14" s="52" t="s">
        <v>227</v>
      </c>
      <c r="Y14" s="55" t="s">
        <v>220</v>
      </c>
      <c r="AC14" s="55" t="s">
        <v>222</v>
      </c>
    </row>
    <row r="15" spans="2:31">
      <c r="B15" s="1" t="s">
        <v>4</v>
      </c>
      <c r="C15" s="1">
        <f>(SQRT(C11)*(LN(C6)-LN(C7)))/(SQRT(2*C10^2))</f>
        <v>2.5216444485767089</v>
      </c>
      <c r="U15" s="52">
        <v>0</v>
      </c>
      <c r="V15" s="52">
        <f>_xlfn.NORM.DIST($U15,$V$11,$C$5,FALSE)</f>
        <v>1.477282803979336E-2</v>
      </c>
      <c r="Y15" s="52" t="s">
        <v>217</v>
      </c>
      <c r="Z15" s="52" t="s">
        <v>214</v>
      </c>
      <c r="AA15" s="52" t="s">
        <v>215</v>
      </c>
      <c r="AC15" s="52" t="s">
        <v>217</v>
      </c>
      <c r="AD15" s="52" t="s">
        <v>214</v>
      </c>
      <c r="AE15" s="52" t="s">
        <v>215</v>
      </c>
    </row>
    <row r="16" spans="2:31">
      <c r="B16" s="1" t="s">
        <v>7</v>
      </c>
      <c r="C16" s="1">
        <f>NCt(-C13,C12,C14)</f>
        <v>0.9999999495687445</v>
      </c>
      <c r="U16" s="52">
        <f>U15+$AB$11</f>
        <v>6.2855803540427163E-2</v>
      </c>
      <c r="V16" s="52">
        <f t="shared" ref="V16:V47" si="0">_xlfn.NORM.DIST($U16,$V$11,$C$5,FALSE)</f>
        <v>2.7096333066061466E-2</v>
      </c>
      <c r="Y16" s="52" t="s">
        <v>216</v>
      </c>
      <c r="Z16" s="52">
        <f>$V$11-$W$11</f>
        <v>0.60643962079147595</v>
      </c>
      <c r="AA16" s="52">
        <v>0</v>
      </c>
      <c r="AC16" s="52" t="s">
        <v>216</v>
      </c>
      <c r="AD16" s="52">
        <f>$V$11-$Y$11</f>
        <v>0.84501198858299298</v>
      </c>
      <c r="AE16" s="52">
        <v>0</v>
      </c>
    </row>
    <row r="17" spans="2:31">
      <c r="B17" s="1" t="s">
        <v>6</v>
      </c>
      <c r="C17" s="1">
        <f>NCt(C13,C12,C15)</f>
        <v>0.1964046087104091</v>
      </c>
      <c r="U17" s="52">
        <f t="shared" ref="U17:U47" si="1">U16+$AB$11</f>
        <v>0.12571160708085433</v>
      </c>
      <c r="V17" s="52">
        <f t="shared" si="0"/>
        <v>4.7565557097961828E-2</v>
      </c>
      <c r="Y17" s="52" t="s">
        <v>218</v>
      </c>
      <c r="Z17" s="52">
        <f>Z16</f>
        <v>0.60643962079147595</v>
      </c>
      <c r="AA17" s="52">
        <f>IF(Y13,MAX($V$15:$V$47),0)</f>
        <v>0</v>
      </c>
      <c r="AC17" s="52" t="s">
        <v>218</v>
      </c>
      <c r="AD17" s="52">
        <f>AD16</f>
        <v>0.84501198858299298</v>
      </c>
      <c r="AE17" s="52">
        <f>IF(AC13,MAX($V$15:$V$47),0)</f>
        <v>1.3268502231061179</v>
      </c>
    </row>
    <row r="18" spans="2:31">
      <c r="B18" s="1" t="s">
        <v>58</v>
      </c>
      <c r="C18" s="1">
        <f>C16-C17</f>
        <v>0.80359534085833539</v>
      </c>
      <c r="E18" s="5"/>
      <c r="U18" s="52">
        <f t="shared" si="1"/>
        <v>0.18856741062128149</v>
      </c>
      <c r="V18" s="52">
        <f t="shared" si="0"/>
        <v>7.9911602450833827E-2</v>
      </c>
      <c r="Y18" s="52" t="s">
        <v>219</v>
      </c>
      <c r="Z18" s="52" t="s">
        <v>214</v>
      </c>
      <c r="AA18" s="52" t="s">
        <v>215</v>
      </c>
      <c r="AC18" s="52" t="s">
        <v>219</v>
      </c>
      <c r="AD18" s="52" t="s">
        <v>214</v>
      </c>
      <c r="AE18" s="52" t="s">
        <v>215</v>
      </c>
    </row>
    <row r="19" spans="2:31">
      <c r="U19" s="52">
        <f t="shared" si="1"/>
        <v>0.25142321416170865</v>
      </c>
      <c r="V19" s="52">
        <f t="shared" si="0"/>
        <v>0.12848791379412886</v>
      </c>
      <c r="Y19" s="52" t="s">
        <v>216</v>
      </c>
      <c r="Z19" s="52">
        <f>$V$11+$W$11</f>
        <v>1.1935603792085241</v>
      </c>
      <c r="AA19" s="52">
        <v>0</v>
      </c>
      <c r="AC19" s="52" t="s">
        <v>216</v>
      </c>
      <c r="AD19" s="52">
        <f>$V$11+$Y$11</f>
        <v>0.95498801141700707</v>
      </c>
      <c r="AE19" s="52">
        <v>0</v>
      </c>
    </row>
    <row r="20" spans="2:31">
      <c r="B20" s="1" t="s">
        <v>11</v>
      </c>
      <c r="C20" s="1">
        <f>CEILING(INDEX(Z2:Z4,Y5,1)*C11,1)</f>
        <v>40</v>
      </c>
      <c r="U20" s="52">
        <f t="shared" si="1"/>
        <v>0.31427901770213584</v>
      </c>
      <c r="V20" s="52">
        <f t="shared" si="0"/>
        <v>0.1977196814466011</v>
      </c>
      <c r="Y20" s="52" t="s">
        <v>218</v>
      </c>
      <c r="Z20" s="52">
        <f>Z19</f>
        <v>1.1935603792085241</v>
      </c>
      <c r="AA20" s="52">
        <f>AA17</f>
        <v>0</v>
      </c>
      <c r="AC20" s="52" t="s">
        <v>218</v>
      </c>
      <c r="AD20" s="52">
        <f>AD19</f>
        <v>0.95498801141700707</v>
      </c>
      <c r="AE20" s="52">
        <f>AE17</f>
        <v>1.3268502231061179</v>
      </c>
    </row>
    <row r="21" spans="2:31">
      <c r="U21" s="52">
        <f t="shared" si="1"/>
        <v>0.37713482124256303</v>
      </c>
      <c r="V21" s="52">
        <f t="shared" si="0"/>
        <v>0.29118748986942972</v>
      </c>
    </row>
    <row r="22" spans="2:31" ht="13">
      <c r="U22" s="52">
        <f t="shared" si="1"/>
        <v>0.43999062478299023</v>
      </c>
      <c r="V22" s="52">
        <f t="shared" si="0"/>
        <v>0.41042207290166549</v>
      </c>
      <c r="Y22" s="55"/>
      <c r="AC22" s="55"/>
    </row>
    <row r="23" spans="2:31">
      <c r="U23" s="52">
        <f t="shared" si="1"/>
        <v>0.50284642832341742</v>
      </c>
      <c r="V23" s="52">
        <f t="shared" si="0"/>
        <v>0.55363545229058264</v>
      </c>
    </row>
    <row r="24" spans="2:31">
      <c r="U24" s="52">
        <f t="shared" si="1"/>
        <v>0.56570223186384461</v>
      </c>
      <c r="V24" s="52">
        <f t="shared" si="0"/>
        <v>0.71474686948667876</v>
      </c>
    </row>
    <row r="25" spans="2:31">
      <c r="U25" s="52">
        <f t="shared" si="1"/>
        <v>0.6285580354042718</v>
      </c>
      <c r="V25" s="52">
        <f t="shared" si="0"/>
        <v>0.88311206356970129</v>
      </c>
    </row>
    <row r="26" spans="2:31">
      <c r="U26" s="52">
        <f t="shared" si="1"/>
        <v>0.69141383894469899</v>
      </c>
      <c r="V26" s="52">
        <f t="shared" si="0"/>
        <v>1.0442742258768614</v>
      </c>
    </row>
    <row r="27" spans="2:31">
      <c r="U27" s="52">
        <f t="shared" si="1"/>
        <v>0.75426964248512618</v>
      </c>
      <c r="V27" s="52">
        <f t="shared" si="0"/>
        <v>1.1818122495065957</v>
      </c>
    </row>
    <row r="28" spans="2:31">
      <c r="U28" s="52">
        <f t="shared" si="1"/>
        <v>0.81712544602555337</v>
      </c>
      <c r="V28" s="52">
        <f t="shared" si="0"/>
        <v>1.2800224931945334</v>
      </c>
    </row>
    <row r="29" spans="2:31">
      <c r="U29" s="52">
        <f t="shared" si="1"/>
        <v>0.87998124956598056</v>
      </c>
      <c r="V29" s="52">
        <f t="shared" si="0"/>
        <v>1.3268502231061179</v>
      </c>
      <c r="Y29" s="52" t="b">
        <v>1</v>
      </c>
    </row>
    <row r="30" spans="2:31" ht="13">
      <c r="U30" s="52">
        <f t="shared" si="1"/>
        <v>0.94283705310640775</v>
      </c>
      <c r="V30" s="52">
        <f t="shared" si="0"/>
        <v>1.3163197227249672</v>
      </c>
      <c r="Y30" s="55" t="s">
        <v>228</v>
      </c>
    </row>
    <row r="31" spans="2:31">
      <c r="U31" s="52">
        <f t="shared" si="1"/>
        <v>1.0056928566468348</v>
      </c>
      <c r="V31" s="52">
        <f t="shared" si="0"/>
        <v>1.2497871682536457</v>
      </c>
      <c r="Y31" s="52" t="s">
        <v>217</v>
      </c>
      <c r="Z31" s="52" t="s">
        <v>214</v>
      </c>
      <c r="AA31" s="52" t="s">
        <v>215</v>
      </c>
    </row>
    <row r="32" spans="2:31">
      <c r="U32" s="52">
        <f t="shared" si="1"/>
        <v>1.068548660187262</v>
      </c>
      <c r="V32" s="52">
        <f t="shared" si="0"/>
        <v>1.1356537008909846</v>
      </c>
      <c r="Y32" s="52" t="s">
        <v>216</v>
      </c>
      <c r="Z32" s="56">
        <f>C7</f>
        <v>0.8</v>
      </c>
      <c r="AA32" s="52">
        <v>0</v>
      </c>
    </row>
    <row r="33" spans="21:27">
      <c r="U33" s="52">
        <f t="shared" si="1"/>
        <v>1.1314044637276892</v>
      </c>
      <c r="V33" s="52">
        <f t="shared" si="0"/>
        <v>0.98762247825526639</v>
      </c>
      <c r="Y33" s="52" t="s">
        <v>218</v>
      </c>
      <c r="Z33" s="56">
        <f>Z32</f>
        <v>0.8</v>
      </c>
      <c r="AA33" s="52">
        <f>IF($Y$29,MAX($V$15:$W$47),0)</f>
        <v>1.3268502231061179</v>
      </c>
    </row>
    <row r="34" spans="21:27">
      <c r="U34" s="52">
        <f t="shared" si="1"/>
        <v>1.1942602672681164</v>
      </c>
      <c r="V34" s="52">
        <f t="shared" si="0"/>
        <v>0.82199882643964128</v>
      </c>
      <c r="Y34" s="52" t="s">
        <v>219</v>
      </c>
      <c r="Z34" s="52" t="s">
        <v>214</v>
      </c>
      <c r="AA34" s="52" t="s">
        <v>215</v>
      </c>
    </row>
    <row r="35" spans="21:27">
      <c r="U35" s="52">
        <f t="shared" si="1"/>
        <v>1.2571160708085436</v>
      </c>
      <c r="V35" s="52">
        <f t="shared" si="0"/>
        <v>0.65476674718804873</v>
      </c>
      <c r="Y35" s="52" t="s">
        <v>216</v>
      </c>
      <c r="Z35" s="56">
        <f>C8</f>
        <v>1.25</v>
      </c>
      <c r="AA35" s="52">
        <v>0</v>
      </c>
    </row>
    <row r="36" spans="21:27">
      <c r="U36" s="52">
        <f t="shared" si="1"/>
        <v>1.3199718743489708</v>
      </c>
      <c r="V36" s="52">
        <f t="shared" si="0"/>
        <v>0.49915706150721351</v>
      </c>
      <c r="Y36" s="52" t="s">
        <v>218</v>
      </c>
      <c r="Z36" s="56">
        <f>Z35</f>
        <v>1.25</v>
      </c>
      <c r="AA36" s="52">
        <f>AA33</f>
        <v>1.3268502231061179</v>
      </c>
    </row>
    <row r="37" spans="21:27">
      <c r="U37" s="52">
        <f t="shared" si="1"/>
        <v>1.382827677889398</v>
      </c>
      <c r="V37" s="52">
        <f t="shared" si="0"/>
        <v>0.3641858012715018</v>
      </c>
    </row>
    <row r="38" spans="21:27">
      <c r="U38" s="52">
        <f t="shared" si="1"/>
        <v>1.4456834814298252</v>
      </c>
      <c r="V38" s="52">
        <f t="shared" si="0"/>
        <v>0.25429860993809755</v>
      </c>
    </row>
    <row r="39" spans="21:27">
      <c r="U39" s="52">
        <f t="shared" si="1"/>
        <v>1.5085392849702524</v>
      </c>
      <c r="V39" s="52">
        <f t="shared" si="0"/>
        <v>0.169941774582163</v>
      </c>
    </row>
    <row r="40" spans="21:27">
      <c r="U40" s="52">
        <f t="shared" si="1"/>
        <v>1.5713950885106795</v>
      </c>
      <c r="V40" s="52">
        <f t="shared" si="0"/>
        <v>0.10869047781366145</v>
      </c>
    </row>
    <row r="41" spans="21:27">
      <c r="U41" s="52">
        <f t="shared" si="1"/>
        <v>1.6342508920511067</v>
      </c>
      <c r="V41" s="52">
        <f t="shared" si="0"/>
        <v>6.6530078085967767E-2</v>
      </c>
    </row>
    <row r="42" spans="21:27">
      <c r="U42" s="52">
        <f t="shared" si="1"/>
        <v>1.6971066955915339</v>
      </c>
      <c r="V42" s="52">
        <f t="shared" si="0"/>
        <v>3.8974428408071964E-2</v>
      </c>
    </row>
    <row r="43" spans="21:27">
      <c r="U43" s="52">
        <f t="shared" si="1"/>
        <v>1.7599624991319611</v>
      </c>
      <c r="V43" s="52">
        <f t="shared" si="0"/>
        <v>2.1851268942557921E-2</v>
      </c>
    </row>
    <row r="44" spans="21:27" ht="20.25" customHeight="1">
      <c r="U44" s="52">
        <f t="shared" si="1"/>
        <v>1.8228183026723883</v>
      </c>
      <c r="V44" s="52">
        <f t="shared" si="0"/>
        <v>1.1724889439740756E-2</v>
      </c>
    </row>
    <row r="45" spans="21:27">
      <c r="U45" s="52">
        <f t="shared" si="1"/>
        <v>1.8856741062128155</v>
      </c>
      <c r="V45" s="52">
        <f t="shared" si="0"/>
        <v>6.0211027202522194E-3</v>
      </c>
    </row>
    <row r="46" spans="21:27">
      <c r="U46" s="52">
        <f t="shared" si="1"/>
        <v>1.9485299097532427</v>
      </c>
      <c r="V46" s="52">
        <f t="shared" si="0"/>
        <v>2.9592285119466512E-3</v>
      </c>
    </row>
    <row r="47" spans="21:27">
      <c r="U47" s="52">
        <f t="shared" si="1"/>
        <v>2.0113857132936697</v>
      </c>
      <c r="V47" s="52">
        <f t="shared" si="0"/>
        <v>1.3919260261450537E-3</v>
      </c>
    </row>
    <row r="52" spans="2:2" ht="18">
      <c r="B52" s="28" t="s">
        <v>123</v>
      </c>
    </row>
    <row r="63" spans="2:2" ht="13">
      <c r="B63" s="9" t="s">
        <v>125</v>
      </c>
    </row>
    <row r="67" spans="2:7" ht="13">
      <c r="B67" s="9"/>
      <c r="G67" s="6"/>
    </row>
    <row r="68" spans="2:7">
      <c r="G68" s="6"/>
    </row>
    <row r="69" spans="2:7" ht="13">
      <c r="B69" s="9"/>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5"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35843"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35844" r:id="rId7" name="Button 4">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10</xdr:col>
                    <xdr:colOff>323850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10</xdr:col>
                    <xdr:colOff>323850</xdr:colOff>
                    <xdr:row>7</xdr:row>
                    <xdr:rowOff>127000</xdr:rowOff>
                  </from>
                  <to>
                    <xdr:col>11</xdr:col>
                    <xdr:colOff>488950</xdr:colOff>
                    <xdr:row>9</xdr:row>
                    <xdr:rowOff>19050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10</xdr:col>
                    <xdr:colOff>323850</xdr:colOff>
                    <xdr:row>9</xdr:row>
                    <xdr:rowOff>19050</xdr:rowOff>
                  </from>
                  <to>
                    <xdr:col>11</xdr:col>
                    <xdr:colOff>488950</xdr:colOff>
                    <xdr:row>10</xdr:row>
                    <xdr:rowOff>19050</xdr:rowOff>
                  </to>
                </anchor>
              </controlPr>
            </control>
          </mc:Choice>
        </mc:AlternateContent>
        <mc:AlternateContent xmlns:mc="http://schemas.openxmlformats.org/markup-compatibility/2006">
          <mc:Choice Requires="x14">
            <control shapeId="35850" r:id="rId11" name="Drop Down 10">
              <controlPr defaultSize="0" autoLine="0" autoPict="0">
                <anchor moveWithCells="1">
                  <from>
                    <xdr:col>3</xdr:col>
                    <xdr:colOff>114300</xdr:colOff>
                    <xdr:row>1</xdr:row>
                    <xdr:rowOff>0</xdr:rowOff>
                  </from>
                  <to>
                    <xdr:col>6</xdr:col>
                    <xdr:colOff>400050</xdr:colOff>
                    <xdr:row>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194</v>
      </c>
    </row>
    <row r="2" spans="2:15" ht="13"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40" t="s">
        <v>168</v>
      </c>
    </row>
    <row r="7" spans="2:15" ht="15.5">
      <c r="B7" s="40" t="s">
        <v>169</v>
      </c>
    </row>
    <row r="8" spans="2:15" ht="15.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7.5">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138</v>
      </c>
      <c r="C21" s="9"/>
      <c r="D21" s="15"/>
      <c r="E21" s="15"/>
      <c r="F21" s="15"/>
      <c r="G21" s="15"/>
      <c r="H21" s="15"/>
      <c r="I21" s="15"/>
      <c r="J21" s="15"/>
      <c r="K21" s="15"/>
      <c r="L21" s="15"/>
      <c r="M21" s="15"/>
      <c r="N21" s="15"/>
      <c r="O21" s="15"/>
    </row>
    <row r="22" spans="2:16" ht="13">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7.5">
      <c r="B40" s="36" t="s">
        <v>132</v>
      </c>
      <c r="C40" s="36" t="str">
        <f>FIXED(100*EXP(-C38),2)&amp;" - "&amp;FIXED(100*EXP(C38),2)&amp;"%"</f>
        <v>76.95 - 129.96%</v>
      </c>
      <c r="D40" s="31"/>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138</v>
      </c>
      <c r="C42" s="9"/>
      <c r="D42" s="15"/>
      <c r="E42" s="15"/>
      <c r="F42" s="15"/>
      <c r="G42" s="15"/>
      <c r="H42" s="15"/>
      <c r="I42" s="15"/>
      <c r="J42" s="15"/>
      <c r="K42" s="15"/>
      <c r="L42" s="15"/>
      <c r="M42" s="15"/>
      <c r="N42" s="15"/>
      <c r="O42" s="15"/>
    </row>
    <row r="43" spans="2:21" ht="13">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ht="13">
      <c r="B54" s="15" t="s">
        <v>162</v>
      </c>
      <c r="C54" s="1">
        <f>SQRT((2*C53)/C52)</f>
        <v>8.474358197972498E-2</v>
      </c>
      <c r="I54" s="9"/>
      <c r="K54" s="15"/>
      <c r="L54" s="15"/>
      <c r="M54" s="15"/>
      <c r="N54" s="15"/>
      <c r="O54" s="15"/>
      <c r="P54" s="15"/>
      <c r="Q54" s="15"/>
      <c r="R54" s="15"/>
      <c r="S54" s="15"/>
      <c r="T54" s="15"/>
      <c r="U54" s="15"/>
    </row>
    <row r="55" spans="2:21" ht="13">
      <c r="B55" s="15" t="s">
        <v>158</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7.5">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19050</xdr:colOff>
                <xdr:row>30</xdr:row>
                <xdr:rowOff>38100</xdr:rowOff>
              </from>
              <to>
                <xdr:col>5</xdr:col>
                <xdr:colOff>114300</xdr:colOff>
                <xdr:row>33</xdr:row>
                <xdr:rowOff>133350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77</v>
      </c>
      <c r="F1" s="9" t="s">
        <v>122</v>
      </c>
    </row>
    <row r="2" spans="2:6" ht="13.5" thickBot="1">
      <c r="C2" s="14"/>
    </row>
    <row r="3" spans="2:6" ht="16"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 thickBot="1">
      <c r="C7" s="4"/>
    </row>
    <row r="8" spans="2:6" ht="13"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5">
      <c r="C19" s="16" t="s">
        <v>63</v>
      </c>
      <c r="D19" s="16" t="s">
        <v>64</v>
      </c>
      <c r="E19" s="16" t="s">
        <v>66</v>
      </c>
    </row>
    <row r="20" spans="2:5">
      <c r="B20" s="1" t="s">
        <v>11</v>
      </c>
      <c r="C20" s="1">
        <f>CEILING(C11,1)</f>
        <v>194</v>
      </c>
      <c r="D20" s="1">
        <f>C20*C3</f>
        <v>194</v>
      </c>
      <c r="E20" s="1">
        <f>C20+D20</f>
        <v>388</v>
      </c>
    </row>
    <row r="26" spans="2:5" ht="18">
      <c r="B26" s="28" t="s">
        <v>123</v>
      </c>
    </row>
    <row r="27" spans="2:5" ht="20.25" customHeight="1"/>
    <row r="50" spans="2:7">
      <c r="G50" s="6"/>
    </row>
    <row r="51" spans="2:7">
      <c r="G51" s="6"/>
    </row>
    <row r="52" spans="2:7">
      <c r="G52" s="6"/>
    </row>
    <row r="53" spans="2:7" ht="13">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78</v>
      </c>
      <c r="G1" s="9" t="s">
        <v>122</v>
      </c>
    </row>
    <row r="2" spans="2:7" ht="13">
      <c r="C2" s="14"/>
    </row>
    <row r="3" spans="2:7" ht="13.5" thickBot="1">
      <c r="C3" s="10"/>
    </row>
    <row r="4" spans="2:7" ht="13.5" thickBot="1">
      <c r="B4" s="8" t="s">
        <v>59</v>
      </c>
      <c r="C4" s="2">
        <v>0.05</v>
      </c>
      <c r="D4" s="1" t="s">
        <v>20</v>
      </c>
    </row>
    <row r="5" spans="2:7" ht="16" thickBot="1">
      <c r="B5" s="8" t="s">
        <v>26</v>
      </c>
      <c r="C5" s="3">
        <v>10</v>
      </c>
      <c r="D5" s="1" t="s">
        <v>19</v>
      </c>
    </row>
    <row r="6" spans="2:7" ht="13.5" thickBot="1">
      <c r="B6" s="1" t="s">
        <v>38</v>
      </c>
      <c r="C6" s="3">
        <v>5</v>
      </c>
      <c r="D6" s="1" t="s">
        <v>39</v>
      </c>
    </row>
    <row r="7" spans="2:7" ht="13" thickBot="1">
      <c r="C7" s="4"/>
    </row>
    <row r="8" spans="2:7" ht="13" thickBot="1">
      <c r="B8" s="12" t="s">
        <v>17</v>
      </c>
      <c r="C8" s="11">
        <f>C6/C5</f>
        <v>0.5</v>
      </c>
    </row>
    <row r="10" spans="2:7" ht="15.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ht="13">
      <c r="C19" s="9"/>
      <c r="D19" s="9"/>
    </row>
    <row r="20" spans="2:5">
      <c r="B20" s="1" t="s">
        <v>11</v>
      </c>
      <c r="C20" s="1">
        <f>CEILING(C11,1)</f>
        <v>34</v>
      </c>
    </row>
    <row r="26" spans="2:5" ht="18">
      <c r="B26" s="28" t="s">
        <v>123</v>
      </c>
    </row>
    <row r="27" spans="2:5" ht="20.25" customHeight="1"/>
    <row r="35" spans="2:2" ht="13">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zoomScaleNormal="100"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116</v>
      </c>
    </row>
    <row r="2" spans="2:5" ht="13.5" thickBot="1">
      <c r="C2" s="14"/>
      <c r="E2" s="9" t="s">
        <v>122</v>
      </c>
    </row>
    <row r="3" spans="2:5" ht="13.5" thickBot="1">
      <c r="B3" s="1" t="s">
        <v>1</v>
      </c>
      <c r="C3" s="2">
        <v>0.8</v>
      </c>
    </row>
    <row r="4" spans="2:5" ht="13.5" thickBot="1">
      <c r="B4" s="8" t="s">
        <v>59</v>
      </c>
      <c r="C4" s="2">
        <v>0.05</v>
      </c>
      <c r="D4" s="1" t="s">
        <v>20</v>
      </c>
    </row>
    <row r="5" spans="2:5" ht="16" thickBot="1">
      <c r="B5" s="1" t="s">
        <v>82</v>
      </c>
      <c r="C5" s="18">
        <v>0.1</v>
      </c>
      <c r="D5" s="1" t="s">
        <v>83</v>
      </c>
    </row>
    <row r="6" spans="2:5" ht="16" thickBot="1">
      <c r="B6" s="1" t="s">
        <v>85</v>
      </c>
      <c r="C6" s="18">
        <v>0.3</v>
      </c>
      <c r="D6" s="1" t="s">
        <v>87</v>
      </c>
    </row>
    <row r="7" spans="2:5" ht="13" thickBot="1">
      <c r="C7" s="4"/>
    </row>
    <row r="8" spans="2:5" ht="13" thickBot="1">
      <c r="B8" s="12" t="s">
        <v>17</v>
      </c>
      <c r="C8" s="19">
        <f>C6-C5</f>
        <v>0.19999999999999998</v>
      </c>
      <c r="D8" s="1" t="s">
        <v>84</v>
      </c>
    </row>
    <row r="10" spans="2:5" ht="15.5">
      <c r="B10" s="1" t="s">
        <v>111</v>
      </c>
      <c r="C10" s="1">
        <v>5</v>
      </c>
      <c r="D10" s="1" t="s">
        <v>86</v>
      </c>
    </row>
    <row r="11" spans="2:5">
      <c r="B11" s="1" t="s">
        <v>0</v>
      </c>
      <c r="C11" s="7">
        <v>25</v>
      </c>
    </row>
    <row r="18" spans="2:5">
      <c r="B18" s="1" t="s">
        <v>58</v>
      </c>
      <c r="C18" s="1">
        <v>0.80651155791193363</v>
      </c>
      <c r="E18" s="5"/>
    </row>
    <row r="19" spans="2:5" ht="13">
      <c r="C19" s="16"/>
      <c r="D19" s="16"/>
      <c r="E19" s="16"/>
    </row>
    <row r="20" spans="2:5">
      <c r="B20" s="1" t="s">
        <v>11</v>
      </c>
      <c r="C20" s="1">
        <f>CEILING(C11,1)</f>
        <v>25</v>
      </c>
      <c r="D20" s="1" t="s">
        <v>129</v>
      </c>
    </row>
    <row r="21" spans="2:5">
      <c r="B21" s="1" t="s">
        <v>112</v>
      </c>
      <c r="C21" s="1">
        <f>C10</f>
        <v>5</v>
      </c>
      <c r="D21" s="1" t="s">
        <v>114</v>
      </c>
    </row>
    <row r="23" spans="2:5" ht="13">
      <c r="D23" s="9" t="s">
        <v>121</v>
      </c>
    </row>
    <row r="25" spans="2:5" ht="20.25" customHeight="1">
      <c r="B25" s="1" t="s">
        <v>113</v>
      </c>
    </row>
    <row r="26" spans="2:5">
      <c r="B26" s="1" t="s">
        <v>88</v>
      </c>
    </row>
    <row r="28" spans="2:5" ht="15.5">
      <c r="B28" s="1" t="s">
        <v>115</v>
      </c>
    </row>
    <row r="29" spans="2:5" ht="13">
      <c r="D29" s="9"/>
    </row>
    <row r="30" spans="2:5" ht="18">
      <c r="B30" s="28" t="s">
        <v>123</v>
      </c>
    </row>
    <row r="39" spans="2:7" ht="13">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79</v>
      </c>
    </row>
    <row r="3" spans="2:4">
      <c r="B3" s="1" t="s">
        <v>42</v>
      </c>
    </row>
    <row r="4" spans="2:4">
      <c r="B4" s="1" t="s">
        <v>43</v>
      </c>
    </row>
    <row r="5" spans="2:4">
      <c r="B5" s="1" t="s">
        <v>44</v>
      </c>
    </row>
    <row r="13" spans="2:4">
      <c r="B13" s="1" t="s">
        <v>45</v>
      </c>
    </row>
    <row r="14" spans="2:4" ht="13" thickBot="1"/>
    <row r="15" spans="2:4" ht="15.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5">
      <c r="B22" s="8" t="s">
        <v>51</v>
      </c>
      <c r="C22" s="1">
        <f>C15*C20</f>
        <v>12.5</v>
      </c>
    </row>
    <row r="24" spans="2:4" ht="13">
      <c r="B24" s="9" t="s">
        <v>52</v>
      </c>
    </row>
    <row r="33" spans="2:4" ht="13" thickBot="1"/>
    <row r="34" spans="2:4" ht="15.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5">
      <c r="B41" s="8" t="s">
        <v>51</v>
      </c>
      <c r="C41" s="1">
        <f>C34*C39</f>
        <v>12</v>
      </c>
    </row>
    <row r="44" spans="2:4" ht="13">
      <c r="B44" s="9" t="s">
        <v>55</v>
      </c>
    </row>
    <row r="50" spans="2:4" ht="13" thickBot="1"/>
    <row r="51" spans="2:4" ht="15.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5">
      <c r="B59" s="8" t="s">
        <v>51</v>
      </c>
      <c r="C59" s="1">
        <f>C51*C57</f>
        <v>3.9999999999999991</v>
      </c>
    </row>
    <row r="61" spans="2:4" ht="13">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20" t="s">
        <v>90</v>
      </c>
    </row>
    <row r="3" spans="2:4" ht="18.75" customHeight="1" thickBot="1">
      <c r="B3" s="21" t="s">
        <v>91</v>
      </c>
    </row>
    <row r="4" spans="2:4" ht="13">
      <c r="B4" s="1" t="s">
        <v>92</v>
      </c>
      <c r="C4" s="22">
        <v>100</v>
      </c>
      <c r="D4" s="1" t="s">
        <v>93</v>
      </c>
    </row>
    <row r="5" spans="2:4" ht="13">
      <c r="B5" s="1" t="s">
        <v>94</v>
      </c>
      <c r="C5" s="23">
        <v>80</v>
      </c>
      <c r="D5" s="1" t="s">
        <v>95</v>
      </c>
    </row>
    <row r="6" spans="2:4" ht="13">
      <c r="B6" s="1" t="s">
        <v>96</v>
      </c>
      <c r="C6" s="23">
        <v>125</v>
      </c>
      <c r="D6" s="1" t="s">
        <v>97</v>
      </c>
    </row>
    <row r="7" spans="2:4" ht="13.5" thickBot="1">
      <c r="B7" s="1" t="s">
        <v>98</v>
      </c>
      <c r="C7" s="24">
        <v>12</v>
      </c>
      <c r="D7" s="1" t="s">
        <v>99</v>
      </c>
    </row>
    <row r="8" spans="2:4" ht="13.5" thickBot="1">
      <c r="B8" s="1" t="s">
        <v>100</v>
      </c>
      <c r="C8" s="2">
        <v>0.9</v>
      </c>
    </row>
    <row r="9" spans="2:4">
      <c r="B9" s="1" t="s">
        <v>101</v>
      </c>
      <c r="C9" s="25">
        <f>C7-2</f>
        <v>10</v>
      </c>
    </row>
    <row r="10" spans="2:4">
      <c r="B10" s="1" t="s">
        <v>102</v>
      </c>
      <c r="C10" s="25">
        <f>TINV(1-$C$8,$C$9)</f>
        <v>1.812461122811676</v>
      </c>
    </row>
    <row r="11" spans="2:4">
      <c r="B11" s="1" t="s">
        <v>103</v>
      </c>
      <c r="C11" s="25">
        <f>(LN($C$4)-LN($C$5))/$C$10</f>
        <v>0.123116324265233</v>
      </c>
    </row>
    <row r="12" spans="2:4">
      <c r="B12" s="1" t="s">
        <v>104</v>
      </c>
      <c r="C12" s="25">
        <f>(LN($C$6)-LN($C$4))/$C$10</f>
        <v>0.12311632426523252</v>
      </c>
    </row>
    <row r="13" spans="2:4">
      <c r="B13" s="1" t="s">
        <v>105</v>
      </c>
      <c r="C13" s="25">
        <f>(C11^2)*($C$9+2)/2</f>
        <v>9.0945775803492002E-2</v>
      </c>
    </row>
    <row r="14" spans="2:4">
      <c r="B14" s="1" t="s">
        <v>106</v>
      </c>
      <c r="C14" s="25">
        <f>(C12^2)*($C$9+2)/2</f>
        <v>9.094577580349128E-2</v>
      </c>
    </row>
    <row r="15" spans="2:4">
      <c r="B15" s="1" t="s">
        <v>107</v>
      </c>
      <c r="C15" s="25">
        <f>SQRT(EXP($C$13)-1)*100</f>
        <v>30.856055610990801</v>
      </c>
    </row>
    <row r="16" spans="2:4">
      <c r="B16" s="1" t="s">
        <v>108</v>
      </c>
      <c r="C16" s="25">
        <f>SQRT(EXP($C$14)-1)*100</f>
        <v>30.85605561099069</v>
      </c>
    </row>
    <row r="18" spans="2:7" ht="20">
      <c r="B18" s="20" t="s">
        <v>109</v>
      </c>
      <c r="C18" s="26">
        <f>(C15+C16)/2</f>
        <v>30.856055610990744</v>
      </c>
      <c r="D18" s="20" t="s">
        <v>110</v>
      </c>
    </row>
    <row r="19" spans="2:7">
      <c r="G19" s="35"/>
    </row>
    <row r="20" spans="2:7" ht="13">
      <c r="B20" s="21"/>
    </row>
    <row r="21" spans="2:7" ht="13">
      <c r="C21" s="10"/>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2021-07-01T23:02:35Z</dcterms:modified>
  <cp:category>Sample Size Estimation</cp:category>
</cp:coreProperties>
</file>