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drawings/drawing8.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drawings/drawing11.xml" ContentType="application/vnd.openxmlformats-officedocument.drawing+xml"/>
  <Override PartName="/xl/charts/chart15.xml" ContentType="application/vnd.openxmlformats-officedocument.drawingml.chart+xml"/>
  <Override PartName="/xl/drawings/drawing12.xml" ContentType="application/vnd.openxmlformats-officedocument.drawing+xml"/>
  <Override PartName="/xl/charts/chart16.xml" ContentType="application/vnd.openxmlformats-officedocument.drawingml.chart+xml"/>
  <Override PartName="/xl/drawings/drawing13.xml" ContentType="application/vnd.openxmlformats-officedocument.drawing+xml"/>
  <Override PartName="/xl/charts/chart17.xml" ContentType="application/vnd.openxmlformats-officedocument.drawingml.chart+xml"/>
  <Override PartName="/xl/drawings/drawing14.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5.xml" ContentType="application/vnd.openxmlformats-officedocument.drawing+xml"/>
  <Override PartName="/xl/charts/chart20.xml" ContentType="application/vnd.openxmlformats-officedocument.drawingml.chart+xml"/>
  <Override PartName="/xl/drawings/drawing16.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7.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0.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1.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2.xml" ContentType="application/vnd.openxmlformats-officedocument.drawing+xml"/>
  <Override PartName="/xl/charts/chart33.xml" ContentType="application/vnd.openxmlformats-officedocument.drawingml.chart+xml"/>
  <Override PartName="/xl/drawings/drawing23.xml" ContentType="application/vnd.openxmlformats-officedocument.drawing+xml"/>
  <Override PartName="/xl/charts/chart34.xml" ContentType="application/vnd.openxmlformats-officedocument.drawingml.chart+xml"/>
  <Override PartName="/xl/drawings/drawing24.xml" ContentType="application/vnd.openxmlformats-officedocument.drawing+xml"/>
  <Override PartName="/xl/charts/chart35.xml" ContentType="application/vnd.openxmlformats-officedocument.drawingml.chart+xml"/>
  <Override PartName="/xl/drawings/drawing25.xml" ContentType="application/vnd.openxmlformats-officedocument.drawing+xml"/>
  <Override PartName="/xl/charts/chart36.xml" ContentType="application/vnd.openxmlformats-officedocument.drawingml.chart+xml"/>
  <Override PartName="/xl/drawings/drawing26.xml" ContentType="application/vnd.openxmlformats-officedocument.drawing+xml"/>
  <Override PartName="/xl/charts/chart37.xml" ContentType="application/vnd.openxmlformats-officedocument.drawingml.chart+xml"/>
  <Override PartName="/xl/drawings/drawing27.xml" ContentType="application/vnd.openxmlformats-officedocument.drawing+xml"/>
  <Override PartName="/xl/charts/chart38.xml" ContentType="application/vnd.openxmlformats-officedocument.drawingml.chart+xml"/>
  <Override PartName="/xl/drawings/drawing28.xml" ContentType="application/vnd.openxmlformats-officedocument.drawing+xml"/>
  <Override PartName="/xl/charts/chart39.xml" ContentType="application/vnd.openxmlformats-officedocument.drawingml.chart+xml"/>
  <Override PartName="/xl/drawings/drawing29.xml" ContentType="application/vnd.openxmlformats-officedocument.drawing+xml"/>
  <Override PartName="/xl/charts/chart40.xml" ContentType="application/vnd.openxmlformats-officedocument.drawingml.chart+xml"/>
  <Override PartName="/xl/drawings/drawing30.xml" ContentType="application/vnd.openxmlformats-officedocument.drawing+xml"/>
  <Override PartName="/xl/charts/chart41.xml" ContentType="application/vnd.openxmlformats-officedocument.drawingml.chart+xml"/>
  <Override PartName="/xl/drawings/drawing31.xml" ContentType="application/vnd.openxmlformats-officedocument.drawing+xml"/>
  <Override PartName="/xl/charts/chart42.xml" ContentType="application/vnd.openxmlformats-officedocument.drawingml.chart+xml"/>
  <Override PartName="/xl/drawings/drawing3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https://utoronto-my.sharepoint.com/personal/d_dubins_utoronto_ca/Documents/Labs/PHC435 2024/Section 7/"/>
    </mc:Choice>
  </mc:AlternateContent>
  <xr:revisionPtr revIDLastSave="2527" documentId="8_{6A90F9DB-6E89-4260-8096-59583B120D19}" xr6:coauthVersionLast="47" xr6:coauthVersionMax="47" xr10:uidLastSave="{E958142B-B1CF-4C10-BBE1-B94CF600CCFB}"/>
  <bookViews>
    <workbookView xWindow="-110" yWindow="-110" windowWidth="19420" windowHeight="10300" xr2:uid="{1AF43F00-230F-44CC-BBD4-7D25EA2CB6AC}"/>
  </bookViews>
  <sheets>
    <sheet name="Signal Generator" sheetId="1" r:id="rId1"/>
    <sheet name="Comparator" sheetId="2" r:id="rId2"/>
    <sheet name="Buffer" sheetId="3" r:id="rId3"/>
    <sheet name="Attenuator" sheetId="20" r:id="rId4"/>
    <sheet name="Unity LPF" sheetId="26" r:id="rId5"/>
    <sheet name="Unity HPF" sheetId="28" r:id="rId6"/>
    <sheet name="Inv" sheetId="12" r:id="rId7"/>
    <sheet name="Inv LPF" sheetId="25" r:id="rId8"/>
    <sheet name="Inv HPF" sheetId="30" r:id="rId9"/>
    <sheet name="InvAmp-BAD" sheetId="13" r:id="rId10"/>
    <sheet name="Inv+Bias" sheetId="14" r:id="rId11"/>
    <sheet name="Inv+Bias Vhalf" sheetId="45" r:id="rId12"/>
    <sheet name="Inv+Bias - Calculate R" sheetId="22" r:id="rId13"/>
    <sheet name="Inv + Bias LPF" sheetId="33" r:id="rId14"/>
    <sheet name="NonInv" sheetId="15" r:id="rId15"/>
    <sheet name="NonInv CMC" sheetId="36" r:id="rId16"/>
    <sheet name="NonInv Thermocouple" sheetId="43" r:id="rId17"/>
    <sheet name="NonInv LPF" sheetId="42" r:id="rId18"/>
    <sheet name="NonInv LPF (Unity)" sheetId="27" r:id="rId19"/>
    <sheet name="NonInv HPF1" sheetId="31" r:id="rId20"/>
    <sheet name="NonInv HPF2" sheetId="41" r:id="rId21"/>
    <sheet name="NonInv+Bias" sheetId="16" r:id="rId22"/>
    <sheet name="NonInv+Bias Vhalf" sheetId="44" r:id="rId23"/>
    <sheet name="NonInv+Bias - Calculate R" sheetId="21" r:id="rId24"/>
    <sheet name="Diff" sheetId="18" r:id="rId25"/>
    <sheet name="Sum Inv" sheetId="19" r:id="rId26"/>
    <sheet name="Sum Inv - 3 inputs" sheetId="23" r:id="rId27"/>
    <sheet name="Sum Non-Inv" sheetId="11" r:id="rId28"/>
    <sheet name="Sum Non-Inv - Calculate R" sheetId="24" r:id="rId29"/>
    <sheet name="Transimpedance" sheetId="39" r:id="rId30"/>
    <sheet name="Transimpedance + Bias" sheetId="38" r:id="rId31"/>
    <sheet name="Op-Amps" sheetId="34" r:id="rId3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3" i="45" l="1"/>
  <c r="C14" i="45"/>
  <c r="C15" i="45"/>
  <c r="C16" i="45"/>
  <c r="D16" i="45" s="1"/>
  <c r="E16" i="45" s="1"/>
  <c r="C17" i="45"/>
  <c r="C18" i="45"/>
  <c r="C19" i="45"/>
  <c r="C20" i="45"/>
  <c r="C21" i="45"/>
  <c r="C22" i="45"/>
  <c r="C25" i="45"/>
  <c r="C26" i="45"/>
  <c r="C27" i="45"/>
  <c r="C28" i="45"/>
  <c r="C29" i="45"/>
  <c r="C30" i="45"/>
  <c r="C31" i="45"/>
  <c r="D31" i="45" s="1"/>
  <c r="E31" i="45" s="1"/>
  <c r="C32" i="45"/>
  <c r="C33" i="45"/>
  <c r="C34" i="45"/>
  <c r="C4" i="45"/>
  <c r="C10" i="45" s="1"/>
  <c r="H35" i="45"/>
  <c r="J35" i="45" s="1"/>
  <c r="H34" i="45"/>
  <c r="J34" i="45" s="1"/>
  <c r="H33" i="45"/>
  <c r="J33" i="45" s="1"/>
  <c r="H32" i="45"/>
  <c r="J32" i="45" s="1"/>
  <c r="H31" i="45"/>
  <c r="J31" i="45" s="1"/>
  <c r="H30" i="45"/>
  <c r="J30" i="45" s="1"/>
  <c r="D28" i="45"/>
  <c r="E28" i="45" s="1"/>
  <c r="D20" i="45"/>
  <c r="E20" i="45" s="1"/>
  <c r="C6" i="45"/>
  <c r="C5" i="45"/>
  <c r="C11" i="44"/>
  <c r="C12" i="44"/>
  <c r="C13" i="44"/>
  <c r="C14" i="44"/>
  <c r="C15" i="44"/>
  <c r="C16" i="44"/>
  <c r="C17" i="44"/>
  <c r="C18" i="44"/>
  <c r="C19" i="44"/>
  <c r="C20" i="44"/>
  <c r="D20" i="44" s="1"/>
  <c r="C21" i="44"/>
  <c r="C22" i="44"/>
  <c r="D22" i="44" s="1"/>
  <c r="C23" i="44"/>
  <c r="C24" i="44"/>
  <c r="C25" i="44"/>
  <c r="C26" i="44"/>
  <c r="C27" i="44"/>
  <c r="C28" i="44"/>
  <c r="C29" i="44"/>
  <c r="C30" i="44"/>
  <c r="C31" i="44"/>
  <c r="C32" i="44"/>
  <c r="C33" i="44"/>
  <c r="C34" i="44"/>
  <c r="D34" i="44" s="1"/>
  <c r="C35" i="44"/>
  <c r="C10" i="44"/>
  <c r="D10" i="16"/>
  <c r="D11" i="16"/>
  <c r="D12" i="16"/>
  <c r="D13" i="16"/>
  <c r="D15" i="16"/>
  <c r="D16" i="16"/>
  <c r="D17" i="16"/>
  <c r="D18" i="16"/>
  <c r="D19" i="16"/>
  <c r="D20" i="16"/>
  <c r="D21" i="16"/>
  <c r="D22" i="16"/>
  <c r="D23" i="16"/>
  <c r="D24" i="16"/>
  <c r="D25" i="16"/>
  <c r="D26" i="16"/>
  <c r="D27" i="16"/>
  <c r="D28" i="16"/>
  <c r="D29" i="16"/>
  <c r="D30" i="16"/>
  <c r="D31" i="16"/>
  <c r="D32" i="16"/>
  <c r="D33" i="16"/>
  <c r="D34" i="16"/>
  <c r="D35" i="16"/>
  <c r="D14" i="16"/>
  <c r="C4" i="44"/>
  <c r="H33" i="44"/>
  <c r="J33" i="44" s="1"/>
  <c r="H35" i="44"/>
  <c r="J35" i="44" s="1"/>
  <c r="H34" i="44"/>
  <c r="J34" i="44" s="1"/>
  <c r="H32" i="44"/>
  <c r="J32" i="44" s="1"/>
  <c r="H31" i="44"/>
  <c r="J31" i="44" s="1"/>
  <c r="H30" i="44"/>
  <c r="J30" i="44" s="1"/>
  <c r="C6" i="44"/>
  <c r="D23" i="44" s="1"/>
  <c r="H38" i="43"/>
  <c r="H37" i="43"/>
  <c r="J38" i="43"/>
  <c r="J37" i="43"/>
  <c r="H36" i="43"/>
  <c r="J36" i="43"/>
  <c r="H35" i="43"/>
  <c r="J35" i="43"/>
  <c r="H34" i="43"/>
  <c r="J34" i="43" s="1"/>
  <c r="H33" i="43"/>
  <c r="J33" i="43"/>
  <c r="C19" i="43"/>
  <c r="C20" i="43"/>
  <c r="C11" i="43"/>
  <c r="C10" i="43"/>
  <c r="H11" i="43"/>
  <c r="Z29" i="43"/>
  <c r="Z28" i="43"/>
  <c r="Z7" i="43"/>
  <c r="Z8" i="43"/>
  <c r="Z9" i="43"/>
  <c r="Z10" i="43"/>
  <c r="Z11" i="43"/>
  <c r="Z12" i="43"/>
  <c r="Z13" i="43"/>
  <c r="Z14" i="43"/>
  <c r="Z15" i="43"/>
  <c r="Z16" i="43"/>
  <c r="Z17" i="43"/>
  <c r="Z18" i="43"/>
  <c r="Z19" i="43"/>
  <c r="Z20" i="43"/>
  <c r="Z21" i="43"/>
  <c r="Z22" i="43"/>
  <c r="Z23" i="43"/>
  <c r="Z24" i="43"/>
  <c r="Z25" i="43"/>
  <c r="Z26" i="43"/>
  <c r="Z6" i="43"/>
  <c r="X25" i="43"/>
  <c r="X26" i="43"/>
  <c r="X19" i="43"/>
  <c r="X20" i="43"/>
  <c r="X21" i="43"/>
  <c r="X22" i="43"/>
  <c r="X23" i="43"/>
  <c r="X24" i="43" s="1"/>
  <c r="X18" i="43"/>
  <c r="C44" i="43"/>
  <c r="C5" i="43"/>
  <c r="C14" i="43" s="1"/>
  <c r="C24" i="45" l="1"/>
  <c r="D24" i="45" s="1"/>
  <c r="E24" i="45" s="1"/>
  <c r="C12" i="45"/>
  <c r="D12" i="45" s="1"/>
  <c r="E12" i="45" s="1"/>
  <c r="C35" i="45"/>
  <c r="C23" i="45"/>
  <c r="C11" i="45"/>
  <c r="D25" i="45"/>
  <c r="E25" i="45" s="1"/>
  <c r="D34" i="45"/>
  <c r="E34" i="45" s="1"/>
  <c r="D17" i="45"/>
  <c r="E17" i="45" s="1"/>
  <c r="D10" i="45"/>
  <c r="E10" i="45" s="1"/>
  <c r="D14" i="45"/>
  <c r="E14" i="45" s="1"/>
  <c r="D18" i="45"/>
  <c r="E18" i="45" s="1"/>
  <c r="D22" i="45"/>
  <c r="E22" i="45" s="1"/>
  <c r="D26" i="45"/>
  <c r="E26" i="45" s="1"/>
  <c r="D30" i="45"/>
  <c r="E30" i="45" s="1"/>
  <c r="H10" i="45"/>
  <c r="D35" i="45"/>
  <c r="E35" i="45" s="1"/>
  <c r="D13" i="45"/>
  <c r="E13" i="45" s="1"/>
  <c r="D21" i="45"/>
  <c r="E21" i="45" s="1"/>
  <c r="D29" i="45"/>
  <c r="E29" i="45" s="1"/>
  <c r="D32" i="45"/>
  <c r="E32" i="45" s="1"/>
  <c r="D11" i="45"/>
  <c r="E11" i="45" s="1"/>
  <c r="D15" i="45"/>
  <c r="E15" i="45" s="1"/>
  <c r="D19" i="45"/>
  <c r="E19" i="45" s="1"/>
  <c r="D23" i="45"/>
  <c r="E23" i="45" s="1"/>
  <c r="D27" i="45"/>
  <c r="E27" i="45" s="1"/>
  <c r="D33" i="45"/>
  <c r="E33" i="45" s="1"/>
  <c r="D17" i="44"/>
  <c r="D16" i="44"/>
  <c r="D29" i="44"/>
  <c r="D14" i="44"/>
  <c r="E14" i="44" s="1"/>
  <c r="D27" i="44"/>
  <c r="D13" i="44"/>
  <c r="D26" i="44"/>
  <c r="E26" i="44" s="1"/>
  <c r="D25" i="44"/>
  <c r="E25" i="44" s="1"/>
  <c r="D11" i="44"/>
  <c r="E11" i="44" s="1"/>
  <c r="D24" i="44"/>
  <c r="D10" i="44"/>
  <c r="E10" i="44" s="1"/>
  <c r="D35" i="44"/>
  <c r="E35" i="44" s="1"/>
  <c r="D19" i="44"/>
  <c r="D33" i="44"/>
  <c r="D21" i="44"/>
  <c r="D32" i="44"/>
  <c r="E32" i="44" s="1"/>
  <c r="D18" i="44"/>
  <c r="D31" i="44"/>
  <c r="E31" i="44" s="1"/>
  <c r="D30" i="44"/>
  <c r="D15" i="44"/>
  <c r="E15" i="44" s="1"/>
  <c r="D28" i="44"/>
  <c r="E28" i="44" s="1"/>
  <c r="D12" i="44"/>
  <c r="E12" i="44" s="1"/>
  <c r="E16" i="44"/>
  <c r="E24" i="44"/>
  <c r="C5" i="44"/>
  <c r="E22" i="44"/>
  <c r="E33" i="44"/>
  <c r="E34" i="44"/>
  <c r="E13" i="44"/>
  <c r="E21" i="44"/>
  <c r="E29" i="44"/>
  <c r="E17" i="44"/>
  <c r="E30" i="44"/>
  <c r="H10" i="44"/>
  <c r="E19" i="44"/>
  <c r="E23" i="44"/>
  <c r="E18" i="44"/>
  <c r="E27" i="44"/>
  <c r="E20" i="44"/>
  <c r="H40" i="43"/>
  <c r="J40" i="43" s="1"/>
  <c r="H39" i="43"/>
  <c r="J39" i="43" s="1"/>
  <c r="H32" i="43"/>
  <c r="J32" i="43" s="1"/>
  <c r="H31" i="43"/>
  <c r="J31" i="43" s="1"/>
  <c r="H30" i="43"/>
  <c r="J30" i="43" s="1"/>
  <c r="C15" i="43"/>
  <c r="H10" i="43" s="1"/>
  <c r="C52" i="41"/>
  <c r="C11" i="41"/>
  <c r="C49" i="41" s="1"/>
  <c r="C48" i="25"/>
  <c r="C49" i="25"/>
  <c r="C50" i="25"/>
  <c r="C51" i="25"/>
  <c r="C52" i="25"/>
  <c r="C53" i="25"/>
  <c r="C54" i="25"/>
  <c r="C55" i="25"/>
  <c r="C56" i="25"/>
  <c r="C57" i="25"/>
  <c r="C58" i="25"/>
  <c r="C59" i="25"/>
  <c r="C60" i="25"/>
  <c r="C61" i="25"/>
  <c r="C62" i="25"/>
  <c r="C63" i="25"/>
  <c r="C64" i="25"/>
  <c r="C65" i="25"/>
  <c r="C66" i="25"/>
  <c r="C67" i="25"/>
  <c r="C68" i="25"/>
  <c r="C69" i="25"/>
  <c r="C70" i="25"/>
  <c r="C71" i="25"/>
  <c r="C72" i="25"/>
  <c r="C73" i="25"/>
  <c r="C74" i="25"/>
  <c r="C75" i="25"/>
  <c r="C76" i="25"/>
  <c r="C77" i="25"/>
  <c r="C78" i="25"/>
  <c r="C79" i="25"/>
  <c r="C80" i="25"/>
  <c r="C81" i="25"/>
  <c r="C82" i="25"/>
  <c r="C83" i="25"/>
  <c r="C84" i="25"/>
  <c r="C85" i="25"/>
  <c r="C86" i="25"/>
  <c r="C87" i="25"/>
  <c r="C88" i="25"/>
  <c r="C89" i="25"/>
  <c r="C90" i="25"/>
  <c r="C91" i="25"/>
  <c r="C92" i="25"/>
  <c r="C93" i="25"/>
  <c r="C94" i="25"/>
  <c r="C95" i="25"/>
  <c r="C96" i="25"/>
  <c r="C97" i="25"/>
  <c r="C98" i="25"/>
  <c r="C99" i="25"/>
  <c r="C100" i="25"/>
  <c r="C101" i="25"/>
  <c r="C4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17" i="25"/>
  <c r="F18" i="25"/>
  <c r="F19" i="25"/>
  <c r="F20" i="25"/>
  <c r="F21" i="25"/>
  <c r="F22" i="25"/>
  <c r="F23" i="25"/>
  <c r="F24" i="25"/>
  <c r="F25" i="25"/>
  <c r="F26" i="25"/>
  <c r="F27" i="25"/>
  <c r="F28" i="25"/>
  <c r="F29" i="25"/>
  <c r="F30" i="25"/>
  <c r="F31" i="25"/>
  <c r="F32" i="25"/>
  <c r="F33" i="25"/>
  <c r="F34" i="25"/>
  <c r="F35" i="25"/>
  <c r="F36" i="25"/>
  <c r="F37" i="25"/>
  <c r="F38" i="25"/>
  <c r="F39" i="25"/>
  <c r="F40" i="25"/>
  <c r="F41" i="25"/>
  <c r="F42" i="25"/>
  <c r="F17" i="25"/>
  <c r="E49" i="42"/>
  <c r="E50" i="42"/>
  <c r="E53" i="42"/>
  <c r="E54" i="42"/>
  <c r="E57" i="42"/>
  <c r="E58" i="42"/>
  <c r="E61" i="42"/>
  <c r="E62" i="42"/>
  <c r="E65" i="42"/>
  <c r="E66" i="42"/>
  <c r="E69" i="42"/>
  <c r="E70" i="42"/>
  <c r="E73" i="42"/>
  <c r="E74" i="42"/>
  <c r="E77" i="42"/>
  <c r="E78" i="42"/>
  <c r="E81" i="42"/>
  <c r="E82" i="42"/>
  <c r="E85" i="42"/>
  <c r="E86" i="42"/>
  <c r="E89" i="42"/>
  <c r="E90" i="42"/>
  <c r="E93" i="42"/>
  <c r="E94" i="42"/>
  <c r="E97" i="42"/>
  <c r="E98" i="42"/>
  <c r="E101" i="42"/>
  <c r="E102" i="42"/>
  <c r="D49" i="42"/>
  <c r="D50" i="42"/>
  <c r="D51" i="42"/>
  <c r="E51" i="42" s="1"/>
  <c r="D52" i="42"/>
  <c r="E52" i="42" s="1"/>
  <c r="D53" i="42"/>
  <c r="D54" i="42"/>
  <c r="D55" i="42"/>
  <c r="E55" i="42" s="1"/>
  <c r="D56" i="42"/>
  <c r="E56" i="42" s="1"/>
  <c r="D57" i="42"/>
  <c r="D58" i="42"/>
  <c r="D59" i="42"/>
  <c r="E59" i="42" s="1"/>
  <c r="D60" i="42"/>
  <c r="E60" i="42" s="1"/>
  <c r="D61" i="42"/>
  <c r="D62" i="42"/>
  <c r="D63" i="42"/>
  <c r="E63" i="42" s="1"/>
  <c r="D64" i="42"/>
  <c r="E64" i="42" s="1"/>
  <c r="D65" i="42"/>
  <c r="D66" i="42"/>
  <c r="D67" i="42"/>
  <c r="E67" i="42" s="1"/>
  <c r="D68" i="42"/>
  <c r="E68" i="42" s="1"/>
  <c r="D69" i="42"/>
  <c r="D70" i="42"/>
  <c r="D71" i="42"/>
  <c r="E71" i="42" s="1"/>
  <c r="D72" i="42"/>
  <c r="E72" i="42" s="1"/>
  <c r="D73" i="42"/>
  <c r="D74" i="42"/>
  <c r="D75" i="42"/>
  <c r="E75" i="42" s="1"/>
  <c r="D76" i="42"/>
  <c r="E76" i="42" s="1"/>
  <c r="D77" i="42"/>
  <c r="D78" i="42"/>
  <c r="D79" i="42"/>
  <c r="E79" i="42" s="1"/>
  <c r="D80" i="42"/>
  <c r="E80" i="42" s="1"/>
  <c r="D81" i="42"/>
  <c r="D82" i="42"/>
  <c r="D83" i="42"/>
  <c r="E83" i="42" s="1"/>
  <c r="D84" i="42"/>
  <c r="E84" i="42" s="1"/>
  <c r="D85" i="42"/>
  <c r="D86" i="42"/>
  <c r="D87" i="42"/>
  <c r="E87" i="42" s="1"/>
  <c r="D88" i="42"/>
  <c r="E88" i="42" s="1"/>
  <c r="D89" i="42"/>
  <c r="D90" i="42"/>
  <c r="D91" i="42"/>
  <c r="E91" i="42" s="1"/>
  <c r="D92" i="42"/>
  <c r="E92" i="42" s="1"/>
  <c r="D93" i="42"/>
  <c r="D94" i="42"/>
  <c r="D95" i="42"/>
  <c r="E95" i="42" s="1"/>
  <c r="D96" i="42"/>
  <c r="E96" i="42" s="1"/>
  <c r="D97" i="42"/>
  <c r="D98" i="42"/>
  <c r="D99" i="42"/>
  <c r="E99" i="42" s="1"/>
  <c r="D100" i="42"/>
  <c r="E100" i="42" s="1"/>
  <c r="D101" i="42"/>
  <c r="D102" i="42"/>
  <c r="D48" i="42"/>
  <c r="E48" i="42" s="1"/>
  <c r="C50" i="42"/>
  <c r="C54" i="42"/>
  <c r="C58" i="42"/>
  <c r="C62" i="42"/>
  <c r="C66" i="42"/>
  <c r="C70" i="42"/>
  <c r="C74" i="42"/>
  <c r="C78" i="42"/>
  <c r="C82" i="42"/>
  <c r="C86" i="42"/>
  <c r="C90" i="42"/>
  <c r="C94" i="42"/>
  <c r="C98" i="42"/>
  <c r="C102" i="42"/>
  <c r="C12" i="42"/>
  <c r="C7" i="42"/>
  <c r="C51" i="42" s="1"/>
  <c r="C8" i="42"/>
  <c r="C11" i="42"/>
  <c r="C14" i="42"/>
  <c r="C18" i="42"/>
  <c r="F18" i="42" s="1"/>
  <c r="I43" i="42"/>
  <c r="K43" i="42" s="1"/>
  <c r="I42" i="42"/>
  <c r="K42" i="42" s="1"/>
  <c r="I41" i="42"/>
  <c r="K41" i="42" s="1"/>
  <c r="I40" i="42"/>
  <c r="K40" i="42" s="1"/>
  <c r="I39" i="42"/>
  <c r="K39" i="42" s="1"/>
  <c r="I38" i="42"/>
  <c r="K38" i="42" s="1"/>
  <c r="I12" i="42"/>
  <c r="I13" i="42" s="1"/>
  <c r="E54" i="30"/>
  <c r="E55" i="30"/>
  <c r="E64" i="30"/>
  <c r="E72" i="30"/>
  <c r="E80" i="30"/>
  <c r="E88" i="30"/>
  <c r="E96" i="30"/>
  <c r="D48" i="30"/>
  <c r="E48" i="30" s="1"/>
  <c r="D49" i="30"/>
  <c r="E49" i="30" s="1"/>
  <c r="D50" i="30"/>
  <c r="E50" i="30" s="1"/>
  <c r="D51" i="30"/>
  <c r="E51" i="30" s="1"/>
  <c r="D52" i="30"/>
  <c r="E52" i="30" s="1"/>
  <c r="D53" i="30"/>
  <c r="E53" i="30" s="1"/>
  <c r="D54" i="30"/>
  <c r="D55" i="30"/>
  <c r="D56" i="30"/>
  <c r="E56" i="30" s="1"/>
  <c r="D57" i="30"/>
  <c r="E57" i="30" s="1"/>
  <c r="D58" i="30"/>
  <c r="E58" i="30" s="1"/>
  <c r="D59" i="30"/>
  <c r="E59" i="30" s="1"/>
  <c r="D60" i="30"/>
  <c r="E60" i="30" s="1"/>
  <c r="D61" i="30"/>
  <c r="E61" i="30" s="1"/>
  <c r="D62" i="30"/>
  <c r="E62" i="30" s="1"/>
  <c r="D63" i="30"/>
  <c r="E63" i="30" s="1"/>
  <c r="D64" i="30"/>
  <c r="D65" i="30"/>
  <c r="E65" i="30" s="1"/>
  <c r="D66" i="30"/>
  <c r="E66" i="30" s="1"/>
  <c r="D67" i="30"/>
  <c r="E67" i="30" s="1"/>
  <c r="D68" i="30"/>
  <c r="E68" i="30" s="1"/>
  <c r="D69" i="30"/>
  <c r="E69" i="30" s="1"/>
  <c r="D70" i="30"/>
  <c r="E70" i="30" s="1"/>
  <c r="D71" i="30"/>
  <c r="E71" i="30" s="1"/>
  <c r="D72" i="30"/>
  <c r="D73" i="30"/>
  <c r="E73" i="30" s="1"/>
  <c r="D74" i="30"/>
  <c r="E74" i="30" s="1"/>
  <c r="D75" i="30"/>
  <c r="E75" i="30" s="1"/>
  <c r="D76" i="30"/>
  <c r="E76" i="30" s="1"/>
  <c r="D77" i="30"/>
  <c r="E77" i="30" s="1"/>
  <c r="D78" i="30"/>
  <c r="E78" i="30" s="1"/>
  <c r="D79" i="30"/>
  <c r="E79" i="30" s="1"/>
  <c r="D80" i="30"/>
  <c r="D81" i="30"/>
  <c r="E81" i="30" s="1"/>
  <c r="D82" i="30"/>
  <c r="E82" i="30" s="1"/>
  <c r="D83" i="30"/>
  <c r="E83" i="30" s="1"/>
  <c r="D84" i="30"/>
  <c r="E84" i="30" s="1"/>
  <c r="D85" i="30"/>
  <c r="E85" i="30" s="1"/>
  <c r="D86" i="30"/>
  <c r="E86" i="30" s="1"/>
  <c r="D87" i="30"/>
  <c r="E87" i="30" s="1"/>
  <c r="D88" i="30"/>
  <c r="D89" i="30"/>
  <c r="E89" i="30" s="1"/>
  <c r="D90" i="30"/>
  <c r="E90" i="30" s="1"/>
  <c r="D91" i="30"/>
  <c r="E91" i="30" s="1"/>
  <c r="D92" i="30"/>
  <c r="E92" i="30" s="1"/>
  <c r="D93" i="30"/>
  <c r="E93" i="30" s="1"/>
  <c r="D94" i="30"/>
  <c r="E94" i="30" s="1"/>
  <c r="D95" i="30"/>
  <c r="E95" i="30" s="1"/>
  <c r="D96" i="30"/>
  <c r="D97" i="30"/>
  <c r="E97" i="30" s="1"/>
  <c r="D98" i="30"/>
  <c r="E98" i="30" s="1"/>
  <c r="D99" i="30"/>
  <c r="E99" i="30" s="1"/>
  <c r="D100" i="30"/>
  <c r="E100" i="30" s="1"/>
  <c r="D101" i="30"/>
  <c r="E101" i="30" s="1"/>
  <c r="D47" i="30"/>
  <c r="E47" i="30" s="1"/>
  <c r="E48" i="25"/>
  <c r="E49" i="25"/>
  <c r="E51" i="25"/>
  <c r="E52" i="25"/>
  <c r="E53" i="25"/>
  <c r="E54" i="25"/>
  <c r="E55" i="25"/>
  <c r="E56" i="25"/>
  <c r="E57" i="25"/>
  <c r="E58" i="25"/>
  <c r="E59" i="25"/>
  <c r="E60" i="25"/>
  <c r="E61" i="25"/>
  <c r="E62" i="25"/>
  <c r="E63" i="25"/>
  <c r="E64" i="25"/>
  <c r="E65" i="25"/>
  <c r="E66" i="25"/>
  <c r="E67" i="25"/>
  <c r="E68" i="25"/>
  <c r="E69" i="25"/>
  <c r="E70" i="25"/>
  <c r="E71" i="25"/>
  <c r="E72" i="25"/>
  <c r="E73" i="25"/>
  <c r="E74" i="25"/>
  <c r="E75" i="25"/>
  <c r="E76" i="25"/>
  <c r="E77" i="25"/>
  <c r="E78" i="25"/>
  <c r="E79" i="25"/>
  <c r="E80" i="25"/>
  <c r="E81" i="25"/>
  <c r="E82" i="25"/>
  <c r="E83" i="25"/>
  <c r="E84" i="25"/>
  <c r="E85" i="25"/>
  <c r="E86" i="25"/>
  <c r="E87" i="25"/>
  <c r="E88" i="25"/>
  <c r="E89" i="25"/>
  <c r="E90" i="25"/>
  <c r="E91" i="25"/>
  <c r="E92" i="25"/>
  <c r="E93" i="25"/>
  <c r="E94" i="25"/>
  <c r="E95" i="25"/>
  <c r="E96" i="25"/>
  <c r="E97" i="25"/>
  <c r="E98" i="25"/>
  <c r="E99" i="25"/>
  <c r="E100" i="25"/>
  <c r="E101" i="25"/>
  <c r="E47" i="25"/>
  <c r="D48" i="25"/>
  <c r="D49" i="25"/>
  <c r="D50" i="25"/>
  <c r="E50" i="25" s="1"/>
  <c r="D51" i="25"/>
  <c r="D52" i="25"/>
  <c r="D53" i="25"/>
  <c r="D54" i="25"/>
  <c r="D55" i="25"/>
  <c r="D56" i="25"/>
  <c r="D57" i="25"/>
  <c r="D58" i="25"/>
  <c r="D59" i="25"/>
  <c r="D60" i="25"/>
  <c r="D61" i="25"/>
  <c r="D62" i="25"/>
  <c r="D63" i="25"/>
  <c r="D64" i="25"/>
  <c r="D65" i="25"/>
  <c r="D66" i="25"/>
  <c r="D67" i="25"/>
  <c r="D68" i="25"/>
  <c r="D69" i="25"/>
  <c r="D70" i="25"/>
  <c r="D71" i="25"/>
  <c r="D72" i="25"/>
  <c r="D73" i="25"/>
  <c r="D74" i="25"/>
  <c r="D75" i="25"/>
  <c r="D76" i="25"/>
  <c r="D77" i="25"/>
  <c r="D78" i="25"/>
  <c r="D79" i="25"/>
  <c r="D80" i="25"/>
  <c r="D81" i="25"/>
  <c r="D82" i="25"/>
  <c r="D83" i="25"/>
  <c r="D84" i="25"/>
  <c r="D85" i="25"/>
  <c r="D86" i="25"/>
  <c r="D87" i="25"/>
  <c r="D88" i="25"/>
  <c r="D89" i="25"/>
  <c r="D90" i="25"/>
  <c r="D91" i="25"/>
  <c r="D92" i="25"/>
  <c r="D93" i="25"/>
  <c r="D94" i="25"/>
  <c r="D95" i="25"/>
  <c r="D96" i="25"/>
  <c r="D97" i="25"/>
  <c r="D98" i="25"/>
  <c r="D99" i="25"/>
  <c r="D100" i="25"/>
  <c r="D101" i="25"/>
  <c r="D47" i="25"/>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46" i="28"/>
  <c r="D17" i="28"/>
  <c r="D18" i="28"/>
  <c r="D19" i="28"/>
  <c r="D20" i="28"/>
  <c r="D21" i="28"/>
  <c r="D22" i="28"/>
  <c r="D23" i="28"/>
  <c r="D24" i="28"/>
  <c r="D25" i="28"/>
  <c r="D26" i="28"/>
  <c r="D27" i="28"/>
  <c r="D28" i="28"/>
  <c r="D29" i="28"/>
  <c r="D30" i="28"/>
  <c r="D31" i="28"/>
  <c r="D32" i="28"/>
  <c r="D33" i="28"/>
  <c r="D34" i="28"/>
  <c r="D35" i="28"/>
  <c r="D36" i="28"/>
  <c r="D37" i="28"/>
  <c r="D38" i="28"/>
  <c r="D39" i="28"/>
  <c r="D40" i="28"/>
  <c r="D41" i="28"/>
  <c r="D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16" i="28"/>
  <c r="D47" i="28"/>
  <c r="D48" i="28"/>
  <c r="D49" i="28"/>
  <c r="D50" i="28"/>
  <c r="D51" i="28"/>
  <c r="D52" i="28"/>
  <c r="D53" i="28"/>
  <c r="D54" i="28"/>
  <c r="D55" i="28"/>
  <c r="D56" i="28"/>
  <c r="D57" i="28"/>
  <c r="D58" i="28"/>
  <c r="D59" i="28"/>
  <c r="D60" i="28"/>
  <c r="D61" i="28"/>
  <c r="D62" i="28"/>
  <c r="D63" i="28"/>
  <c r="D64" i="28"/>
  <c r="D65" i="28"/>
  <c r="D66" i="28"/>
  <c r="D67" i="28"/>
  <c r="D68" i="28"/>
  <c r="D69" i="28"/>
  <c r="D70" i="28"/>
  <c r="D71" i="28"/>
  <c r="D72" i="28"/>
  <c r="D73" i="28"/>
  <c r="D74" i="28"/>
  <c r="D75" i="28"/>
  <c r="D76" i="28"/>
  <c r="D77" i="28"/>
  <c r="D78" i="28"/>
  <c r="D79" i="28"/>
  <c r="D80" i="28"/>
  <c r="D81" i="28"/>
  <c r="D82" i="28"/>
  <c r="D83" i="28"/>
  <c r="D84" i="28"/>
  <c r="D85" i="28"/>
  <c r="D86" i="28"/>
  <c r="D87" i="28"/>
  <c r="D88" i="28"/>
  <c r="D89" i="28"/>
  <c r="D90" i="28"/>
  <c r="D91" i="28"/>
  <c r="D92" i="28"/>
  <c r="D93" i="28"/>
  <c r="D94" i="28"/>
  <c r="D95" i="28"/>
  <c r="D96" i="28"/>
  <c r="D97" i="28"/>
  <c r="D98" i="28"/>
  <c r="D99" i="28"/>
  <c r="D100" i="28"/>
  <c r="D46" i="28"/>
  <c r="C5" i="28"/>
  <c r="E49" i="27"/>
  <c r="E53" i="27"/>
  <c r="E57" i="27"/>
  <c r="E61" i="27"/>
  <c r="E65" i="27"/>
  <c r="E69" i="27"/>
  <c r="E73" i="27"/>
  <c r="E77" i="27"/>
  <c r="E81" i="27"/>
  <c r="E85" i="27"/>
  <c r="E89" i="27"/>
  <c r="E93" i="27"/>
  <c r="E97" i="27"/>
  <c r="E101" i="27"/>
  <c r="D48" i="27"/>
  <c r="E48" i="27" s="1"/>
  <c r="D49" i="27"/>
  <c r="D50" i="27"/>
  <c r="E50" i="27" s="1"/>
  <c r="D51" i="27"/>
  <c r="E51" i="27" s="1"/>
  <c r="D52" i="27"/>
  <c r="E52" i="27" s="1"/>
  <c r="D53" i="27"/>
  <c r="D54" i="27"/>
  <c r="E54" i="27" s="1"/>
  <c r="D55" i="27"/>
  <c r="E55" i="27" s="1"/>
  <c r="D56" i="27"/>
  <c r="E56" i="27" s="1"/>
  <c r="D57" i="27"/>
  <c r="D58" i="27"/>
  <c r="E58" i="27" s="1"/>
  <c r="D59" i="27"/>
  <c r="E59" i="27" s="1"/>
  <c r="D60" i="27"/>
  <c r="E60" i="27" s="1"/>
  <c r="D61" i="27"/>
  <c r="D62" i="27"/>
  <c r="E62" i="27" s="1"/>
  <c r="D63" i="27"/>
  <c r="E63" i="27" s="1"/>
  <c r="D64" i="27"/>
  <c r="E64" i="27" s="1"/>
  <c r="D65" i="27"/>
  <c r="D66" i="27"/>
  <c r="E66" i="27" s="1"/>
  <c r="D67" i="27"/>
  <c r="E67" i="27" s="1"/>
  <c r="D68" i="27"/>
  <c r="E68" i="27" s="1"/>
  <c r="D69" i="27"/>
  <c r="D70" i="27"/>
  <c r="E70" i="27" s="1"/>
  <c r="D71" i="27"/>
  <c r="E71" i="27" s="1"/>
  <c r="D72" i="27"/>
  <c r="E72" i="27" s="1"/>
  <c r="D73" i="27"/>
  <c r="D74" i="27"/>
  <c r="E74" i="27" s="1"/>
  <c r="D75" i="27"/>
  <c r="E75" i="27" s="1"/>
  <c r="D76" i="27"/>
  <c r="E76" i="27" s="1"/>
  <c r="D77" i="27"/>
  <c r="D78" i="27"/>
  <c r="E78" i="27" s="1"/>
  <c r="D79" i="27"/>
  <c r="E79" i="27" s="1"/>
  <c r="D80" i="27"/>
  <c r="E80" i="27" s="1"/>
  <c r="D81" i="27"/>
  <c r="D82" i="27"/>
  <c r="E82" i="27" s="1"/>
  <c r="D83" i="27"/>
  <c r="E83" i="27" s="1"/>
  <c r="D84" i="27"/>
  <c r="E84" i="27" s="1"/>
  <c r="D85" i="27"/>
  <c r="D86" i="27"/>
  <c r="E86" i="27" s="1"/>
  <c r="D87" i="27"/>
  <c r="E87" i="27" s="1"/>
  <c r="D88" i="27"/>
  <c r="E88" i="27" s="1"/>
  <c r="D89" i="27"/>
  <c r="D90" i="27"/>
  <c r="E90" i="27" s="1"/>
  <c r="D91" i="27"/>
  <c r="E91" i="27" s="1"/>
  <c r="D92" i="27"/>
  <c r="E92" i="27" s="1"/>
  <c r="D93" i="27"/>
  <c r="D94" i="27"/>
  <c r="E94" i="27" s="1"/>
  <c r="D95" i="27"/>
  <c r="E95" i="27" s="1"/>
  <c r="D96" i="27"/>
  <c r="E96" i="27" s="1"/>
  <c r="D97" i="27"/>
  <c r="D98" i="27"/>
  <c r="E98" i="27" s="1"/>
  <c r="D99" i="27"/>
  <c r="E99" i="27" s="1"/>
  <c r="D100" i="27"/>
  <c r="E100" i="27" s="1"/>
  <c r="D101" i="27"/>
  <c r="D47" i="27"/>
  <c r="E47" i="27" s="1"/>
  <c r="D49" i="31"/>
  <c r="E49" i="31" s="1"/>
  <c r="D50" i="31"/>
  <c r="E50" i="31" s="1"/>
  <c r="D51" i="31"/>
  <c r="E51" i="31" s="1"/>
  <c r="D52" i="31"/>
  <c r="E52" i="31" s="1"/>
  <c r="D53" i="31"/>
  <c r="E53" i="31" s="1"/>
  <c r="D54" i="31"/>
  <c r="E54" i="31" s="1"/>
  <c r="D55" i="31"/>
  <c r="E55" i="31" s="1"/>
  <c r="D56" i="31"/>
  <c r="E56" i="31" s="1"/>
  <c r="D57" i="31"/>
  <c r="E57" i="31" s="1"/>
  <c r="D58" i="31"/>
  <c r="E58" i="31" s="1"/>
  <c r="D59" i="31"/>
  <c r="E59" i="31" s="1"/>
  <c r="D60" i="31"/>
  <c r="E60" i="31" s="1"/>
  <c r="D61" i="31"/>
  <c r="E61" i="31" s="1"/>
  <c r="D62" i="31"/>
  <c r="E62" i="31" s="1"/>
  <c r="D63" i="31"/>
  <c r="E63" i="31" s="1"/>
  <c r="D64" i="31"/>
  <c r="E64" i="31" s="1"/>
  <c r="D65" i="31"/>
  <c r="E65" i="31" s="1"/>
  <c r="D66" i="31"/>
  <c r="E66" i="31" s="1"/>
  <c r="D67" i="31"/>
  <c r="E67" i="31" s="1"/>
  <c r="D68" i="31"/>
  <c r="E68" i="31" s="1"/>
  <c r="D69" i="31"/>
  <c r="E69" i="31" s="1"/>
  <c r="D70" i="31"/>
  <c r="E70" i="31" s="1"/>
  <c r="D71" i="31"/>
  <c r="E71" i="31" s="1"/>
  <c r="D72" i="31"/>
  <c r="E72" i="31" s="1"/>
  <c r="D73" i="31"/>
  <c r="E73" i="31" s="1"/>
  <c r="D74" i="31"/>
  <c r="E74" i="31" s="1"/>
  <c r="D75" i="31"/>
  <c r="E75" i="31" s="1"/>
  <c r="D76" i="31"/>
  <c r="E76" i="31" s="1"/>
  <c r="D77" i="31"/>
  <c r="E77" i="31" s="1"/>
  <c r="D78" i="31"/>
  <c r="E78" i="31" s="1"/>
  <c r="D79" i="31"/>
  <c r="E79" i="31" s="1"/>
  <c r="D80" i="31"/>
  <c r="E80" i="31" s="1"/>
  <c r="D81" i="31"/>
  <c r="E81" i="31" s="1"/>
  <c r="D82" i="31"/>
  <c r="E82" i="31" s="1"/>
  <c r="D83" i="31"/>
  <c r="E83" i="31" s="1"/>
  <c r="D84" i="31"/>
  <c r="E84" i="31" s="1"/>
  <c r="D85" i="31"/>
  <c r="E85" i="31" s="1"/>
  <c r="D86" i="31"/>
  <c r="E86" i="31" s="1"/>
  <c r="D87" i="31"/>
  <c r="E87" i="31" s="1"/>
  <c r="D88" i="31"/>
  <c r="E88" i="31" s="1"/>
  <c r="D89" i="31"/>
  <c r="E89" i="31" s="1"/>
  <c r="D90" i="31"/>
  <c r="E90" i="31" s="1"/>
  <c r="D91" i="31"/>
  <c r="E91" i="31" s="1"/>
  <c r="D92" i="31"/>
  <c r="E92" i="31" s="1"/>
  <c r="D93" i="31"/>
  <c r="E93" i="31" s="1"/>
  <c r="D94" i="31"/>
  <c r="E94" i="31" s="1"/>
  <c r="D95" i="31"/>
  <c r="E95" i="31" s="1"/>
  <c r="D96" i="31"/>
  <c r="E96" i="31" s="1"/>
  <c r="D97" i="31"/>
  <c r="E97" i="31" s="1"/>
  <c r="D98" i="31"/>
  <c r="E98" i="31" s="1"/>
  <c r="D99" i="31"/>
  <c r="E99" i="31" s="1"/>
  <c r="D100" i="31"/>
  <c r="E100" i="31" s="1"/>
  <c r="D101" i="31"/>
  <c r="E101" i="31" s="1"/>
  <c r="D102" i="31"/>
  <c r="E102" i="31" s="1"/>
  <c r="D48" i="31"/>
  <c r="E48" i="31" s="1"/>
  <c r="E60" i="41"/>
  <c r="E76" i="41"/>
  <c r="E92" i="41"/>
  <c r="D49" i="41"/>
  <c r="E49" i="41" s="1"/>
  <c r="D50" i="41"/>
  <c r="E50" i="41" s="1"/>
  <c r="D51" i="41"/>
  <c r="E51" i="41" s="1"/>
  <c r="D52" i="41"/>
  <c r="E52" i="41" s="1"/>
  <c r="D53" i="41"/>
  <c r="E53" i="41" s="1"/>
  <c r="D54" i="41"/>
  <c r="E54" i="41" s="1"/>
  <c r="D55" i="41"/>
  <c r="E55" i="41" s="1"/>
  <c r="D56" i="41"/>
  <c r="E56" i="41" s="1"/>
  <c r="D57" i="41"/>
  <c r="E57" i="41" s="1"/>
  <c r="D58" i="41"/>
  <c r="E58" i="41" s="1"/>
  <c r="D59" i="41"/>
  <c r="E59" i="41" s="1"/>
  <c r="D60" i="41"/>
  <c r="D61" i="41"/>
  <c r="E61" i="41" s="1"/>
  <c r="D62" i="41"/>
  <c r="E62" i="41" s="1"/>
  <c r="D63" i="41"/>
  <c r="E63" i="41" s="1"/>
  <c r="D64" i="41"/>
  <c r="E64" i="41" s="1"/>
  <c r="D65" i="41"/>
  <c r="E65" i="41" s="1"/>
  <c r="D66" i="41"/>
  <c r="E66" i="41" s="1"/>
  <c r="D67" i="41"/>
  <c r="E67" i="41" s="1"/>
  <c r="D68" i="41"/>
  <c r="E68" i="41" s="1"/>
  <c r="D69" i="41"/>
  <c r="E69" i="41" s="1"/>
  <c r="D70" i="41"/>
  <c r="E70" i="41" s="1"/>
  <c r="D71" i="41"/>
  <c r="E71" i="41" s="1"/>
  <c r="D72" i="41"/>
  <c r="E72" i="41" s="1"/>
  <c r="D73" i="41"/>
  <c r="E73" i="41" s="1"/>
  <c r="D74" i="41"/>
  <c r="E74" i="41" s="1"/>
  <c r="D75" i="41"/>
  <c r="E75" i="41" s="1"/>
  <c r="D76" i="41"/>
  <c r="D77" i="41"/>
  <c r="E77" i="41" s="1"/>
  <c r="D78" i="41"/>
  <c r="E78" i="41" s="1"/>
  <c r="D79" i="41"/>
  <c r="E79" i="41" s="1"/>
  <c r="D80" i="41"/>
  <c r="E80" i="41" s="1"/>
  <c r="D81" i="41"/>
  <c r="E81" i="41" s="1"/>
  <c r="D82" i="41"/>
  <c r="E82" i="41" s="1"/>
  <c r="D83" i="41"/>
  <c r="E83" i="41" s="1"/>
  <c r="D84" i="41"/>
  <c r="E84" i="41" s="1"/>
  <c r="D85" i="41"/>
  <c r="E85" i="41" s="1"/>
  <c r="D86" i="41"/>
  <c r="E86" i="41" s="1"/>
  <c r="D87" i="41"/>
  <c r="E87" i="41" s="1"/>
  <c r="D88" i="41"/>
  <c r="E88" i="41" s="1"/>
  <c r="D89" i="41"/>
  <c r="E89" i="41" s="1"/>
  <c r="D90" i="41"/>
  <c r="E90" i="41" s="1"/>
  <c r="D91" i="41"/>
  <c r="E91" i="41" s="1"/>
  <c r="D92" i="41"/>
  <c r="D93" i="41"/>
  <c r="E93" i="41" s="1"/>
  <c r="D94" i="41"/>
  <c r="E94" i="41" s="1"/>
  <c r="D95" i="41"/>
  <c r="E95" i="41" s="1"/>
  <c r="D96" i="41"/>
  <c r="E96" i="41" s="1"/>
  <c r="D97" i="41"/>
  <c r="E97" i="41" s="1"/>
  <c r="D98" i="41"/>
  <c r="E98" i="41" s="1"/>
  <c r="D99" i="41"/>
  <c r="E99" i="41" s="1"/>
  <c r="D100" i="41"/>
  <c r="E100" i="41" s="1"/>
  <c r="D101" i="41"/>
  <c r="E101" i="41" s="1"/>
  <c r="D102" i="41"/>
  <c r="E102" i="41" s="1"/>
  <c r="D48" i="41"/>
  <c r="E48" i="41" s="1"/>
  <c r="I43" i="41"/>
  <c r="K43" i="41" s="1"/>
  <c r="I42" i="41"/>
  <c r="K42" i="41" s="1"/>
  <c r="K41" i="41"/>
  <c r="I41" i="41"/>
  <c r="I40" i="41"/>
  <c r="K40" i="41" s="1"/>
  <c r="I39" i="41"/>
  <c r="K39" i="41" s="1"/>
  <c r="I38" i="41"/>
  <c r="K38" i="41" s="1"/>
  <c r="C18" i="41"/>
  <c r="I12" i="41"/>
  <c r="I13" i="41" s="1"/>
  <c r="C10" i="41"/>
  <c r="C13" i="41" s="1"/>
  <c r="B19" i="41" s="1"/>
  <c r="C7" i="41"/>
  <c r="C6" i="41"/>
  <c r="C8" i="31"/>
  <c r="C7" i="27"/>
  <c r="C8" i="25"/>
  <c r="H10" i="39"/>
  <c r="D13" i="39"/>
  <c r="D14" i="39"/>
  <c r="D17" i="39"/>
  <c r="D19" i="39"/>
  <c r="D21" i="39"/>
  <c r="D22" i="39"/>
  <c r="D25" i="39"/>
  <c r="D27" i="39"/>
  <c r="D29" i="39"/>
  <c r="D30" i="39"/>
  <c r="D34" i="39"/>
  <c r="D35" i="39"/>
  <c r="C35" i="39"/>
  <c r="C34" i="39"/>
  <c r="H33" i="39"/>
  <c r="J33" i="39" s="1"/>
  <c r="C33" i="39"/>
  <c r="H32" i="39"/>
  <c r="J32" i="39" s="1"/>
  <c r="C32" i="39"/>
  <c r="D32" i="39" s="1"/>
  <c r="H31" i="39"/>
  <c r="J31" i="39" s="1"/>
  <c r="C31" i="39"/>
  <c r="D31" i="39" s="1"/>
  <c r="H30" i="39"/>
  <c r="J30" i="39" s="1"/>
  <c r="C30" i="39"/>
  <c r="C29" i="39"/>
  <c r="C28" i="39"/>
  <c r="C27" i="39"/>
  <c r="C26" i="39"/>
  <c r="D26" i="39" s="1"/>
  <c r="C25" i="39"/>
  <c r="C24" i="39"/>
  <c r="D24" i="39" s="1"/>
  <c r="C23" i="39"/>
  <c r="D23" i="39" s="1"/>
  <c r="C22" i="39"/>
  <c r="C21" i="39"/>
  <c r="C20" i="39"/>
  <c r="C19" i="39"/>
  <c r="C18" i="39"/>
  <c r="D18" i="39" s="1"/>
  <c r="C17" i="39"/>
  <c r="C16" i="39"/>
  <c r="D16" i="39" s="1"/>
  <c r="C15" i="39"/>
  <c r="D15" i="39" s="1"/>
  <c r="E15" i="39" s="1"/>
  <c r="C14" i="39"/>
  <c r="C13" i="39"/>
  <c r="C12" i="39"/>
  <c r="C11" i="39"/>
  <c r="D11" i="39" s="1"/>
  <c r="C10" i="39"/>
  <c r="H10" i="38"/>
  <c r="H33" i="38"/>
  <c r="J33" i="38" s="1"/>
  <c r="C34" i="38"/>
  <c r="D34" i="38" s="1"/>
  <c r="H32" i="38"/>
  <c r="J32" i="38" s="1"/>
  <c r="H31" i="38"/>
  <c r="J31" i="38" s="1"/>
  <c r="C31" i="38"/>
  <c r="D31" i="38" s="1"/>
  <c r="H30" i="38"/>
  <c r="J30" i="38" s="1"/>
  <c r="C30" i="38"/>
  <c r="D30" i="38" s="1"/>
  <c r="C29" i="38"/>
  <c r="C26" i="38"/>
  <c r="D26" i="38" s="1"/>
  <c r="C24" i="38"/>
  <c r="D24" i="38" s="1"/>
  <c r="C23" i="38"/>
  <c r="D23" i="38" s="1"/>
  <c r="C22" i="38"/>
  <c r="D22" i="38" s="1"/>
  <c r="C21" i="38"/>
  <c r="D21" i="38" s="1"/>
  <c r="C18" i="38"/>
  <c r="D18" i="38" s="1"/>
  <c r="C17" i="38"/>
  <c r="D17" i="38" s="1"/>
  <c r="C16" i="38"/>
  <c r="D16" i="38" s="1"/>
  <c r="C15" i="38"/>
  <c r="C14" i="38"/>
  <c r="D14" i="38" s="1"/>
  <c r="C13" i="38"/>
  <c r="D13" i="38" s="1"/>
  <c r="C10" i="38"/>
  <c r="D10" i="38" s="1"/>
  <c r="C32" i="38"/>
  <c r="D32" i="38" s="1"/>
  <c r="C12" i="31"/>
  <c r="I12" i="31"/>
  <c r="I13" i="31" s="1"/>
  <c r="B49" i="36"/>
  <c r="B50" i="36" s="1"/>
  <c r="C50" i="36" s="1"/>
  <c r="C5" i="36"/>
  <c r="C49" i="36" s="1"/>
  <c r="H34" i="36"/>
  <c r="J34" i="36" s="1"/>
  <c r="H33" i="36"/>
  <c r="J33" i="36" s="1"/>
  <c r="H32" i="36"/>
  <c r="J32" i="36" s="1"/>
  <c r="H31" i="36"/>
  <c r="J31" i="36" s="1"/>
  <c r="H30" i="36"/>
  <c r="J30" i="36" s="1"/>
  <c r="C15" i="36"/>
  <c r="C31" i="43" l="1"/>
  <c r="D31" i="43" s="1"/>
  <c r="C29" i="43"/>
  <c r="D29" i="43" s="1"/>
  <c r="C30" i="43"/>
  <c r="D30" i="43" s="1"/>
  <c r="C37" i="43"/>
  <c r="C22" i="43"/>
  <c r="C43" i="43"/>
  <c r="D43" i="43" s="1"/>
  <c r="C21" i="43"/>
  <c r="D21" i="43" s="1"/>
  <c r="C100" i="41"/>
  <c r="C92" i="41"/>
  <c r="C84" i="41"/>
  <c r="C76" i="41"/>
  <c r="C68" i="41"/>
  <c r="C56" i="41"/>
  <c r="C48" i="41"/>
  <c r="C99" i="41"/>
  <c r="C95" i="41"/>
  <c r="C91" i="41"/>
  <c r="C87" i="41"/>
  <c r="C83" i="41"/>
  <c r="C79" i="41"/>
  <c r="C75" i="41"/>
  <c r="C71" i="41"/>
  <c r="C67" i="41"/>
  <c r="C63" i="41"/>
  <c r="C59" i="41"/>
  <c r="C55" i="41"/>
  <c r="C51" i="41"/>
  <c r="C102" i="41"/>
  <c r="C98" i="41"/>
  <c r="C94" i="41"/>
  <c r="C90" i="41"/>
  <c r="C86" i="41"/>
  <c r="C82" i="41"/>
  <c r="C78" i="41"/>
  <c r="C74" i="41"/>
  <c r="C70" i="41"/>
  <c r="C66" i="41"/>
  <c r="C62" i="41"/>
  <c r="C58" i="41"/>
  <c r="C54" i="41"/>
  <c r="C50" i="41"/>
  <c r="C96" i="41"/>
  <c r="C88" i="41"/>
  <c r="C80" i="41"/>
  <c r="C72" i="41"/>
  <c r="C64" i="41"/>
  <c r="C60" i="41"/>
  <c r="D18" i="41"/>
  <c r="C101" i="41"/>
  <c r="C97" i="41"/>
  <c r="C93" i="41"/>
  <c r="C89" i="41"/>
  <c r="C85" i="41"/>
  <c r="C81" i="41"/>
  <c r="C77" i="41"/>
  <c r="C73" i="41"/>
  <c r="C69" i="41"/>
  <c r="C65" i="41"/>
  <c r="C61" i="41"/>
  <c r="C57" i="41"/>
  <c r="C53" i="41"/>
  <c r="C101" i="42"/>
  <c r="C93" i="42"/>
  <c r="C89" i="42"/>
  <c r="C81" i="42"/>
  <c r="C77" i="42"/>
  <c r="C69" i="42"/>
  <c r="C65" i="42"/>
  <c r="C57" i="42"/>
  <c r="C49" i="42"/>
  <c r="C100" i="42"/>
  <c r="C96" i="42"/>
  <c r="C92" i="42"/>
  <c r="C88" i="42"/>
  <c r="C84" i="42"/>
  <c r="C80" i="42"/>
  <c r="C76" i="42"/>
  <c r="C72" i="42"/>
  <c r="C68" i="42"/>
  <c r="C64" i="42"/>
  <c r="C60" i="42"/>
  <c r="C56" i="42"/>
  <c r="C52" i="42"/>
  <c r="C97" i="42"/>
  <c r="C85" i="42"/>
  <c r="C73" i="42"/>
  <c r="C61" i="42"/>
  <c r="C53" i="42"/>
  <c r="C48" i="42"/>
  <c r="C99" i="42"/>
  <c r="C95" i="42"/>
  <c r="C91" i="42"/>
  <c r="C87" i="42"/>
  <c r="C83" i="42"/>
  <c r="C79" i="42"/>
  <c r="C75" i="42"/>
  <c r="C71" i="42"/>
  <c r="C67" i="42"/>
  <c r="C63" i="42"/>
  <c r="C59" i="42"/>
  <c r="C55" i="42"/>
  <c r="C10" i="36"/>
  <c r="C11" i="36"/>
  <c r="F18" i="41"/>
  <c r="B19" i="42"/>
  <c r="I44" i="42"/>
  <c r="K44" i="42" s="1"/>
  <c r="I9" i="42"/>
  <c r="E18" i="41"/>
  <c r="B20" i="41"/>
  <c r="C19" i="41"/>
  <c r="I9" i="41"/>
  <c r="E10" i="39"/>
  <c r="E19" i="39"/>
  <c r="E27" i="39"/>
  <c r="D33" i="39"/>
  <c r="E33" i="39" s="1"/>
  <c r="E22" i="39"/>
  <c r="E30" i="39"/>
  <c r="E34" i="39"/>
  <c r="E35" i="39"/>
  <c r="D10" i="39"/>
  <c r="E17" i="39"/>
  <c r="E25" i="39"/>
  <c r="D28" i="39"/>
  <c r="E28" i="39" s="1"/>
  <c r="D20" i="39"/>
  <c r="E20" i="39" s="1"/>
  <c r="D12" i="39"/>
  <c r="E12" i="39" s="1"/>
  <c r="E32" i="39"/>
  <c r="E13" i="39"/>
  <c r="E14" i="39"/>
  <c r="E21" i="39"/>
  <c r="E29" i="39"/>
  <c r="E23" i="39"/>
  <c r="E16" i="39"/>
  <c r="E24" i="39"/>
  <c r="E31" i="39"/>
  <c r="E18" i="39"/>
  <c r="E26" i="39"/>
  <c r="E11" i="39"/>
  <c r="D15" i="38"/>
  <c r="E15" i="38" s="1"/>
  <c r="E30" i="38"/>
  <c r="D29" i="38"/>
  <c r="E29" i="38" s="1"/>
  <c r="E16" i="38"/>
  <c r="E10" i="38"/>
  <c r="E21" i="38"/>
  <c r="E14" i="38"/>
  <c r="E24" i="38"/>
  <c r="E26" i="38"/>
  <c r="E34" i="38"/>
  <c r="E17" i="38"/>
  <c r="E32" i="38"/>
  <c r="E18" i="38"/>
  <c r="E31" i="38"/>
  <c r="E22" i="38"/>
  <c r="E13" i="38"/>
  <c r="E23" i="38"/>
  <c r="C11" i="38"/>
  <c r="C19" i="38"/>
  <c r="C27" i="38"/>
  <c r="C33" i="38"/>
  <c r="C25" i="38"/>
  <c r="C35" i="38"/>
  <c r="C12" i="38"/>
  <c r="C20" i="38"/>
  <c r="C28" i="38"/>
  <c r="B51" i="36"/>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D49" i="36"/>
  <c r="E49" i="36" s="1"/>
  <c r="C43" i="36"/>
  <c r="C39" i="36"/>
  <c r="C35" i="36"/>
  <c r="D35" i="36" s="1"/>
  <c r="E35" i="36" s="1"/>
  <c r="C31" i="36"/>
  <c r="D31" i="36" s="1"/>
  <c r="E31" i="36" s="1"/>
  <c r="C22" i="36"/>
  <c r="C19" i="36"/>
  <c r="D19" i="36" s="1"/>
  <c r="E19" i="36" s="1"/>
  <c r="C41" i="36"/>
  <c r="D41" i="36" s="1"/>
  <c r="E41" i="36" s="1"/>
  <c r="C37" i="36"/>
  <c r="D37" i="36" s="1"/>
  <c r="E37" i="36" s="1"/>
  <c r="C33" i="36"/>
  <c r="C27" i="36"/>
  <c r="D27" i="36" s="1"/>
  <c r="E27" i="36" s="1"/>
  <c r="C44" i="36"/>
  <c r="D44" i="36" s="1"/>
  <c r="E44" i="36" s="1"/>
  <c r="C40" i="36"/>
  <c r="D40" i="36" s="1"/>
  <c r="E40" i="36" s="1"/>
  <c r="C36" i="36"/>
  <c r="C32" i="36"/>
  <c r="D32" i="36" s="1"/>
  <c r="E32" i="36" s="1"/>
  <c r="C25" i="36"/>
  <c r="D25" i="36" s="1"/>
  <c r="E25" i="36" s="1"/>
  <c r="C42" i="36"/>
  <c r="D42" i="36" s="1"/>
  <c r="E42" i="36" s="1"/>
  <c r="C38" i="36"/>
  <c r="C34" i="36"/>
  <c r="C29" i="36"/>
  <c r="D29" i="36" s="1"/>
  <c r="E29" i="36" s="1"/>
  <c r="C23" i="36"/>
  <c r="D23" i="36" s="1"/>
  <c r="E23" i="36" s="1"/>
  <c r="C30" i="36"/>
  <c r="C26" i="36"/>
  <c r="D26" i="36" s="1"/>
  <c r="E26" i="36" s="1"/>
  <c r="C28" i="36"/>
  <c r="D28" i="36" s="1"/>
  <c r="E28" i="36" s="1"/>
  <c r="D50" i="36"/>
  <c r="E50" i="36" s="1"/>
  <c r="C24" i="36"/>
  <c r="C20" i="36"/>
  <c r="D20" i="36" s="1"/>
  <c r="E20" i="36" s="1"/>
  <c r="D43" i="36"/>
  <c r="E43" i="36" s="1"/>
  <c r="D38" i="36"/>
  <c r="E38" i="36" s="1"/>
  <c r="D30" i="36"/>
  <c r="E30" i="36" s="1"/>
  <c r="D22" i="36"/>
  <c r="E22" i="36" s="1"/>
  <c r="D33" i="36"/>
  <c r="E33" i="36" s="1"/>
  <c r="D34" i="36"/>
  <c r="E34" i="36" s="1"/>
  <c r="D36" i="36"/>
  <c r="E36" i="36" s="1"/>
  <c r="D24" i="36"/>
  <c r="E24" i="36" s="1"/>
  <c r="D39" i="36"/>
  <c r="E39" i="36" s="1"/>
  <c r="H10" i="36"/>
  <c r="D22" i="43" l="1"/>
  <c r="E22" i="43" s="1"/>
  <c r="D37" i="43"/>
  <c r="E37" i="43" s="1"/>
  <c r="E43" i="43"/>
  <c r="E31" i="43"/>
  <c r="E30" i="43"/>
  <c r="E21" i="43"/>
  <c r="E29" i="43"/>
  <c r="C40" i="43"/>
  <c r="C23" i="43"/>
  <c r="C39" i="43"/>
  <c r="C41" i="43"/>
  <c r="C33" i="43"/>
  <c r="C28" i="43"/>
  <c r="C34" i="43"/>
  <c r="C26" i="43"/>
  <c r="C27" i="43"/>
  <c r="C32" i="43"/>
  <c r="C36" i="43"/>
  <c r="C24" i="43"/>
  <c r="C38" i="43"/>
  <c r="C42" i="43"/>
  <c r="C25" i="43"/>
  <c r="C35" i="43"/>
  <c r="D19" i="43"/>
  <c r="C21" i="36"/>
  <c r="D21" i="36" s="1"/>
  <c r="E21" i="36" s="1"/>
  <c r="F19" i="41"/>
  <c r="D19" i="41"/>
  <c r="E19" i="41" s="1"/>
  <c r="B20" i="42"/>
  <c r="C20" i="42" s="1"/>
  <c r="F20" i="42" s="1"/>
  <c r="C19" i="42"/>
  <c r="F19" i="42" s="1"/>
  <c r="D18" i="42"/>
  <c r="E18" i="42" s="1"/>
  <c r="C20" i="41"/>
  <c r="B21" i="41"/>
  <c r="D27" i="38"/>
  <c r="E27" i="38" s="1"/>
  <c r="D19" i="38"/>
  <c r="E19" i="38" s="1"/>
  <c r="D28" i="38"/>
  <c r="E28" i="38" s="1"/>
  <c r="D11" i="38"/>
  <c r="E11" i="38" s="1"/>
  <c r="D20" i="38"/>
  <c r="E20" i="38" s="1"/>
  <c r="D12" i="38"/>
  <c r="E12" i="38" s="1"/>
  <c r="D35" i="38"/>
  <c r="E35" i="38" s="1"/>
  <c r="D25" i="38"/>
  <c r="E25" i="38" s="1"/>
  <c r="D33" i="38"/>
  <c r="E33" i="38" s="1"/>
  <c r="C51" i="36"/>
  <c r="D51" i="36" s="1"/>
  <c r="E51" i="36" s="1"/>
  <c r="D41" i="43" l="1"/>
  <c r="E41" i="43" s="1"/>
  <c r="D20" i="43"/>
  <c r="E20" i="43" s="1"/>
  <c r="D27" i="43"/>
  <c r="E27" i="43" s="1"/>
  <c r="D35" i="43"/>
  <c r="E35" i="43" s="1"/>
  <c r="D39" i="43"/>
  <c r="E39" i="43" s="1"/>
  <c r="D34" i="43"/>
  <c r="E34" i="43" s="1"/>
  <c r="D23" i="43"/>
  <c r="E23" i="43" s="1"/>
  <c r="D32" i="43"/>
  <c r="E32" i="43" s="1"/>
  <c r="D25" i="43"/>
  <c r="E25" i="43" s="1"/>
  <c r="D42" i="43"/>
  <c r="E42" i="43" s="1"/>
  <c r="D44" i="43"/>
  <c r="E44" i="43" s="1"/>
  <c r="D28" i="43"/>
  <c r="E28" i="43" s="1"/>
  <c r="D40" i="43"/>
  <c r="E40" i="43" s="1"/>
  <c r="D24" i="43"/>
  <c r="E24" i="43" s="1"/>
  <c r="D36" i="43"/>
  <c r="E36" i="43" s="1"/>
  <c r="D26" i="43"/>
  <c r="E26" i="43" s="1"/>
  <c r="D38" i="43"/>
  <c r="E38" i="43" s="1"/>
  <c r="D33" i="43"/>
  <c r="E33" i="43" s="1"/>
  <c r="E19" i="43"/>
  <c r="D20" i="42"/>
  <c r="E20" i="42" s="1"/>
  <c r="D19" i="42"/>
  <c r="E19" i="42" s="1"/>
  <c r="B21" i="42"/>
  <c r="C21" i="42" s="1"/>
  <c r="F21" i="42" s="1"/>
  <c r="D20" i="41"/>
  <c r="E20" i="41" s="1"/>
  <c r="F20" i="41"/>
  <c r="B22" i="42"/>
  <c r="C22" i="42" s="1"/>
  <c r="F22" i="42" s="1"/>
  <c r="B22" i="41"/>
  <c r="C21" i="41"/>
  <c r="C52" i="36"/>
  <c r="D52" i="36" s="1"/>
  <c r="E52" i="36" s="1"/>
  <c r="D21" i="42" l="1"/>
  <c r="E21" i="42" s="1"/>
  <c r="D21" i="41"/>
  <c r="E21" i="41" s="1"/>
  <c r="F21" i="41"/>
  <c r="D22" i="42"/>
  <c r="E22" i="42" s="1"/>
  <c r="B23" i="42"/>
  <c r="C23" i="42" s="1"/>
  <c r="F23" i="42" s="1"/>
  <c r="B23" i="41"/>
  <c r="C22" i="41"/>
  <c r="C53" i="36"/>
  <c r="D53" i="36" s="1"/>
  <c r="E53" i="36" s="1"/>
  <c r="F22" i="41" l="1"/>
  <c r="D22" i="41"/>
  <c r="E22" i="41" s="1"/>
  <c r="D23" i="42"/>
  <c r="E23" i="42" s="1"/>
  <c r="B24" i="42"/>
  <c r="C24" i="42" s="1"/>
  <c r="F24" i="42" s="1"/>
  <c r="C23" i="41"/>
  <c r="B24" i="41"/>
  <c r="C54" i="36"/>
  <c r="D54" i="36" s="1"/>
  <c r="E54" i="36" s="1"/>
  <c r="F23" i="41" l="1"/>
  <c r="D23" i="41"/>
  <c r="E23" i="41" s="1"/>
  <c r="D24" i="42"/>
  <c r="E24" i="42" s="1"/>
  <c r="B25" i="42"/>
  <c r="C25" i="42" s="1"/>
  <c r="F25" i="42" s="1"/>
  <c r="B25" i="41"/>
  <c r="C24" i="41"/>
  <c r="C55" i="36"/>
  <c r="D55" i="36" s="1"/>
  <c r="E55" i="36" s="1"/>
  <c r="D24" i="41" l="1"/>
  <c r="E24" i="41" s="1"/>
  <c r="F24" i="41"/>
  <c r="D25" i="42"/>
  <c r="E25" i="42" s="1"/>
  <c r="B26" i="42"/>
  <c r="C26" i="42" s="1"/>
  <c r="F26" i="42" s="1"/>
  <c r="C25" i="41"/>
  <c r="B26" i="41"/>
  <c r="C56" i="36"/>
  <c r="D56" i="36" s="1"/>
  <c r="E56" i="36" s="1"/>
  <c r="D25" i="41" l="1"/>
  <c r="E25" i="41" s="1"/>
  <c r="F25" i="41"/>
  <c r="D26" i="42"/>
  <c r="E26" i="42" s="1"/>
  <c r="B27" i="42"/>
  <c r="C27" i="42" s="1"/>
  <c r="F27" i="42" s="1"/>
  <c r="C26" i="41"/>
  <c r="B27" i="41"/>
  <c r="C57" i="36"/>
  <c r="D57" i="36" s="1"/>
  <c r="E57" i="36" s="1"/>
  <c r="F26" i="41" l="1"/>
  <c r="D26" i="41"/>
  <c r="E26" i="41" s="1"/>
  <c r="D27" i="42"/>
  <c r="E27" i="42" s="1"/>
  <c r="B28" i="42"/>
  <c r="C28" i="42" s="1"/>
  <c r="F28" i="42" s="1"/>
  <c r="B28" i="41"/>
  <c r="C27" i="41"/>
  <c r="C58" i="36"/>
  <c r="D58" i="36" s="1"/>
  <c r="E58" i="36" s="1"/>
  <c r="F27" i="41" l="1"/>
  <c r="D27" i="41"/>
  <c r="E27" i="41" s="1"/>
  <c r="D28" i="42"/>
  <c r="E28" i="42" s="1"/>
  <c r="B29" i="42"/>
  <c r="C29" i="42" s="1"/>
  <c r="F29" i="42" s="1"/>
  <c r="C28" i="41"/>
  <c r="B29" i="41"/>
  <c r="C59" i="36"/>
  <c r="D59" i="36" s="1"/>
  <c r="E59" i="36" s="1"/>
  <c r="D28" i="41" l="1"/>
  <c r="E28" i="41" s="1"/>
  <c r="F28" i="41"/>
  <c r="D29" i="42"/>
  <c r="E29" i="42" s="1"/>
  <c r="B30" i="42"/>
  <c r="C30" i="42" s="1"/>
  <c r="F30" i="42" s="1"/>
  <c r="B30" i="41"/>
  <c r="C29" i="41"/>
  <c r="C60" i="36"/>
  <c r="D60" i="36" s="1"/>
  <c r="E60" i="36" s="1"/>
  <c r="D29" i="41" l="1"/>
  <c r="E29" i="41" s="1"/>
  <c r="F29" i="41"/>
  <c r="D30" i="42"/>
  <c r="E30" i="42" s="1"/>
  <c r="B31" i="42"/>
  <c r="C31" i="42" s="1"/>
  <c r="F31" i="42" s="1"/>
  <c r="B31" i="41"/>
  <c r="C30" i="41"/>
  <c r="C61" i="36"/>
  <c r="D61" i="36" s="1"/>
  <c r="E61" i="36" s="1"/>
  <c r="F30" i="41" l="1"/>
  <c r="D30" i="41"/>
  <c r="E30" i="41" s="1"/>
  <c r="D31" i="42"/>
  <c r="E31" i="42" s="1"/>
  <c r="B32" i="42"/>
  <c r="C32" i="42" s="1"/>
  <c r="F32" i="42" s="1"/>
  <c r="C31" i="41"/>
  <c r="B32" i="41"/>
  <c r="C62" i="36"/>
  <c r="D62" i="36" s="1"/>
  <c r="E62" i="36" s="1"/>
  <c r="F31" i="41" l="1"/>
  <c r="D31" i="41"/>
  <c r="E31" i="41" s="1"/>
  <c r="D32" i="42"/>
  <c r="E32" i="42" s="1"/>
  <c r="B33" i="42"/>
  <c r="C33" i="42" s="1"/>
  <c r="F33" i="42" s="1"/>
  <c r="B33" i="41"/>
  <c r="C32" i="41"/>
  <c r="C63" i="36"/>
  <c r="D63" i="36" s="1"/>
  <c r="E63" i="36" s="1"/>
  <c r="D32" i="41" l="1"/>
  <c r="E32" i="41" s="1"/>
  <c r="F32" i="41"/>
  <c r="D33" i="42"/>
  <c r="E33" i="42" s="1"/>
  <c r="B34" i="42"/>
  <c r="B34" i="41"/>
  <c r="C33" i="41"/>
  <c r="C64" i="36"/>
  <c r="D64" i="36" s="1"/>
  <c r="E64" i="36" s="1"/>
  <c r="D33" i="41" l="1"/>
  <c r="E33" i="41" s="1"/>
  <c r="F33" i="41"/>
  <c r="C34" i="42"/>
  <c r="F34" i="42" s="1"/>
  <c r="B35" i="42"/>
  <c r="C34" i="41"/>
  <c r="B35" i="41"/>
  <c r="C65" i="36"/>
  <c r="D65" i="36" s="1"/>
  <c r="E65" i="36" s="1"/>
  <c r="F34" i="41" l="1"/>
  <c r="D34" i="41"/>
  <c r="E34" i="41" s="1"/>
  <c r="D34" i="42"/>
  <c r="E34" i="42" s="1"/>
  <c r="B36" i="42"/>
  <c r="C35" i="42"/>
  <c r="F35" i="42" s="1"/>
  <c r="B36" i="41"/>
  <c r="C35" i="41"/>
  <c r="C66" i="36"/>
  <c r="D66" i="36" s="1"/>
  <c r="E66" i="36" s="1"/>
  <c r="F35" i="41" l="1"/>
  <c r="D35" i="41"/>
  <c r="E35" i="41" s="1"/>
  <c r="D35" i="42"/>
  <c r="E35" i="42" s="1"/>
  <c r="C36" i="42"/>
  <c r="F36" i="42" s="1"/>
  <c r="B37" i="42"/>
  <c r="C36" i="41"/>
  <c r="B37" i="41"/>
  <c r="C67" i="36"/>
  <c r="D67" i="36" s="1"/>
  <c r="E67" i="36" s="1"/>
  <c r="D36" i="41" l="1"/>
  <c r="E36" i="41" s="1"/>
  <c r="F36" i="41"/>
  <c r="D36" i="42"/>
  <c r="E36" i="42" s="1"/>
  <c r="B38" i="42"/>
  <c r="C37" i="42"/>
  <c r="F37" i="42" s="1"/>
  <c r="B38" i="41"/>
  <c r="C37" i="41"/>
  <c r="C68" i="36"/>
  <c r="D68" i="36" s="1"/>
  <c r="E68" i="36" s="1"/>
  <c r="D37" i="41" l="1"/>
  <c r="E37" i="41" s="1"/>
  <c r="F37" i="41"/>
  <c r="D37" i="42"/>
  <c r="E37" i="42" s="1"/>
  <c r="C38" i="42"/>
  <c r="F38" i="42" s="1"/>
  <c r="B39" i="42"/>
  <c r="B39" i="41"/>
  <c r="C38" i="41"/>
  <c r="C69" i="36"/>
  <c r="D69" i="36" s="1"/>
  <c r="E69" i="36" s="1"/>
  <c r="F38" i="41" l="1"/>
  <c r="D38" i="41"/>
  <c r="E38" i="41" s="1"/>
  <c r="D38" i="42"/>
  <c r="E38" i="42" s="1"/>
  <c r="C39" i="42"/>
  <c r="F39" i="42" s="1"/>
  <c r="B40" i="42"/>
  <c r="B40" i="41"/>
  <c r="C39" i="41"/>
  <c r="C70" i="36"/>
  <c r="D70" i="36" s="1"/>
  <c r="E70" i="36" s="1"/>
  <c r="F39" i="41" l="1"/>
  <c r="D39" i="41"/>
  <c r="E39" i="41" s="1"/>
  <c r="D39" i="42"/>
  <c r="E39" i="42" s="1"/>
  <c r="B41" i="42"/>
  <c r="C40" i="42"/>
  <c r="F40" i="42" s="1"/>
  <c r="C40" i="41"/>
  <c r="B41" i="41"/>
  <c r="C71" i="36"/>
  <c r="D71" i="36" s="1"/>
  <c r="E71" i="36" s="1"/>
  <c r="D40" i="41" l="1"/>
  <c r="E40" i="41" s="1"/>
  <c r="F40" i="41"/>
  <c r="D40" i="42"/>
  <c r="E40" i="42" s="1"/>
  <c r="B42" i="42"/>
  <c r="C41" i="42"/>
  <c r="F41" i="42" s="1"/>
  <c r="C41" i="41"/>
  <c r="B42" i="41"/>
  <c r="C72" i="36"/>
  <c r="D72" i="36" s="1"/>
  <c r="E72" i="36" s="1"/>
  <c r="D41" i="41" l="1"/>
  <c r="E41" i="41" s="1"/>
  <c r="F41" i="41"/>
  <c r="D41" i="42"/>
  <c r="E41" i="42" s="1"/>
  <c r="C42" i="42"/>
  <c r="F42" i="42" s="1"/>
  <c r="B43" i="42"/>
  <c r="C43" i="42" s="1"/>
  <c r="F43" i="42" s="1"/>
  <c r="C42" i="41"/>
  <c r="B43" i="41"/>
  <c r="C43" i="41" s="1"/>
  <c r="C74" i="36"/>
  <c r="D74" i="36" s="1"/>
  <c r="E74" i="36" s="1"/>
  <c r="C73" i="36"/>
  <c r="D73" i="36" s="1"/>
  <c r="E73" i="36" s="1"/>
  <c r="F42" i="41" l="1"/>
  <c r="D42" i="41"/>
  <c r="E42" i="41" s="1"/>
  <c r="F43" i="41"/>
  <c r="D43" i="41"/>
  <c r="E43" i="41" s="1"/>
  <c r="D43" i="42"/>
  <c r="E43" i="42" s="1"/>
  <c r="D42" i="42"/>
  <c r="E42" i="42" s="1"/>
  <c r="I12" i="27"/>
  <c r="I13" i="27" s="1"/>
  <c r="I13" i="33"/>
  <c r="I13" i="30"/>
  <c r="I13" i="25"/>
  <c r="I12" i="28"/>
  <c r="I12" i="26"/>
  <c r="C11" i="1"/>
  <c r="C12" i="1"/>
  <c r="C13" i="1"/>
  <c r="C14" i="1"/>
  <c r="C15" i="1"/>
  <c r="C16" i="1"/>
  <c r="C17" i="1"/>
  <c r="C18" i="1"/>
  <c r="C19" i="1"/>
  <c r="C20" i="1"/>
  <c r="C21" i="1"/>
  <c r="C22" i="1"/>
  <c r="C23" i="1"/>
  <c r="C24" i="1"/>
  <c r="C25" i="1"/>
  <c r="C26" i="1"/>
  <c r="C27" i="1"/>
  <c r="C28" i="1"/>
  <c r="C29" i="1"/>
  <c r="C30" i="1"/>
  <c r="C31" i="1"/>
  <c r="C32" i="1"/>
  <c r="C33" i="1"/>
  <c r="C34" i="1"/>
  <c r="C35" i="1"/>
  <c r="C36" i="1"/>
  <c r="I44" i="33"/>
  <c r="K44" i="33" s="1"/>
  <c r="I43" i="33"/>
  <c r="K43" i="33" s="1"/>
  <c r="I42" i="33"/>
  <c r="K42" i="33" s="1"/>
  <c r="I41" i="33"/>
  <c r="K41" i="33" s="1"/>
  <c r="I40" i="33"/>
  <c r="K40" i="33" s="1"/>
  <c r="I39" i="33"/>
  <c r="K39" i="33" s="1"/>
  <c r="C13" i="33"/>
  <c r="C7" i="33"/>
  <c r="C49" i="33" s="1"/>
  <c r="I43" i="31"/>
  <c r="K43" i="31" s="1"/>
  <c r="I42" i="31"/>
  <c r="K42" i="31" s="1"/>
  <c r="I43" i="27"/>
  <c r="K43" i="27" s="1"/>
  <c r="I42" i="27"/>
  <c r="K42" i="27" s="1"/>
  <c r="I41" i="30"/>
  <c r="K41" i="30" s="1"/>
  <c r="I43" i="25"/>
  <c r="K43" i="25" s="1"/>
  <c r="I42" i="25"/>
  <c r="K42" i="25" s="1"/>
  <c r="I40" i="28"/>
  <c r="K40" i="28" s="1"/>
  <c r="I41" i="26"/>
  <c r="K41" i="26" s="1"/>
  <c r="C7" i="31"/>
  <c r="I41" i="31"/>
  <c r="K41" i="31" s="1"/>
  <c r="I40" i="31"/>
  <c r="K40" i="31" s="1"/>
  <c r="I39" i="31"/>
  <c r="K39" i="31" s="1"/>
  <c r="I38" i="31"/>
  <c r="K38" i="31" s="1"/>
  <c r="C6" i="30"/>
  <c r="I40" i="30"/>
  <c r="K40" i="30" s="1"/>
  <c r="I39" i="30"/>
  <c r="K39" i="30" s="1"/>
  <c r="I38" i="30"/>
  <c r="K38" i="30" s="1"/>
  <c r="I37" i="30"/>
  <c r="K37" i="30" s="1"/>
  <c r="C11" i="30"/>
  <c r="C9" i="30" s="1"/>
  <c r="C7" i="30" s="1"/>
  <c r="I39" i="28"/>
  <c r="K39" i="28" s="1"/>
  <c r="I38" i="28"/>
  <c r="K38" i="28" s="1"/>
  <c r="I37" i="28"/>
  <c r="K37" i="28" s="1"/>
  <c r="I36" i="28"/>
  <c r="K36" i="28" s="1"/>
  <c r="C11" i="28"/>
  <c r="C7" i="28"/>
  <c r="C6" i="27"/>
  <c r="I41" i="27"/>
  <c r="K41" i="27" s="1"/>
  <c r="I40" i="27"/>
  <c r="K40" i="27" s="1"/>
  <c r="I39" i="27"/>
  <c r="K39" i="27" s="1"/>
  <c r="K38" i="27"/>
  <c r="I38" i="27"/>
  <c r="I37" i="27"/>
  <c r="K37" i="27" s="1"/>
  <c r="C17" i="27"/>
  <c r="C11" i="27"/>
  <c r="C10" i="27"/>
  <c r="C13" i="27" s="1"/>
  <c r="B18" i="27" s="1"/>
  <c r="C48" i="26"/>
  <c r="E48" i="26" s="1"/>
  <c r="C49" i="26"/>
  <c r="E49" i="26" s="1"/>
  <c r="C50" i="26"/>
  <c r="E50" i="26" s="1"/>
  <c r="C51" i="26"/>
  <c r="E51" i="26" s="1"/>
  <c r="C52" i="26"/>
  <c r="E52" i="26" s="1"/>
  <c r="C53" i="26"/>
  <c r="E53" i="26" s="1"/>
  <c r="C54" i="26"/>
  <c r="E54" i="26" s="1"/>
  <c r="C55" i="26"/>
  <c r="E55" i="26" s="1"/>
  <c r="C56" i="26"/>
  <c r="E56" i="26" s="1"/>
  <c r="C57" i="26"/>
  <c r="E57" i="26" s="1"/>
  <c r="C58" i="26"/>
  <c r="E58" i="26" s="1"/>
  <c r="C59" i="26"/>
  <c r="E59" i="26" s="1"/>
  <c r="C60" i="26"/>
  <c r="E60" i="26" s="1"/>
  <c r="C61" i="26"/>
  <c r="E61" i="26" s="1"/>
  <c r="C62" i="26"/>
  <c r="E62" i="26" s="1"/>
  <c r="C63" i="26"/>
  <c r="E63" i="26" s="1"/>
  <c r="C64" i="26"/>
  <c r="E64" i="26" s="1"/>
  <c r="C65" i="26"/>
  <c r="E65" i="26" s="1"/>
  <c r="C66" i="26"/>
  <c r="E66" i="26" s="1"/>
  <c r="C67" i="26"/>
  <c r="E67" i="26" s="1"/>
  <c r="C68" i="26"/>
  <c r="E68" i="26" s="1"/>
  <c r="C69" i="26"/>
  <c r="E69" i="26" s="1"/>
  <c r="C70" i="26"/>
  <c r="E70" i="26" s="1"/>
  <c r="C71" i="26"/>
  <c r="E71" i="26" s="1"/>
  <c r="C72" i="26"/>
  <c r="E72" i="26" s="1"/>
  <c r="C73" i="26"/>
  <c r="E73" i="26" s="1"/>
  <c r="C74" i="26"/>
  <c r="E74" i="26" s="1"/>
  <c r="C75" i="26"/>
  <c r="E75" i="26" s="1"/>
  <c r="C76" i="26"/>
  <c r="E76" i="26" s="1"/>
  <c r="C77" i="26"/>
  <c r="E77" i="26" s="1"/>
  <c r="C78" i="26"/>
  <c r="E78" i="26" s="1"/>
  <c r="C79" i="26"/>
  <c r="E79" i="26" s="1"/>
  <c r="C80" i="26"/>
  <c r="E80" i="26" s="1"/>
  <c r="C81" i="26"/>
  <c r="E81" i="26" s="1"/>
  <c r="C82" i="26"/>
  <c r="E82" i="26" s="1"/>
  <c r="C83" i="26"/>
  <c r="E83" i="26" s="1"/>
  <c r="C84" i="26"/>
  <c r="E84" i="26" s="1"/>
  <c r="C85" i="26"/>
  <c r="E85" i="26" s="1"/>
  <c r="C86" i="26"/>
  <c r="E86" i="26" s="1"/>
  <c r="C87" i="26"/>
  <c r="E87" i="26" s="1"/>
  <c r="C88" i="26"/>
  <c r="E88" i="26" s="1"/>
  <c r="C89" i="26"/>
  <c r="E89" i="26" s="1"/>
  <c r="C90" i="26"/>
  <c r="E90" i="26" s="1"/>
  <c r="C91" i="26"/>
  <c r="E91" i="26" s="1"/>
  <c r="C92" i="26"/>
  <c r="E92" i="26" s="1"/>
  <c r="C93" i="26"/>
  <c r="E93" i="26" s="1"/>
  <c r="C94" i="26"/>
  <c r="E94" i="26" s="1"/>
  <c r="C95" i="26"/>
  <c r="E95" i="26" s="1"/>
  <c r="C96" i="26"/>
  <c r="E96" i="26" s="1"/>
  <c r="C97" i="26"/>
  <c r="E97" i="26" s="1"/>
  <c r="C98" i="26"/>
  <c r="E98" i="26" s="1"/>
  <c r="C99" i="26"/>
  <c r="E99" i="26" s="1"/>
  <c r="C100" i="26"/>
  <c r="E100" i="26" s="1"/>
  <c r="C101" i="26"/>
  <c r="E101" i="26" s="1"/>
  <c r="C47" i="26"/>
  <c r="E47" i="26" s="1"/>
  <c r="C12" i="26"/>
  <c r="D48" i="26" s="1"/>
  <c r="C7" i="26"/>
  <c r="I40" i="26"/>
  <c r="K40" i="26" s="1"/>
  <c r="I39" i="26"/>
  <c r="K39" i="26" s="1"/>
  <c r="I38" i="26"/>
  <c r="K38" i="26" s="1"/>
  <c r="I37" i="26"/>
  <c r="K37" i="26" s="1"/>
  <c r="C17" i="25"/>
  <c r="C12" i="25"/>
  <c r="I41" i="25"/>
  <c r="K41" i="25" s="1"/>
  <c r="I40" i="25"/>
  <c r="K40" i="25" s="1"/>
  <c r="I39" i="25"/>
  <c r="K39" i="25" s="1"/>
  <c r="I38" i="25"/>
  <c r="K38" i="25" s="1"/>
  <c r="I37" i="25"/>
  <c r="K37" i="25" s="1"/>
  <c r="C7" i="25"/>
  <c r="C50" i="31" l="1"/>
  <c r="C54" i="31"/>
  <c r="C58" i="31"/>
  <c r="C62" i="31"/>
  <c r="C66" i="31"/>
  <c r="C70" i="31"/>
  <c r="C74" i="31"/>
  <c r="C78" i="31"/>
  <c r="C82" i="31"/>
  <c r="C86" i="31"/>
  <c r="C90" i="31"/>
  <c r="C94" i="31"/>
  <c r="C98" i="31"/>
  <c r="C102" i="31"/>
  <c r="C53" i="31"/>
  <c r="C61" i="31"/>
  <c r="C69" i="31"/>
  <c r="C73" i="31"/>
  <c r="C85" i="31"/>
  <c r="C97" i="31"/>
  <c r="C51" i="31"/>
  <c r="C55" i="31"/>
  <c r="C59" i="31"/>
  <c r="C63" i="31"/>
  <c r="C67" i="31"/>
  <c r="C71" i="31"/>
  <c r="C75" i="31"/>
  <c r="C79" i="31"/>
  <c r="C83" i="31"/>
  <c r="C87" i="31"/>
  <c r="C91" i="31"/>
  <c r="C95" i="31"/>
  <c r="C99" i="31"/>
  <c r="C48" i="31"/>
  <c r="C89" i="31"/>
  <c r="C52" i="31"/>
  <c r="C56" i="31"/>
  <c r="C60" i="31"/>
  <c r="C64" i="31"/>
  <c r="C68" i="31"/>
  <c r="C72" i="31"/>
  <c r="C76" i="31"/>
  <c r="C80" i="31"/>
  <c r="C84" i="31"/>
  <c r="C88" i="31"/>
  <c r="C92" i="31"/>
  <c r="C96" i="31"/>
  <c r="C100" i="31"/>
  <c r="C49" i="31"/>
  <c r="C57" i="31"/>
  <c r="C65" i="31"/>
  <c r="C77" i="31"/>
  <c r="C81" i="31"/>
  <c r="C93" i="31"/>
  <c r="C101" i="31"/>
  <c r="C11" i="33"/>
  <c r="C8" i="33" s="1"/>
  <c r="C9" i="33" s="1"/>
  <c r="C51" i="30"/>
  <c r="C55" i="30"/>
  <c r="C59" i="30"/>
  <c r="C63" i="30"/>
  <c r="C67" i="30"/>
  <c r="C71" i="30"/>
  <c r="C75" i="30"/>
  <c r="C79" i="30"/>
  <c r="C83" i="30"/>
  <c r="C87" i="30"/>
  <c r="C91" i="30"/>
  <c r="C95" i="30"/>
  <c r="C99" i="30"/>
  <c r="C48" i="30"/>
  <c r="C52" i="30"/>
  <c r="C56" i="30"/>
  <c r="C60" i="30"/>
  <c r="C64" i="30"/>
  <c r="C68" i="30"/>
  <c r="C72" i="30"/>
  <c r="C76" i="30"/>
  <c r="C80" i="30"/>
  <c r="C84" i="30"/>
  <c r="C88" i="30"/>
  <c r="C92" i="30"/>
  <c r="C96" i="30"/>
  <c r="C100" i="30"/>
  <c r="C49" i="30"/>
  <c r="C53" i="30"/>
  <c r="C57" i="30"/>
  <c r="C61" i="30"/>
  <c r="C65" i="30"/>
  <c r="C69" i="30"/>
  <c r="C73" i="30"/>
  <c r="C77" i="30"/>
  <c r="C81" i="30"/>
  <c r="C85" i="30"/>
  <c r="C89" i="30"/>
  <c r="C93" i="30"/>
  <c r="C97" i="30"/>
  <c r="C101" i="30"/>
  <c r="C54" i="30"/>
  <c r="C58" i="30"/>
  <c r="C62" i="30"/>
  <c r="C66" i="30"/>
  <c r="C70" i="30"/>
  <c r="C74" i="30"/>
  <c r="C78" i="30"/>
  <c r="C82" i="30"/>
  <c r="C86" i="30"/>
  <c r="C90" i="30"/>
  <c r="C94" i="30"/>
  <c r="C98" i="30"/>
  <c r="C47" i="30"/>
  <c r="C50" i="30"/>
  <c r="F17" i="27"/>
  <c r="D17" i="27"/>
  <c r="C49" i="27"/>
  <c r="C53" i="27"/>
  <c r="C57" i="27"/>
  <c r="C61" i="27"/>
  <c r="C65" i="27"/>
  <c r="C69" i="27"/>
  <c r="C73" i="27"/>
  <c r="C77" i="27"/>
  <c r="C81" i="27"/>
  <c r="C85" i="27"/>
  <c r="C89" i="27"/>
  <c r="C93" i="27"/>
  <c r="C97" i="27"/>
  <c r="C101" i="27"/>
  <c r="C50" i="27"/>
  <c r="C54" i="27"/>
  <c r="C58" i="27"/>
  <c r="C62" i="27"/>
  <c r="C66" i="27"/>
  <c r="C70" i="27"/>
  <c r="C74" i="27"/>
  <c r="C78" i="27"/>
  <c r="C82" i="27"/>
  <c r="C86" i="27"/>
  <c r="C90" i="27"/>
  <c r="C94" i="27"/>
  <c r="C98" i="27"/>
  <c r="C47" i="27"/>
  <c r="C51" i="27"/>
  <c r="C55" i="27"/>
  <c r="C59" i="27"/>
  <c r="C63" i="27"/>
  <c r="C67" i="27"/>
  <c r="C71" i="27"/>
  <c r="C75" i="27"/>
  <c r="C79" i="27"/>
  <c r="C83" i="27"/>
  <c r="C87" i="27"/>
  <c r="C91" i="27"/>
  <c r="C95" i="27"/>
  <c r="C99" i="27"/>
  <c r="C48" i="27"/>
  <c r="C52" i="27"/>
  <c r="C56" i="27"/>
  <c r="C60" i="27"/>
  <c r="C64" i="27"/>
  <c r="C68" i="27"/>
  <c r="C72" i="27"/>
  <c r="C76" i="27"/>
  <c r="C80" i="27"/>
  <c r="C84" i="27"/>
  <c r="C88" i="27"/>
  <c r="C92" i="27"/>
  <c r="C96" i="27"/>
  <c r="C100" i="27"/>
  <c r="D100" i="26"/>
  <c r="D68" i="26"/>
  <c r="I9" i="27"/>
  <c r="D79" i="26"/>
  <c r="D76" i="26"/>
  <c r="D71" i="26"/>
  <c r="D95" i="26"/>
  <c r="D63" i="26"/>
  <c r="D92" i="26"/>
  <c r="D60" i="26"/>
  <c r="D87" i="26"/>
  <c r="D55" i="26"/>
  <c r="D84" i="26"/>
  <c r="D52" i="26"/>
  <c r="D47" i="26"/>
  <c r="D94" i="26"/>
  <c r="D86" i="26"/>
  <c r="D78" i="26"/>
  <c r="D70" i="26"/>
  <c r="D62" i="26"/>
  <c r="D54" i="26"/>
  <c r="C10" i="26"/>
  <c r="C8" i="26" s="1"/>
  <c r="D101" i="26"/>
  <c r="D93" i="26"/>
  <c r="D85" i="26"/>
  <c r="D77" i="26"/>
  <c r="D69" i="26"/>
  <c r="D61" i="26"/>
  <c r="D53" i="26"/>
  <c r="D91" i="26"/>
  <c r="D83" i="26"/>
  <c r="D67" i="26"/>
  <c r="D51" i="26"/>
  <c r="D98" i="26"/>
  <c r="D90" i="26"/>
  <c r="D82" i="26"/>
  <c r="D74" i="26"/>
  <c r="D66" i="26"/>
  <c r="D58" i="26"/>
  <c r="D50" i="26"/>
  <c r="D97" i="26"/>
  <c r="D89" i="26"/>
  <c r="D81" i="26"/>
  <c r="D73" i="26"/>
  <c r="D65" i="26"/>
  <c r="D57" i="26"/>
  <c r="D49" i="26"/>
  <c r="D99" i="26"/>
  <c r="D75" i="26"/>
  <c r="D59" i="26"/>
  <c r="D96" i="26"/>
  <c r="D88" i="26"/>
  <c r="D80" i="26"/>
  <c r="D72" i="26"/>
  <c r="D64" i="26"/>
  <c r="D56" i="26"/>
  <c r="C16" i="28"/>
  <c r="I41" i="28"/>
  <c r="K41" i="28" s="1"/>
  <c r="C17" i="30"/>
  <c r="I42" i="30"/>
  <c r="K42" i="30" s="1"/>
  <c r="C10" i="30"/>
  <c r="C13" i="30" s="1"/>
  <c r="B18" i="30" s="1"/>
  <c r="I10" i="30"/>
  <c r="C12" i="33"/>
  <c r="C15" i="33" s="1"/>
  <c r="B20" i="33" s="1"/>
  <c r="B21" i="33" s="1"/>
  <c r="I45" i="33"/>
  <c r="K45" i="33" s="1"/>
  <c r="C103" i="33"/>
  <c r="C52" i="33"/>
  <c r="C60" i="33"/>
  <c r="C68" i="33"/>
  <c r="C80" i="33"/>
  <c r="C100" i="33"/>
  <c r="C53" i="33"/>
  <c r="C57" i="33"/>
  <c r="C61" i="33"/>
  <c r="C65" i="33"/>
  <c r="C69" i="33"/>
  <c r="C73" i="33"/>
  <c r="C77" i="33"/>
  <c r="C81" i="33"/>
  <c r="C85" i="33"/>
  <c r="C89" i="33"/>
  <c r="C93" i="33"/>
  <c r="C97" i="33"/>
  <c r="C101" i="33"/>
  <c r="C56" i="33"/>
  <c r="C64" i="33"/>
  <c r="C72" i="33"/>
  <c r="C76" i="33"/>
  <c r="C84" i="33"/>
  <c r="C88" i="33"/>
  <c r="C92" i="33"/>
  <c r="C96" i="33"/>
  <c r="C50" i="33"/>
  <c r="C54" i="33"/>
  <c r="C58" i="33"/>
  <c r="C62" i="33"/>
  <c r="C66" i="33"/>
  <c r="C70" i="33"/>
  <c r="C74" i="33"/>
  <c r="C78" i="33"/>
  <c r="C82" i="33"/>
  <c r="C86" i="33"/>
  <c r="C90" i="33"/>
  <c r="C94" i="33"/>
  <c r="C98" i="33"/>
  <c r="C102" i="33"/>
  <c r="C51" i="33"/>
  <c r="C55" i="33"/>
  <c r="C59" i="33"/>
  <c r="C63" i="33"/>
  <c r="C67" i="33"/>
  <c r="C71" i="33"/>
  <c r="C75" i="33"/>
  <c r="C79" i="33"/>
  <c r="C83" i="33"/>
  <c r="C87" i="33"/>
  <c r="C91" i="33"/>
  <c r="C95" i="33"/>
  <c r="C99" i="33"/>
  <c r="E17" i="25"/>
  <c r="I10" i="25"/>
  <c r="C11" i="31"/>
  <c r="C14" i="31" s="1"/>
  <c r="B19" i="31" s="1"/>
  <c r="C18" i="31"/>
  <c r="F18" i="31" s="1"/>
  <c r="I9" i="31"/>
  <c r="C18" i="30"/>
  <c r="B19" i="30"/>
  <c r="I9" i="28"/>
  <c r="C10" i="28"/>
  <c r="C13" i="28" s="1"/>
  <c r="B17" i="28" s="1"/>
  <c r="B18" i="28" s="1"/>
  <c r="E16" i="28"/>
  <c r="B19" i="27"/>
  <c r="C18" i="27"/>
  <c r="E17" i="27"/>
  <c r="C11" i="25"/>
  <c r="C14" i="25" s="1"/>
  <c r="B18" i="25" s="1"/>
  <c r="B19" i="25" s="1"/>
  <c r="B20" i="25" s="1"/>
  <c r="B21" i="25" s="1"/>
  <c r="B22" i="25" s="1"/>
  <c r="B23" i="25" s="1"/>
  <c r="B24" i="25" s="1"/>
  <c r="B25" i="25" s="1"/>
  <c r="B26" i="25" s="1"/>
  <c r="B27" i="25" s="1"/>
  <c r="B28" i="25" s="1"/>
  <c r="B29" i="25" s="1"/>
  <c r="B30" i="25" s="1"/>
  <c r="B31" i="25" s="1"/>
  <c r="B32" i="25" s="1"/>
  <c r="B33" i="25" s="1"/>
  <c r="B34" i="25" s="1"/>
  <c r="B35" i="25" s="1"/>
  <c r="B36" i="25" s="1"/>
  <c r="B37" i="25" s="1"/>
  <c r="B38" i="25" s="1"/>
  <c r="B39" i="25" s="1"/>
  <c r="B40" i="25" s="1"/>
  <c r="B41" i="25" s="1"/>
  <c r="B42" i="25" s="1"/>
  <c r="I10" i="33" l="1"/>
  <c r="C19" i="33"/>
  <c r="D19" i="33" s="1"/>
  <c r="D18" i="30"/>
  <c r="F18" i="30"/>
  <c r="D17" i="30"/>
  <c r="F17" i="30"/>
  <c r="F18" i="27"/>
  <c r="D18" i="27"/>
  <c r="D18" i="31"/>
  <c r="E18" i="31" s="1"/>
  <c r="E18" i="27"/>
  <c r="C11" i="26"/>
  <c r="C14" i="26" s="1"/>
  <c r="B18" i="26" s="1"/>
  <c r="C17" i="26"/>
  <c r="I42" i="26"/>
  <c r="K42" i="26" s="1"/>
  <c r="C5" i="26"/>
  <c r="I9" i="26"/>
  <c r="F19" i="33"/>
  <c r="C17" i="28"/>
  <c r="E17" i="30"/>
  <c r="C20" i="33"/>
  <c r="B22" i="33"/>
  <c r="C21" i="33"/>
  <c r="C19" i="31"/>
  <c r="F19" i="31" s="1"/>
  <c r="B20" i="31"/>
  <c r="E18" i="30"/>
  <c r="C19" i="30"/>
  <c r="B20" i="30"/>
  <c r="C18" i="28"/>
  <c r="B19" i="28"/>
  <c r="B20" i="27"/>
  <c r="C19" i="27"/>
  <c r="C18" i="25"/>
  <c r="C19" i="25"/>
  <c r="C20" i="25"/>
  <c r="D19" i="30" l="1"/>
  <c r="F19" i="30"/>
  <c r="F19" i="27"/>
  <c r="D19" i="27"/>
  <c r="E19" i="27" s="1"/>
  <c r="D17" i="26"/>
  <c r="E17" i="26" s="1"/>
  <c r="F17" i="26"/>
  <c r="B19" i="26"/>
  <c r="C18" i="26"/>
  <c r="D21" i="33"/>
  <c r="F21" i="33"/>
  <c r="D20" i="33"/>
  <c r="F20" i="33"/>
  <c r="E18" i="28"/>
  <c r="E17" i="28"/>
  <c r="E20" i="25"/>
  <c r="E19" i="25"/>
  <c r="E18" i="25"/>
  <c r="C22" i="33"/>
  <c r="B23" i="33"/>
  <c r="D19" i="31"/>
  <c r="E19" i="31" s="1"/>
  <c r="C20" i="31"/>
  <c r="F20" i="31" s="1"/>
  <c r="B21" i="31"/>
  <c r="E19" i="30"/>
  <c r="C20" i="30"/>
  <c r="B21" i="30"/>
  <c r="C19" i="28"/>
  <c r="B20" i="28"/>
  <c r="B21" i="27"/>
  <c r="C20" i="27"/>
  <c r="C21" i="25"/>
  <c r="F20" i="30" l="1"/>
  <c r="D20" i="30"/>
  <c r="D20" i="27"/>
  <c r="F20" i="27"/>
  <c r="E18" i="26"/>
  <c r="D18" i="26"/>
  <c r="F18" i="26"/>
  <c r="D20" i="31"/>
  <c r="E20" i="31" s="1"/>
  <c r="E20" i="27"/>
  <c r="B20" i="26"/>
  <c r="C19" i="26"/>
  <c r="D22" i="33"/>
  <c r="F22" i="33"/>
  <c r="E19" i="28"/>
  <c r="E21" i="25"/>
  <c r="B24" i="33"/>
  <c r="C23" i="33"/>
  <c r="C21" i="31"/>
  <c r="F21" i="31" s="1"/>
  <c r="B22" i="31"/>
  <c r="E20" i="30"/>
  <c r="C21" i="30"/>
  <c r="B22" i="30"/>
  <c r="C20" i="28"/>
  <c r="B21" i="28"/>
  <c r="B22" i="27"/>
  <c r="C21" i="27"/>
  <c r="C22" i="25"/>
  <c r="F21" i="30" l="1"/>
  <c r="D21" i="30"/>
  <c r="D21" i="27"/>
  <c r="F21" i="27"/>
  <c r="D19" i="26"/>
  <c r="E19" i="26" s="1"/>
  <c r="F19" i="26"/>
  <c r="D21" i="31"/>
  <c r="E21" i="31" s="1"/>
  <c r="E21" i="27"/>
  <c r="C20" i="26"/>
  <c r="B21" i="26"/>
  <c r="D23" i="33"/>
  <c r="F23" i="33"/>
  <c r="E20" i="28"/>
  <c r="E22" i="25"/>
  <c r="B25" i="33"/>
  <c r="C24" i="33"/>
  <c r="C22" i="31"/>
  <c r="F22" i="31" s="1"/>
  <c r="B23" i="31"/>
  <c r="E21" i="30"/>
  <c r="C22" i="30"/>
  <c r="B23" i="30"/>
  <c r="C21" i="28"/>
  <c r="B22" i="28"/>
  <c r="B23" i="27"/>
  <c r="C22" i="27"/>
  <c r="C23" i="25"/>
  <c r="D22" i="30" l="1"/>
  <c r="F22" i="30"/>
  <c r="F22" i="27"/>
  <c r="D22" i="27"/>
  <c r="E22" i="27" s="1"/>
  <c r="D20" i="26"/>
  <c r="E20" i="26" s="1"/>
  <c r="F20" i="26"/>
  <c r="D22" i="31"/>
  <c r="E22" i="31" s="1"/>
  <c r="B22" i="26"/>
  <c r="C21" i="26"/>
  <c r="D24" i="33"/>
  <c r="F24" i="33"/>
  <c r="E21" i="28"/>
  <c r="E23" i="25"/>
  <c r="C25" i="33"/>
  <c r="B26" i="33"/>
  <c r="C23" i="31"/>
  <c r="F23" i="31" s="1"/>
  <c r="B24" i="31"/>
  <c r="E22" i="30"/>
  <c r="C23" i="30"/>
  <c r="B24" i="30"/>
  <c r="C22" i="28"/>
  <c r="B23" i="28"/>
  <c r="B24" i="27"/>
  <c r="C23" i="27"/>
  <c r="C24" i="25"/>
  <c r="D23" i="30" l="1"/>
  <c r="F23" i="30"/>
  <c r="F23" i="27"/>
  <c r="D23" i="27"/>
  <c r="E23" i="27" s="1"/>
  <c r="F21" i="26"/>
  <c r="D21" i="26"/>
  <c r="E21" i="26" s="1"/>
  <c r="D23" i="31"/>
  <c r="E23" i="31" s="1"/>
  <c r="B23" i="26"/>
  <c r="C22" i="26"/>
  <c r="D25" i="33"/>
  <c r="F25" i="33"/>
  <c r="E22" i="28"/>
  <c r="E24" i="25"/>
  <c r="C26" i="33"/>
  <c r="B27" i="33"/>
  <c r="C24" i="31"/>
  <c r="F24" i="31" s="1"/>
  <c r="B25" i="31"/>
  <c r="E23" i="30"/>
  <c r="C24" i="30"/>
  <c r="B25" i="30"/>
  <c r="C23" i="28"/>
  <c r="B24" i="28"/>
  <c r="B25" i="27"/>
  <c r="C24" i="27"/>
  <c r="C25" i="25"/>
  <c r="F24" i="30" l="1"/>
  <c r="D24" i="30"/>
  <c r="D24" i="27"/>
  <c r="F24" i="27"/>
  <c r="E22" i="26"/>
  <c r="D22" i="26"/>
  <c r="F22" i="26"/>
  <c r="D24" i="31"/>
  <c r="E24" i="31" s="1"/>
  <c r="E24" i="27"/>
  <c r="B24" i="26"/>
  <c r="C23" i="26"/>
  <c r="D26" i="33"/>
  <c r="F26" i="33"/>
  <c r="E23" i="28"/>
  <c r="E25" i="25"/>
  <c r="C27" i="33"/>
  <c r="B28" i="33"/>
  <c r="C25" i="31"/>
  <c r="F25" i="31" s="1"/>
  <c r="B26" i="31"/>
  <c r="E24" i="30"/>
  <c r="C25" i="30"/>
  <c r="B26" i="30"/>
  <c r="C24" i="28"/>
  <c r="B25" i="28"/>
  <c r="B26" i="27"/>
  <c r="C25" i="27"/>
  <c r="C26" i="25"/>
  <c r="F25" i="30" l="1"/>
  <c r="D25" i="30"/>
  <c r="D25" i="27"/>
  <c r="F25" i="27"/>
  <c r="F23" i="26"/>
  <c r="D23" i="26"/>
  <c r="E23" i="26" s="1"/>
  <c r="D25" i="31"/>
  <c r="E25" i="31" s="1"/>
  <c r="E25" i="27"/>
  <c r="C24" i="26"/>
  <c r="B25" i="26"/>
  <c r="D27" i="33"/>
  <c r="F27" i="33"/>
  <c r="E24" i="28"/>
  <c r="E26" i="25"/>
  <c r="B29" i="33"/>
  <c r="C28" i="33"/>
  <c r="C26" i="31"/>
  <c r="F26" i="31" s="1"/>
  <c r="B27" i="31"/>
  <c r="E25" i="30"/>
  <c r="C26" i="30"/>
  <c r="B27" i="30"/>
  <c r="C25" i="28"/>
  <c r="B26" i="28"/>
  <c r="B27" i="27"/>
  <c r="C26" i="27"/>
  <c r="C27" i="25"/>
  <c r="D26" i="30" l="1"/>
  <c r="F26" i="30"/>
  <c r="F26" i="27"/>
  <c r="D26" i="27"/>
  <c r="D24" i="26"/>
  <c r="E24" i="26" s="1"/>
  <c r="F24" i="26"/>
  <c r="D26" i="31"/>
  <c r="E26" i="31" s="1"/>
  <c r="E26" i="27"/>
  <c r="B26" i="26"/>
  <c r="C25" i="26"/>
  <c r="D28" i="33"/>
  <c r="F28" i="33"/>
  <c r="E25" i="28"/>
  <c r="E27" i="25"/>
  <c r="B30" i="33"/>
  <c r="C29" i="33"/>
  <c r="C27" i="31"/>
  <c r="F27" i="31" s="1"/>
  <c r="B28" i="31"/>
  <c r="E26" i="30"/>
  <c r="C27" i="30"/>
  <c r="B28" i="30"/>
  <c r="C26" i="28"/>
  <c r="B27" i="28"/>
  <c r="B28" i="27"/>
  <c r="C27" i="27"/>
  <c r="C28" i="25"/>
  <c r="D27" i="30" l="1"/>
  <c r="F27" i="30"/>
  <c r="F27" i="27"/>
  <c r="D27" i="27"/>
  <c r="E27" i="27" s="1"/>
  <c r="D25" i="26"/>
  <c r="E25" i="26" s="1"/>
  <c r="F25" i="26"/>
  <c r="D27" i="31"/>
  <c r="E27" i="31" s="1"/>
  <c r="C26" i="26"/>
  <c r="B27" i="26"/>
  <c r="D29" i="33"/>
  <c r="F29" i="33"/>
  <c r="E26" i="28"/>
  <c r="E28" i="25"/>
  <c r="C30" i="33"/>
  <c r="B31" i="33"/>
  <c r="C28" i="31"/>
  <c r="F28" i="31" s="1"/>
  <c r="B29" i="31"/>
  <c r="E27" i="30"/>
  <c r="C28" i="30"/>
  <c r="B29" i="30"/>
  <c r="C27" i="28"/>
  <c r="B28" i="28"/>
  <c r="B29" i="27"/>
  <c r="C28" i="27"/>
  <c r="C29" i="25"/>
  <c r="F28" i="30" l="1"/>
  <c r="D28" i="30"/>
  <c r="D28" i="27"/>
  <c r="F28" i="27"/>
  <c r="E26" i="26"/>
  <c r="F26" i="26"/>
  <c r="D26" i="26"/>
  <c r="D28" i="31"/>
  <c r="E28" i="31" s="1"/>
  <c r="E28" i="27"/>
  <c r="B28" i="26"/>
  <c r="C27" i="26"/>
  <c r="D30" i="33"/>
  <c r="F30" i="33"/>
  <c r="E27" i="28"/>
  <c r="E29" i="25"/>
  <c r="B32" i="33"/>
  <c r="C31" i="33"/>
  <c r="C29" i="31"/>
  <c r="F29" i="31" s="1"/>
  <c r="B30" i="31"/>
  <c r="E28" i="30"/>
  <c r="C29" i="30"/>
  <c r="B30" i="30"/>
  <c r="C28" i="28"/>
  <c r="B29" i="28"/>
  <c r="B30" i="27"/>
  <c r="C29" i="27"/>
  <c r="C30" i="25"/>
  <c r="F29" i="30" l="1"/>
  <c r="D29" i="30"/>
  <c r="E29" i="30" s="1"/>
  <c r="D29" i="27"/>
  <c r="F29" i="27"/>
  <c r="D27" i="26"/>
  <c r="E27" i="26" s="1"/>
  <c r="F27" i="26"/>
  <c r="D29" i="31"/>
  <c r="E29" i="31" s="1"/>
  <c r="E29" i="27"/>
  <c r="C28" i="26"/>
  <c r="B29" i="26"/>
  <c r="D31" i="33"/>
  <c r="F31" i="33"/>
  <c r="E28" i="28"/>
  <c r="E30" i="25"/>
  <c r="C32" i="33"/>
  <c r="B33" i="33"/>
  <c r="C30" i="31"/>
  <c r="F30" i="31" s="1"/>
  <c r="B31" i="31"/>
  <c r="C30" i="30"/>
  <c r="B31" i="30"/>
  <c r="C29" i="28"/>
  <c r="B30" i="28"/>
  <c r="B31" i="27"/>
  <c r="C30" i="27"/>
  <c r="C31" i="25"/>
  <c r="D30" i="30" l="1"/>
  <c r="F30" i="30"/>
  <c r="F30" i="27"/>
  <c r="D30" i="27"/>
  <c r="F28" i="26"/>
  <c r="D28" i="26"/>
  <c r="E28" i="26" s="1"/>
  <c r="D30" i="31"/>
  <c r="E30" i="31" s="1"/>
  <c r="E30" i="27"/>
  <c r="B30" i="26"/>
  <c r="C29" i="26"/>
  <c r="D32" i="33"/>
  <c r="F32" i="33"/>
  <c r="E29" i="28"/>
  <c r="E31" i="25"/>
  <c r="B34" i="33"/>
  <c r="C33" i="33"/>
  <c r="C31" i="31"/>
  <c r="F31" i="31" s="1"/>
  <c r="B32" i="31"/>
  <c r="E30" i="30"/>
  <c r="C31" i="30"/>
  <c r="B32" i="30"/>
  <c r="C30" i="28"/>
  <c r="B31" i="28"/>
  <c r="B32" i="27"/>
  <c r="C31" i="27"/>
  <c r="C32" i="25"/>
  <c r="D31" i="30" l="1"/>
  <c r="F31" i="30"/>
  <c r="F31" i="27"/>
  <c r="D31" i="27"/>
  <c r="F29" i="26"/>
  <c r="D29" i="26"/>
  <c r="E29" i="26" s="1"/>
  <c r="D31" i="31"/>
  <c r="E31" i="31" s="1"/>
  <c r="E31" i="27"/>
  <c r="C30" i="26"/>
  <c r="B31" i="26"/>
  <c r="D33" i="33"/>
  <c r="F33" i="33"/>
  <c r="E30" i="28"/>
  <c r="E32" i="25"/>
  <c r="C34" i="33"/>
  <c r="B35" i="33"/>
  <c r="C32" i="31"/>
  <c r="F32" i="31" s="1"/>
  <c r="B33" i="31"/>
  <c r="E31" i="30"/>
  <c r="C32" i="30"/>
  <c r="B33" i="30"/>
  <c r="C31" i="28"/>
  <c r="B32" i="28"/>
  <c r="B33" i="27"/>
  <c r="C32" i="27"/>
  <c r="C33" i="25"/>
  <c r="F32" i="30" l="1"/>
  <c r="D32" i="30"/>
  <c r="D32" i="27"/>
  <c r="F32" i="27"/>
  <c r="E30" i="26"/>
  <c r="F30" i="26"/>
  <c r="D30" i="26"/>
  <c r="D32" i="31"/>
  <c r="E32" i="31" s="1"/>
  <c r="E32" i="27"/>
  <c r="C31" i="26"/>
  <c r="B32" i="26"/>
  <c r="D34" i="33"/>
  <c r="F34" i="33"/>
  <c r="E31" i="28"/>
  <c r="E33" i="25"/>
  <c r="C35" i="33"/>
  <c r="B36" i="33"/>
  <c r="C33" i="31"/>
  <c r="F33" i="31" s="1"/>
  <c r="B34" i="31"/>
  <c r="E32" i="30"/>
  <c r="C33" i="30"/>
  <c r="B34" i="30"/>
  <c r="C32" i="28"/>
  <c r="B33" i="28"/>
  <c r="B34" i="27"/>
  <c r="C33" i="27"/>
  <c r="C34" i="25"/>
  <c r="F33" i="30" l="1"/>
  <c r="D33" i="30"/>
  <c r="D33" i="27"/>
  <c r="F33" i="27"/>
  <c r="E31" i="26"/>
  <c r="F31" i="26"/>
  <c r="D31" i="26"/>
  <c r="D33" i="31"/>
  <c r="E33" i="31" s="1"/>
  <c r="E33" i="27"/>
  <c r="B33" i="26"/>
  <c r="C32" i="26"/>
  <c r="D35" i="33"/>
  <c r="F35" i="33"/>
  <c r="E32" i="28"/>
  <c r="E34" i="25"/>
  <c r="C36" i="33"/>
  <c r="B37" i="33"/>
  <c r="C34" i="31"/>
  <c r="F34" i="31" s="1"/>
  <c r="B35" i="31"/>
  <c r="E33" i="30"/>
  <c r="C34" i="30"/>
  <c r="B35" i="30"/>
  <c r="C33" i="28"/>
  <c r="B34" i="28"/>
  <c r="B35" i="27"/>
  <c r="C34" i="27"/>
  <c r="C35" i="25"/>
  <c r="D34" i="30" l="1"/>
  <c r="F34" i="30"/>
  <c r="F34" i="27"/>
  <c r="D34" i="27"/>
  <c r="E32" i="26"/>
  <c r="F32" i="26"/>
  <c r="D32" i="26"/>
  <c r="D34" i="31"/>
  <c r="E34" i="31" s="1"/>
  <c r="E34" i="27"/>
  <c r="B34" i="26"/>
  <c r="C33" i="26"/>
  <c r="D36" i="33"/>
  <c r="F36" i="33"/>
  <c r="E33" i="28"/>
  <c r="E35" i="25"/>
  <c r="B38" i="33"/>
  <c r="C37" i="33"/>
  <c r="C35" i="31"/>
  <c r="F35" i="31" s="1"/>
  <c r="B36" i="31"/>
  <c r="E34" i="30"/>
  <c r="C35" i="30"/>
  <c r="B36" i="30"/>
  <c r="C34" i="28"/>
  <c r="B35" i="28"/>
  <c r="B36" i="27"/>
  <c r="C35" i="27"/>
  <c r="C36" i="25"/>
  <c r="D35" i="30" l="1"/>
  <c r="F35" i="30"/>
  <c r="F35" i="27"/>
  <c r="D35" i="27"/>
  <c r="E33" i="26"/>
  <c r="D33" i="26"/>
  <c r="F33" i="26"/>
  <c r="D35" i="31"/>
  <c r="E35" i="31" s="1"/>
  <c r="E35" i="27"/>
  <c r="B35" i="26"/>
  <c r="C34" i="26"/>
  <c r="D37" i="33"/>
  <c r="F37" i="33"/>
  <c r="E34" i="28"/>
  <c r="E36" i="25"/>
  <c r="C38" i="33"/>
  <c r="B39" i="33"/>
  <c r="C36" i="31"/>
  <c r="F36" i="31" s="1"/>
  <c r="B37" i="31"/>
  <c r="E35" i="30"/>
  <c r="C36" i="30"/>
  <c r="B37" i="30"/>
  <c r="C35" i="28"/>
  <c r="B36" i="28"/>
  <c r="B37" i="27"/>
  <c r="C36" i="27"/>
  <c r="C37" i="25"/>
  <c r="F36" i="30" l="1"/>
  <c r="D36" i="30"/>
  <c r="D36" i="27"/>
  <c r="F36" i="27"/>
  <c r="E34" i="26"/>
  <c r="F34" i="26"/>
  <c r="D34" i="26"/>
  <c r="D36" i="31"/>
  <c r="E36" i="31" s="1"/>
  <c r="E36" i="27"/>
  <c r="C35" i="26"/>
  <c r="B36" i="26"/>
  <c r="D38" i="33"/>
  <c r="F38" i="33"/>
  <c r="E35" i="28"/>
  <c r="E37" i="25"/>
  <c r="B40" i="33"/>
  <c r="C39" i="33"/>
  <c r="C37" i="31"/>
  <c r="F37" i="31" s="1"/>
  <c r="B38" i="31"/>
  <c r="E36" i="30"/>
  <c r="C37" i="30"/>
  <c r="B38" i="30"/>
  <c r="C36" i="28"/>
  <c r="B37" i="28"/>
  <c r="C37" i="27"/>
  <c r="B38" i="27"/>
  <c r="C38" i="25"/>
  <c r="F37" i="30" l="1"/>
  <c r="D37" i="30"/>
  <c r="D37" i="27"/>
  <c r="F37" i="27"/>
  <c r="E35" i="26"/>
  <c r="D35" i="26"/>
  <c r="F35" i="26"/>
  <c r="D37" i="31"/>
  <c r="E37" i="31" s="1"/>
  <c r="E37" i="27"/>
  <c r="B37" i="26"/>
  <c r="C36" i="26"/>
  <c r="D39" i="33"/>
  <c r="F39" i="33"/>
  <c r="E36" i="28"/>
  <c r="E38" i="25"/>
  <c r="B41" i="33"/>
  <c r="C40" i="33"/>
  <c r="B39" i="31"/>
  <c r="C38" i="31"/>
  <c r="F38" i="31" s="1"/>
  <c r="E37" i="30"/>
  <c r="B39" i="30"/>
  <c r="C38" i="30"/>
  <c r="B38" i="28"/>
  <c r="C37" i="28"/>
  <c r="B39" i="27"/>
  <c r="C38" i="27"/>
  <c r="C39" i="25"/>
  <c r="D38" i="30" l="1"/>
  <c r="F38" i="30"/>
  <c r="F38" i="27"/>
  <c r="D38" i="27"/>
  <c r="E36" i="26"/>
  <c r="F36" i="26"/>
  <c r="D36" i="26"/>
  <c r="D38" i="31"/>
  <c r="E38" i="31" s="1"/>
  <c r="E38" i="27"/>
  <c r="C37" i="26"/>
  <c r="B38" i="26"/>
  <c r="D40" i="33"/>
  <c r="F40" i="33"/>
  <c r="E37" i="28"/>
  <c r="E39" i="25"/>
  <c r="C41" i="33"/>
  <c r="B42" i="33"/>
  <c r="C39" i="31"/>
  <c r="F39" i="31" s="1"/>
  <c r="B40" i="31"/>
  <c r="E38" i="30"/>
  <c r="C39" i="30"/>
  <c r="B40" i="30"/>
  <c r="C38" i="28"/>
  <c r="B39" i="28"/>
  <c r="B40" i="27"/>
  <c r="C39" i="27"/>
  <c r="C40" i="25"/>
  <c r="D39" i="30" l="1"/>
  <c r="F39" i="30"/>
  <c r="F39" i="27"/>
  <c r="D39" i="27"/>
  <c r="E37" i="26"/>
  <c r="F37" i="26"/>
  <c r="D37" i="26"/>
  <c r="D39" i="31"/>
  <c r="E39" i="31" s="1"/>
  <c r="E39" i="27"/>
  <c r="C38" i="26"/>
  <c r="B39" i="26"/>
  <c r="D41" i="33"/>
  <c r="F41" i="33"/>
  <c r="E38" i="28"/>
  <c r="E40" i="25"/>
  <c r="B43" i="33"/>
  <c r="C42" i="33"/>
  <c r="B41" i="31"/>
  <c r="C40" i="31"/>
  <c r="F40" i="31" s="1"/>
  <c r="E39" i="30"/>
  <c r="B41" i="30"/>
  <c r="C40" i="30"/>
  <c r="B40" i="28"/>
  <c r="C39" i="28"/>
  <c r="B41" i="27"/>
  <c r="C40" i="27"/>
  <c r="C41" i="25"/>
  <c r="F40" i="30" l="1"/>
  <c r="D40" i="30"/>
  <c r="D40" i="27"/>
  <c r="F40" i="27"/>
  <c r="D38" i="26"/>
  <c r="E38" i="26" s="1"/>
  <c r="F38" i="26"/>
  <c r="D40" i="31"/>
  <c r="E40" i="31" s="1"/>
  <c r="E40" i="27"/>
  <c r="B40" i="26"/>
  <c r="C39" i="26"/>
  <c r="D42" i="33"/>
  <c r="F42" i="33"/>
  <c r="E39" i="28"/>
  <c r="E41" i="25"/>
  <c r="C43" i="33"/>
  <c r="B44" i="33"/>
  <c r="C44" i="33" s="1"/>
  <c r="B42" i="31"/>
  <c r="C41" i="31"/>
  <c r="F41" i="31" s="1"/>
  <c r="E40" i="30"/>
  <c r="C41" i="30"/>
  <c r="B42" i="30"/>
  <c r="C42" i="30" s="1"/>
  <c r="C40" i="28"/>
  <c r="B41" i="28"/>
  <c r="C41" i="28" s="1"/>
  <c r="C41" i="27"/>
  <c r="B42" i="27"/>
  <c r="C42" i="27" s="1"/>
  <c r="F41" i="30" l="1"/>
  <c r="D41" i="30"/>
  <c r="D42" i="30"/>
  <c r="F42" i="30"/>
  <c r="D41" i="27"/>
  <c r="F41" i="27"/>
  <c r="F42" i="27"/>
  <c r="D42" i="27"/>
  <c r="E42" i="27" s="1"/>
  <c r="F39" i="26"/>
  <c r="D39" i="26"/>
  <c r="E39" i="26" s="1"/>
  <c r="D41" i="31"/>
  <c r="E41" i="31" s="1"/>
  <c r="E41" i="27"/>
  <c r="C40" i="26"/>
  <c r="B41" i="26"/>
  <c r="D44" i="33"/>
  <c r="F44" i="33"/>
  <c r="D43" i="33"/>
  <c r="F43" i="33"/>
  <c r="E41" i="28"/>
  <c r="E40" i="28"/>
  <c r="C42" i="31"/>
  <c r="F42" i="31" s="1"/>
  <c r="B43" i="31"/>
  <c r="C43" i="31" s="1"/>
  <c r="F43" i="31" s="1"/>
  <c r="E41" i="30"/>
  <c r="E42" i="30"/>
  <c r="C42" i="25"/>
  <c r="F40" i="26" l="1"/>
  <c r="D40" i="26"/>
  <c r="E40" i="26" s="1"/>
  <c r="D43" i="31"/>
  <c r="E43" i="31" s="1"/>
  <c r="D42" i="31"/>
  <c r="E42" i="31" s="1"/>
  <c r="C41" i="26"/>
  <c r="B42" i="26"/>
  <c r="C42" i="26" s="1"/>
  <c r="E42" i="25"/>
  <c r="D41" i="26" l="1"/>
  <c r="E41" i="26" s="1"/>
  <c r="F41" i="26"/>
  <c r="D42" i="26"/>
  <c r="E42" i="26" s="1"/>
  <c r="F42" i="26"/>
  <c r="J36" i="24"/>
  <c r="H36" i="24"/>
  <c r="C36" i="24"/>
  <c r="H35" i="24"/>
  <c r="J35" i="24" s="1"/>
  <c r="C35" i="24"/>
  <c r="H34" i="24"/>
  <c r="J34" i="24" s="1"/>
  <c r="C34" i="24"/>
  <c r="C33" i="24"/>
  <c r="J32" i="24"/>
  <c r="H32" i="24"/>
  <c r="C32" i="24"/>
  <c r="H31" i="24"/>
  <c r="J31" i="24" s="1"/>
  <c r="C31" i="24"/>
  <c r="H30" i="24"/>
  <c r="J30" i="24" s="1"/>
  <c r="C30" i="24"/>
  <c r="C29" i="24"/>
  <c r="C28" i="24"/>
  <c r="C27" i="24"/>
  <c r="C26" i="24"/>
  <c r="C25" i="24"/>
  <c r="C24" i="24"/>
  <c r="C23" i="24"/>
  <c r="C22" i="24"/>
  <c r="C21" i="24"/>
  <c r="C20" i="24"/>
  <c r="C19" i="24"/>
  <c r="C18" i="24"/>
  <c r="C17" i="24"/>
  <c r="C16" i="24"/>
  <c r="C15" i="24"/>
  <c r="C14" i="24"/>
  <c r="C13" i="24"/>
  <c r="C12" i="24"/>
  <c r="C11" i="24"/>
  <c r="I7" i="24"/>
  <c r="I6" i="24"/>
  <c r="F5" i="24"/>
  <c r="D23" i="24" s="1"/>
  <c r="E23" i="24" s="1"/>
  <c r="C5" i="24"/>
  <c r="C2" i="24"/>
  <c r="H33" i="24" s="1"/>
  <c r="J33" i="24" s="1"/>
  <c r="D43" i="23"/>
  <c r="D42" i="23"/>
  <c r="J35" i="19"/>
  <c r="J34" i="19"/>
  <c r="J35" i="18"/>
  <c r="J34" i="18"/>
  <c r="J34" i="16"/>
  <c r="J33" i="15"/>
  <c r="J31" i="15"/>
  <c r="J30" i="13"/>
  <c r="J33" i="12"/>
  <c r="J36" i="23"/>
  <c r="J37" i="23"/>
  <c r="J38"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12" i="23"/>
  <c r="H14" i="23"/>
  <c r="H38" i="23"/>
  <c r="H35" i="23"/>
  <c r="J35" i="23" s="1"/>
  <c r="B43" i="23"/>
  <c r="C42" i="23"/>
  <c r="C43" i="23" s="1"/>
  <c r="B42" i="23"/>
  <c r="C37" i="23"/>
  <c r="H39" i="23"/>
  <c r="J39" i="23" s="1"/>
  <c r="C36" i="23"/>
  <c r="H37" i="23"/>
  <c r="C35" i="23"/>
  <c r="H36" i="23"/>
  <c r="C34" i="23"/>
  <c r="H34" i="23"/>
  <c r="J34" i="23" s="1"/>
  <c r="C33" i="23"/>
  <c r="H33" i="23"/>
  <c r="J33" i="23" s="1"/>
  <c r="C32" i="23"/>
  <c r="H32" i="23"/>
  <c r="J32" i="23" s="1"/>
  <c r="C31" i="23"/>
  <c r="H31" i="23"/>
  <c r="J31" i="23" s="1"/>
  <c r="C30" i="23"/>
  <c r="C29" i="23"/>
  <c r="C28" i="23"/>
  <c r="C27" i="23"/>
  <c r="C26" i="23"/>
  <c r="C25" i="23"/>
  <c r="C24" i="23"/>
  <c r="C23" i="23"/>
  <c r="C22" i="23"/>
  <c r="C21" i="23"/>
  <c r="C20" i="23"/>
  <c r="C19" i="23"/>
  <c r="C18" i="23"/>
  <c r="C17" i="23"/>
  <c r="C16" i="23"/>
  <c r="C15" i="23"/>
  <c r="C14" i="23"/>
  <c r="C13" i="23"/>
  <c r="C12" i="23"/>
  <c r="C8" i="23"/>
  <c r="C5" i="21"/>
  <c r="C6" i="22"/>
  <c r="C3" i="21"/>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E37" i="23" l="1"/>
  <c r="D20" i="24"/>
  <c r="E20" i="24" s="1"/>
  <c r="D18" i="24"/>
  <c r="E18" i="24" s="1"/>
  <c r="D26" i="24"/>
  <c r="E26" i="24" s="1"/>
  <c r="D34" i="24"/>
  <c r="E34" i="24" s="1"/>
  <c r="D13" i="24"/>
  <c r="E13" i="24" s="1"/>
  <c r="D21" i="24"/>
  <c r="E21" i="24" s="1"/>
  <c r="D29" i="24"/>
  <c r="E29" i="24" s="1"/>
  <c r="D31" i="24"/>
  <c r="E31" i="24" s="1"/>
  <c r="D16" i="24"/>
  <c r="E16" i="24" s="1"/>
  <c r="C3" i="24"/>
  <c r="D11" i="24"/>
  <c r="E11" i="24" s="1"/>
  <c r="D24" i="24"/>
  <c r="E24" i="24" s="1"/>
  <c r="D36" i="24"/>
  <c r="E36" i="24" s="1"/>
  <c r="C4" i="24"/>
  <c r="D19" i="24"/>
  <c r="E19" i="24" s="1"/>
  <c r="D27" i="24"/>
  <c r="E27" i="24" s="1"/>
  <c r="D33" i="24"/>
  <c r="E33" i="24" s="1"/>
  <c r="D14" i="24"/>
  <c r="E14" i="24" s="1"/>
  <c r="D22" i="24"/>
  <c r="E22" i="24" s="1"/>
  <c r="D30" i="24"/>
  <c r="E30" i="24" s="1"/>
  <c r="D12" i="24"/>
  <c r="E12" i="24" s="1"/>
  <c r="D17" i="24"/>
  <c r="E17" i="24" s="1"/>
  <c r="D25" i="24"/>
  <c r="E25" i="24" s="1"/>
  <c r="D35" i="24"/>
  <c r="E35" i="24" s="1"/>
  <c r="D28" i="24"/>
  <c r="E28" i="24" s="1"/>
  <c r="D32" i="24"/>
  <c r="E32" i="24" s="1"/>
  <c r="H37" i="24"/>
  <c r="J37" i="24" s="1"/>
  <c r="F7" i="24"/>
  <c r="H12" i="24"/>
  <c r="D15" i="24"/>
  <c r="E15" i="24" s="1"/>
  <c r="E20" i="23"/>
  <c r="E36" i="23"/>
  <c r="E19" i="23"/>
  <c r="E16" i="23"/>
  <c r="E24" i="23"/>
  <c r="E31" i="23"/>
  <c r="E35" i="23"/>
  <c r="E15" i="23"/>
  <c r="E23" i="23"/>
  <c r="E28" i="23"/>
  <c r="E27" i="23"/>
  <c r="E13" i="23"/>
  <c r="E21" i="23"/>
  <c r="E29" i="23"/>
  <c r="E17" i="23"/>
  <c r="E25" i="23"/>
  <c r="E18" i="23"/>
  <c r="E26" i="23"/>
  <c r="E32" i="23"/>
  <c r="E33" i="23"/>
  <c r="E14" i="23"/>
  <c r="E22" i="23"/>
  <c r="E30" i="23"/>
  <c r="E34" i="23"/>
  <c r="E12" i="23"/>
  <c r="C5" i="22"/>
  <c r="C4" i="22" s="1"/>
  <c r="C3" i="22"/>
  <c r="H34" i="20"/>
  <c r="J34" i="20" s="1"/>
  <c r="H33" i="20"/>
  <c r="J33" i="20" s="1"/>
  <c r="H32" i="20"/>
  <c r="J32" i="20" s="1"/>
  <c r="H31" i="20"/>
  <c r="J31" i="20" s="1"/>
  <c r="H30" i="20"/>
  <c r="J30" i="20" s="1"/>
  <c r="H37" i="11"/>
  <c r="J37" i="11" s="1"/>
  <c r="H36" i="11"/>
  <c r="J36" i="11" s="1"/>
  <c r="H35" i="11"/>
  <c r="J35" i="11" s="1"/>
  <c r="H34" i="11"/>
  <c r="J34" i="11" s="1"/>
  <c r="H32" i="11"/>
  <c r="J32" i="11" s="1"/>
  <c r="H31" i="11"/>
  <c r="J31" i="11" s="1"/>
  <c r="H30" i="11"/>
  <c r="J30" i="11" s="1"/>
  <c r="H36" i="19"/>
  <c r="J36" i="19" s="1"/>
  <c r="H35" i="19"/>
  <c r="H34" i="19"/>
  <c r="H33" i="19"/>
  <c r="J33" i="19" s="1"/>
  <c r="H32" i="19"/>
  <c r="J32" i="19" s="1"/>
  <c r="H31" i="19"/>
  <c r="J31" i="19" s="1"/>
  <c r="H30" i="19"/>
  <c r="J30" i="19" s="1"/>
  <c r="H37" i="18"/>
  <c r="J37" i="18" s="1"/>
  <c r="H36" i="18"/>
  <c r="J36" i="18" s="1"/>
  <c r="H35" i="18"/>
  <c r="H34" i="18"/>
  <c r="H33" i="18"/>
  <c r="J33" i="18" s="1"/>
  <c r="H32" i="18"/>
  <c r="J32" i="18" s="1"/>
  <c r="H31" i="18"/>
  <c r="J31" i="18" s="1"/>
  <c r="H30" i="18"/>
  <c r="J30" i="18" s="1"/>
  <c r="H35" i="16"/>
  <c r="J35" i="16" s="1"/>
  <c r="H34" i="16"/>
  <c r="H33" i="16"/>
  <c r="J33" i="16" s="1"/>
  <c r="H32" i="16"/>
  <c r="J32" i="16" s="1"/>
  <c r="H31" i="16"/>
  <c r="J31" i="16" s="1"/>
  <c r="H30" i="16"/>
  <c r="J30" i="16" s="1"/>
  <c r="H34" i="15"/>
  <c r="J34" i="15" s="1"/>
  <c r="H33" i="15"/>
  <c r="H32" i="15"/>
  <c r="J32" i="15" s="1"/>
  <c r="H31" i="15"/>
  <c r="H30" i="15"/>
  <c r="J30" i="15" s="1"/>
  <c r="H33" i="14"/>
  <c r="J33" i="14" s="1"/>
  <c r="H35" i="14"/>
  <c r="J35" i="14" s="1"/>
  <c r="H34" i="14"/>
  <c r="J34" i="14" s="1"/>
  <c r="H32" i="14"/>
  <c r="J32" i="14" s="1"/>
  <c r="H31" i="14"/>
  <c r="J31" i="14" s="1"/>
  <c r="H30" i="14"/>
  <c r="J30" i="14" s="1"/>
  <c r="H34" i="13"/>
  <c r="J34" i="13" s="1"/>
  <c r="H33" i="13"/>
  <c r="J33" i="13" s="1"/>
  <c r="H32" i="13"/>
  <c r="J32" i="13" s="1"/>
  <c r="H31" i="13"/>
  <c r="J31" i="13" s="1"/>
  <c r="H30" i="13"/>
  <c r="H34" i="12"/>
  <c r="J34" i="12" s="1"/>
  <c r="H33" i="12"/>
  <c r="H32" i="12"/>
  <c r="J32" i="12" s="1"/>
  <c r="H31" i="12"/>
  <c r="J31" i="12" s="1"/>
  <c r="H30" i="12"/>
  <c r="J30" i="12" s="1"/>
  <c r="H32" i="3"/>
  <c r="J32" i="3" s="1"/>
  <c r="H31" i="3"/>
  <c r="J31" i="3" s="1"/>
  <c r="H30" i="3"/>
  <c r="J30" i="3" s="1"/>
  <c r="H32" i="2"/>
  <c r="J32" i="2" s="1"/>
  <c r="H33" i="2"/>
  <c r="J33" i="2" s="1"/>
  <c r="H31" i="2"/>
  <c r="J31" i="2" s="1"/>
  <c r="H30" i="2"/>
  <c r="J30" i="2" s="1"/>
  <c r="C6" i="33" l="1"/>
  <c r="E19" i="33"/>
  <c r="E20" i="33"/>
  <c r="E21" i="33"/>
  <c r="E22" i="33"/>
  <c r="E23" i="33"/>
  <c r="E24" i="33"/>
  <c r="E25" i="33"/>
  <c r="E26" i="33"/>
  <c r="E27" i="33"/>
  <c r="E28" i="33"/>
  <c r="E29" i="33"/>
  <c r="E30" i="33"/>
  <c r="E31" i="33"/>
  <c r="E32" i="33"/>
  <c r="E33" i="33"/>
  <c r="E34" i="33"/>
  <c r="E35" i="33"/>
  <c r="E36" i="33"/>
  <c r="E37" i="33"/>
  <c r="E38" i="33"/>
  <c r="E39" i="33"/>
  <c r="E40" i="33"/>
  <c r="E41" i="33"/>
  <c r="E42" i="33"/>
  <c r="E43" i="33"/>
  <c r="E44" i="33"/>
  <c r="D33" i="22"/>
  <c r="E33" i="22" s="1"/>
  <c r="D22" i="22"/>
  <c r="E22" i="22" s="1"/>
  <c r="D26" i="22"/>
  <c r="E26" i="22" s="1"/>
  <c r="D30" i="22"/>
  <c r="E30" i="22" s="1"/>
  <c r="D23" i="22"/>
  <c r="E23" i="22" s="1"/>
  <c r="D18" i="22"/>
  <c r="E18" i="22" s="1"/>
  <c r="D14" i="22"/>
  <c r="E14" i="22" s="1"/>
  <c r="D11" i="22"/>
  <c r="E11" i="22" s="1"/>
  <c r="K11" i="22"/>
  <c r="D15" i="22"/>
  <c r="E15" i="22" s="1"/>
  <c r="D31" i="22"/>
  <c r="E31" i="22" s="1"/>
  <c r="D32" i="22"/>
  <c r="E32" i="22" s="1"/>
  <c r="D27" i="22"/>
  <c r="E27" i="22" s="1"/>
  <c r="D24" i="22"/>
  <c r="E24" i="22" s="1"/>
  <c r="D35" i="22"/>
  <c r="E35" i="22" s="1"/>
  <c r="D19" i="22"/>
  <c r="E19" i="22" s="1"/>
  <c r="D10" i="22"/>
  <c r="E10" i="22" s="1"/>
  <c r="D13" i="22"/>
  <c r="E13" i="22" s="1"/>
  <c r="D28" i="22"/>
  <c r="E28" i="22" s="1"/>
  <c r="D29" i="22"/>
  <c r="E29" i="22" s="1"/>
  <c r="D20" i="22"/>
  <c r="E20" i="22" s="1"/>
  <c r="D16" i="22"/>
  <c r="E16" i="22" s="1"/>
  <c r="D12" i="22"/>
  <c r="E12" i="22" s="1"/>
  <c r="D17" i="22"/>
  <c r="E17" i="22" s="1"/>
  <c r="D25" i="22"/>
  <c r="E25" i="22" s="1"/>
  <c r="D21" i="22"/>
  <c r="E21" i="22" s="1"/>
  <c r="D34" i="22"/>
  <c r="E34" i="22" s="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10" i="21"/>
  <c r="C6" i="21"/>
  <c r="C4" i="21" l="1"/>
  <c r="D34" i="21" s="1"/>
  <c r="E34" i="21" s="1"/>
  <c r="D16" i="21" l="1"/>
  <c r="E16" i="21" s="1"/>
  <c r="D22" i="21"/>
  <c r="E22" i="21" s="1"/>
  <c r="D35" i="21"/>
  <c r="E35" i="21" s="1"/>
  <c r="D15" i="21"/>
  <c r="E15" i="21" s="1"/>
  <c r="D25" i="21"/>
  <c r="E25" i="21" s="1"/>
  <c r="D31" i="21"/>
  <c r="E31" i="21" s="1"/>
  <c r="D21" i="21"/>
  <c r="E21" i="21" s="1"/>
  <c r="D26" i="21"/>
  <c r="E26" i="21" s="1"/>
  <c r="D19" i="21"/>
  <c r="E19" i="21" s="1"/>
  <c r="K11" i="21"/>
  <c r="D32" i="21"/>
  <c r="E32" i="21" s="1"/>
  <c r="D18" i="21"/>
  <c r="E18" i="21" s="1"/>
  <c r="D27" i="21"/>
  <c r="E27" i="21" s="1"/>
  <c r="D11" i="21"/>
  <c r="E11" i="21" s="1"/>
  <c r="D17" i="21"/>
  <c r="E17" i="21" s="1"/>
  <c r="D28" i="21"/>
  <c r="E28" i="21" s="1"/>
  <c r="D30" i="21"/>
  <c r="E30" i="21" s="1"/>
  <c r="D14" i="21"/>
  <c r="E14" i="21" s="1"/>
  <c r="D23" i="21"/>
  <c r="E23" i="21" s="1"/>
  <c r="D10" i="21"/>
  <c r="E10" i="21" s="1"/>
  <c r="D13" i="21"/>
  <c r="E13" i="21" s="1"/>
  <c r="D24" i="21"/>
  <c r="E24" i="21" s="1"/>
  <c r="D20" i="21"/>
  <c r="E20" i="21" s="1"/>
  <c r="D12" i="21"/>
  <c r="E12" i="21" s="1"/>
  <c r="D29" i="21"/>
  <c r="E29" i="21" s="1"/>
  <c r="D33" i="21"/>
  <c r="E33" i="21" s="1"/>
  <c r="H13" i="19" l="1"/>
  <c r="C7" i="18"/>
  <c r="H12" i="18" s="1"/>
  <c r="H10" i="2"/>
  <c r="C5" i="20" l="1"/>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D13" i="19"/>
  <c r="D16" i="19"/>
  <c r="D17" i="19"/>
  <c r="D20" i="19"/>
  <c r="D21" i="19"/>
  <c r="D24" i="19"/>
  <c r="E24" i="19" s="1"/>
  <c r="D25" i="19"/>
  <c r="D28" i="19"/>
  <c r="D29" i="19"/>
  <c r="D32" i="19"/>
  <c r="D33" i="19"/>
  <c r="D36" i="19"/>
  <c r="D37" i="19"/>
  <c r="B43" i="19"/>
  <c r="C42" i="19"/>
  <c r="C43" i="19" s="1"/>
  <c r="B42" i="19"/>
  <c r="C37" i="19"/>
  <c r="C36" i="19"/>
  <c r="C35" i="19"/>
  <c r="D35" i="19" s="1"/>
  <c r="C34" i="19"/>
  <c r="D34" i="19" s="1"/>
  <c r="C33" i="19"/>
  <c r="C32" i="19"/>
  <c r="C31" i="19"/>
  <c r="D31" i="19" s="1"/>
  <c r="C30" i="19"/>
  <c r="D30" i="19" s="1"/>
  <c r="C29" i="19"/>
  <c r="C28" i="19"/>
  <c r="C27" i="19"/>
  <c r="D27" i="19" s="1"/>
  <c r="C26" i="19"/>
  <c r="D26" i="19" s="1"/>
  <c r="C25" i="19"/>
  <c r="C24" i="19"/>
  <c r="C23" i="19"/>
  <c r="D23" i="19" s="1"/>
  <c r="C22" i="19"/>
  <c r="D22" i="19" s="1"/>
  <c r="C21" i="19"/>
  <c r="C20" i="19"/>
  <c r="C19" i="19"/>
  <c r="D19" i="19" s="1"/>
  <c r="C18" i="19"/>
  <c r="D18" i="19" s="1"/>
  <c r="C17" i="19"/>
  <c r="C16" i="19"/>
  <c r="C15" i="19"/>
  <c r="D15" i="19" s="1"/>
  <c r="C14" i="19"/>
  <c r="D14" i="19" s="1"/>
  <c r="C13" i="19"/>
  <c r="C12" i="19"/>
  <c r="D12" i="19" s="1"/>
  <c r="C6" i="19"/>
  <c r="C42" i="18"/>
  <c r="C43" i="18" s="1"/>
  <c r="B43" i="18"/>
  <c r="B42" i="18"/>
  <c r="C37" i="18"/>
  <c r="D37" i="18" s="1"/>
  <c r="C36" i="18"/>
  <c r="D36" i="18" s="1"/>
  <c r="C35" i="18"/>
  <c r="D35" i="18" s="1"/>
  <c r="C34" i="18"/>
  <c r="D34" i="18" s="1"/>
  <c r="C33" i="18"/>
  <c r="D33" i="18" s="1"/>
  <c r="C32" i="18"/>
  <c r="D32" i="18" s="1"/>
  <c r="C31" i="18"/>
  <c r="D31" i="18" s="1"/>
  <c r="C30" i="18"/>
  <c r="D30" i="18" s="1"/>
  <c r="C29" i="18"/>
  <c r="D29" i="18" s="1"/>
  <c r="C28" i="18"/>
  <c r="C27" i="18"/>
  <c r="D27" i="18" s="1"/>
  <c r="C26" i="18"/>
  <c r="D26" i="18" s="1"/>
  <c r="C25" i="18"/>
  <c r="D25" i="18" s="1"/>
  <c r="C24" i="18"/>
  <c r="D24" i="18" s="1"/>
  <c r="C23" i="18"/>
  <c r="D23" i="18" s="1"/>
  <c r="C22" i="18"/>
  <c r="D22" i="18" s="1"/>
  <c r="C21" i="18"/>
  <c r="D21" i="18" s="1"/>
  <c r="C20" i="18"/>
  <c r="D20" i="18" s="1"/>
  <c r="C19" i="18"/>
  <c r="D19" i="18" s="1"/>
  <c r="C18" i="18"/>
  <c r="D18" i="18" s="1"/>
  <c r="C17" i="18"/>
  <c r="D17" i="18" s="1"/>
  <c r="C16" i="18"/>
  <c r="D16" i="18" s="1"/>
  <c r="C15" i="18"/>
  <c r="D15" i="18" s="1"/>
  <c r="C14" i="18"/>
  <c r="D14" i="18" s="1"/>
  <c r="C13" i="18"/>
  <c r="D13" i="18" s="1"/>
  <c r="C12" i="18"/>
  <c r="D12" i="18" s="1"/>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6" i="16"/>
  <c r="H10" i="16" s="1"/>
  <c r="C6" i="15"/>
  <c r="D32" i="15" s="1"/>
  <c r="E32" i="15" s="1"/>
  <c r="C5" i="14"/>
  <c r="C35" i="15"/>
  <c r="C34" i="15"/>
  <c r="C33" i="15"/>
  <c r="C32" i="15"/>
  <c r="C31" i="15"/>
  <c r="C30" i="15"/>
  <c r="C29" i="15"/>
  <c r="C28" i="15"/>
  <c r="C27" i="15"/>
  <c r="C26" i="15"/>
  <c r="C25" i="15"/>
  <c r="C24" i="15"/>
  <c r="C23" i="15"/>
  <c r="C22" i="15"/>
  <c r="C21" i="15"/>
  <c r="C20" i="15"/>
  <c r="C19" i="15"/>
  <c r="C18" i="15"/>
  <c r="C17" i="15"/>
  <c r="C16" i="15"/>
  <c r="C15" i="15"/>
  <c r="C14" i="15"/>
  <c r="C13" i="15"/>
  <c r="C12" i="15"/>
  <c r="C11" i="15"/>
  <c r="C10" i="15"/>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6" i="14"/>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10" i="13"/>
  <c r="C5" i="13"/>
  <c r="C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H10" i="3"/>
  <c r="D11" i="3"/>
  <c r="E11" i="3" s="1"/>
  <c r="D12" i="3"/>
  <c r="E12" i="3" s="1"/>
  <c r="D13" i="3"/>
  <c r="E13" i="3" s="1"/>
  <c r="D14" i="3"/>
  <c r="E14" i="3" s="1"/>
  <c r="D15" i="3"/>
  <c r="E15" i="3" s="1"/>
  <c r="D16" i="3"/>
  <c r="E16" i="3" s="1"/>
  <c r="D17" i="3"/>
  <c r="E17" i="3" s="1"/>
  <c r="D18" i="3"/>
  <c r="E18" i="3" s="1"/>
  <c r="D19" i="3"/>
  <c r="E19" i="3" s="1"/>
  <c r="D20" i="3"/>
  <c r="E20" i="3" s="1"/>
  <c r="D21" i="3"/>
  <c r="E21" i="3" s="1"/>
  <c r="D22" i="3"/>
  <c r="E22" i="3" s="1"/>
  <c r="D23" i="3"/>
  <c r="E23" i="3" s="1"/>
  <c r="D24" i="3"/>
  <c r="E24" i="3" s="1"/>
  <c r="D25" i="3"/>
  <c r="E25" i="3" s="1"/>
  <c r="D26" i="3"/>
  <c r="E26" i="3" s="1"/>
  <c r="D27" i="3"/>
  <c r="D28" i="3"/>
  <c r="E28" i="3" s="1"/>
  <c r="D29" i="3"/>
  <c r="E29" i="3" s="1"/>
  <c r="D30" i="3"/>
  <c r="E30" i="3" s="1"/>
  <c r="D31" i="3"/>
  <c r="E31" i="3" s="1"/>
  <c r="D32" i="3"/>
  <c r="E32" i="3" s="1"/>
  <c r="D33" i="3"/>
  <c r="E33" i="3" s="1"/>
  <c r="D34" i="3"/>
  <c r="E34" i="3" s="1"/>
  <c r="D35" i="3"/>
  <c r="D10" i="3"/>
  <c r="E10" i="3" s="1"/>
  <c r="C11" i="3"/>
  <c r="C12" i="3"/>
  <c r="C13" i="3"/>
  <c r="C14" i="3"/>
  <c r="C15" i="3"/>
  <c r="C16" i="3"/>
  <c r="C17" i="3"/>
  <c r="C18" i="3"/>
  <c r="C19" i="3"/>
  <c r="C20" i="3"/>
  <c r="C21" i="3"/>
  <c r="C22" i="3"/>
  <c r="C23" i="3"/>
  <c r="C24" i="3"/>
  <c r="C25" i="3"/>
  <c r="C26" i="3"/>
  <c r="C27" i="3"/>
  <c r="C28" i="3"/>
  <c r="C29" i="3"/>
  <c r="C30" i="3"/>
  <c r="C31" i="3"/>
  <c r="C32" i="3"/>
  <c r="C33" i="3"/>
  <c r="C34" i="3"/>
  <c r="C35" i="3"/>
  <c r="C10" i="3"/>
  <c r="E27" i="3"/>
  <c r="E35" i="3"/>
  <c r="E16" i="19" l="1"/>
  <c r="D16" i="15"/>
  <c r="E16" i="15" s="1"/>
  <c r="D23" i="15"/>
  <c r="E23" i="15" s="1"/>
  <c r="D10" i="15"/>
  <c r="E10" i="15" s="1"/>
  <c r="D26" i="15"/>
  <c r="E26" i="15" s="1"/>
  <c r="D16" i="14"/>
  <c r="E16" i="14" s="1"/>
  <c r="H10" i="14"/>
  <c r="D28" i="14"/>
  <c r="E28" i="14" s="1"/>
  <c r="D12" i="14"/>
  <c r="E12" i="14" s="1"/>
  <c r="D11" i="15"/>
  <c r="E11" i="15" s="1"/>
  <c r="D14" i="15"/>
  <c r="E14" i="15" s="1"/>
  <c r="D20" i="15"/>
  <c r="E20" i="15" s="1"/>
  <c r="D27" i="15"/>
  <c r="E27" i="15" s="1"/>
  <c r="D30" i="15"/>
  <c r="E30" i="15" s="1"/>
  <c r="D34" i="15"/>
  <c r="E34" i="15" s="1"/>
  <c r="D15" i="15"/>
  <c r="E15" i="15" s="1"/>
  <c r="D18" i="15"/>
  <c r="E18" i="15" s="1"/>
  <c r="D24" i="15"/>
  <c r="E24" i="15" s="1"/>
  <c r="D31" i="15"/>
  <c r="E31" i="15" s="1"/>
  <c r="D33" i="15"/>
  <c r="E33" i="15" s="1"/>
  <c r="D12" i="15"/>
  <c r="E12" i="15" s="1"/>
  <c r="D19" i="15"/>
  <c r="E19" i="15" s="1"/>
  <c r="D22" i="15"/>
  <c r="E22" i="15" s="1"/>
  <c r="D28" i="15"/>
  <c r="E28" i="15" s="1"/>
  <c r="D24" i="14"/>
  <c r="E24" i="14" s="1"/>
  <c r="D10" i="14"/>
  <c r="E10" i="14" s="1"/>
  <c r="D20" i="14"/>
  <c r="E20" i="14" s="1"/>
  <c r="D32" i="14"/>
  <c r="E32" i="14" s="1"/>
  <c r="D28" i="18"/>
  <c r="E28" i="18" s="1"/>
  <c r="D34" i="20"/>
  <c r="E34" i="20" s="1"/>
  <c r="H10" i="20"/>
  <c r="D13" i="20"/>
  <c r="E13" i="20" s="1"/>
  <c r="D17" i="20"/>
  <c r="E17" i="20" s="1"/>
  <c r="D29" i="20"/>
  <c r="E29" i="20" s="1"/>
  <c r="D12" i="20"/>
  <c r="E12" i="20" s="1"/>
  <c r="D16" i="20"/>
  <c r="E16" i="20" s="1"/>
  <c r="D20" i="20"/>
  <c r="E20" i="20" s="1"/>
  <c r="D24" i="20"/>
  <c r="E24" i="20" s="1"/>
  <c r="D28" i="20"/>
  <c r="E28" i="20" s="1"/>
  <c r="D32" i="20"/>
  <c r="E32" i="20" s="1"/>
  <c r="D21" i="20"/>
  <c r="E21" i="20" s="1"/>
  <c r="D25" i="20"/>
  <c r="E25" i="20" s="1"/>
  <c r="D33" i="20"/>
  <c r="E33" i="20" s="1"/>
  <c r="D10" i="20"/>
  <c r="E10" i="20" s="1"/>
  <c r="D11" i="20"/>
  <c r="E11" i="20" s="1"/>
  <c r="D15" i="20"/>
  <c r="E15" i="20" s="1"/>
  <c r="D19" i="20"/>
  <c r="E19" i="20" s="1"/>
  <c r="D23" i="20"/>
  <c r="E23" i="20" s="1"/>
  <c r="D27" i="20"/>
  <c r="E27" i="20" s="1"/>
  <c r="D31" i="20"/>
  <c r="E31" i="20" s="1"/>
  <c r="D35" i="20"/>
  <c r="E35" i="20" s="1"/>
  <c r="D14" i="20"/>
  <c r="E14" i="20" s="1"/>
  <c r="D18" i="20"/>
  <c r="E18" i="20" s="1"/>
  <c r="D22" i="20"/>
  <c r="E22" i="20" s="1"/>
  <c r="D26" i="20"/>
  <c r="E26" i="20" s="1"/>
  <c r="D30" i="20"/>
  <c r="E30" i="20" s="1"/>
  <c r="E32" i="19"/>
  <c r="E37" i="19"/>
  <c r="E12" i="19"/>
  <c r="E20" i="19"/>
  <c r="E28" i="19"/>
  <c r="E36" i="19"/>
  <c r="E14" i="19"/>
  <c r="E22" i="19"/>
  <c r="E30" i="19"/>
  <c r="E13" i="19"/>
  <c r="E18" i="19"/>
  <c r="E26" i="19"/>
  <c r="E34" i="19"/>
  <c r="E15" i="19"/>
  <c r="E19" i="19"/>
  <c r="E23" i="19"/>
  <c r="E27" i="19"/>
  <c r="E31" i="19"/>
  <c r="E35" i="19"/>
  <c r="E17" i="19"/>
  <c r="E21" i="19"/>
  <c r="E25" i="19"/>
  <c r="E29" i="19"/>
  <c r="E33" i="19"/>
  <c r="E36" i="18"/>
  <c r="E27" i="18"/>
  <c r="E35" i="18"/>
  <c r="E22" i="18"/>
  <c r="E12" i="18"/>
  <c r="E13" i="18"/>
  <c r="E17" i="18"/>
  <c r="E21" i="18"/>
  <c r="E25" i="18"/>
  <c r="E29" i="18"/>
  <c r="E33" i="18"/>
  <c r="E37" i="18"/>
  <c r="E15" i="18"/>
  <c r="E19" i="18"/>
  <c r="E23" i="18"/>
  <c r="E31" i="18"/>
  <c r="E14" i="18"/>
  <c r="E18" i="18"/>
  <c r="E26" i="18"/>
  <c r="E30" i="18"/>
  <c r="E34" i="18"/>
  <c r="E16" i="18"/>
  <c r="E20" i="18"/>
  <c r="E24" i="18"/>
  <c r="E32" i="18"/>
  <c r="C5" i="16"/>
  <c r="E33" i="16"/>
  <c r="E29" i="16"/>
  <c r="E25" i="16"/>
  <c r="E21" i="16"/>
  <c r="E17" i="16"/>
  <c r="E13" i="16"/>
  <c r="E10" i="16"/>
  <c r="E32" i="16"/>
  <c r="E28" i="16"/>
  <c r="E24" i="16"/>
  <c r="E20" i="16"/>
  <c r="E16" i="16"/>
  <c r="E12" i="16"/>
  <c r="E35" i="16"/>
  <c r="E31" i="16"/>
  <c r="E27" i="16"/>
  <c r="E23" i="16"/>
  <c r="E19" i="16"/>
  <c r="E15" i="16"/>
  <c r="E11" i="16"/>
  <c r="E34" i="16"/>
  <c r="E30" i="16"/>
  <c r="E26" i="16"/>
  <c r="E22" i="16"/>
  <c r="E18" i="16"/>
  <c r="E14" i="16"/>
  <c r="D35" i="15"/>
  <c r="E35" i="15" s="1"/>
  <c r="D35" i="14"/>
  <c r="E35" i="14" s="1"/>
  <c r="D31" i="14"/>
  <c r="E31" i="14" s="1"/>
  <c r="D27" i="14"/>
  <c r="E27" i="14" s="1"/>
  <c r="D23" i="14"/>
  <c r="E23" i="14" s="1"/>
  <c r="D19" i="14"/>
  <c r="E19" i="14" s="1"/>
  <c r="D15" i="14"/>
  <c r="E15" i="14" s="1"/>
  <c r="D11" i="14"/>
  <c r="E11" i="14" s="1"/>
  <c r="D30" i="14"/>
  <c r="E30" i="14" s="1"/>
  <c r="D14" i="14"/>
  <c r="E14" i="14" s="1"/>
  <c r="D34" i="14"/>
  <c r="E34" i="14" s="1"/>
  <c r="D26" i="14"/>
  <c r="E26" i="14" s="1"/>
  <c r="D22" i="14"/>
  <c r="E22" i="14" s="1"/>
  <c r="D18" i="14"/>
  <c r="E18" i="14" s="1"/>
  <c r="D33" i="14"/>
  <c r="E33" i="14" s="1"/>
  <c r="D29" i="14"/>
  <c r="E29" i="14" s="1"/>
  <c r="D25" i="14"/>
  <c r="E25" i="14" s="1"/>
  <c r="D21" i="14"/>
  <c r="E21" i="14" s="1"/>
  <c r="D17" i="14"/>
  <c r="E17" i="14" s="1"/>
  <c r="D13" i="14"/>
  <c r="E13" i="14" s="1"/>
  <c r="H10" i="15"/>
  <c r="D13" i="15"/>
  <c r="E13" i="15" s="1"/>
  <c r="D17" i="15"/>
  <c r="E17" i="15" s="1"/>
  <c r="D21" i="15"/>
  <c r="E21" i="15" s="1"/>
  <c r="D25" i="15"/>
  <c r="E25" i="15" s="1"/>
  <c r="D29" i="15"/>
  <c r="E29" i="15" s="1"/>
  <c r="D34" i="13"/>
  <c r="E34" i="13" s="1"/>
  <c r="H10" i="13"/>
  <c r="D13" i="13"/>
  <c r="E13" i="13" s="1"/>
  <c r="D17" i="13"/>
  <c r="E17" i="13" s="1"/>
  <c r="D21" i="13"/>
  <c r="E21" i="13" s="1"/>
  <c r="D25" i="13"/>
  <c r="E25" i="13" s="1"/>
  <c r="D29" i="13"/>
  <c r="E29" i="13" s="1"/>
  <c r="D33" i="13"/>
  <c r="E33" i="13" s="1"/>
  <c r="D12" i="13"/>
  <c r="E12" i="13" s="1"/>
  <c r="D16" i="13"/>
  <c r="E16" i="13" s="1"/>
  <c r="D20" i="13"/>
  <c r="E20" i="13" s="1"/>
  <c r="D24" i="13"/>
  <c r="E24" i="13" s="1"/>
  <c r="D28" i="13"/>
  <c r="E28" i="13" s="1"/>
  <c r="D32" i="13"/>
  <c r="E32" i="13" s="1"/>
  <c r="D10" i="13"/>
  <c r="E10" i="13" s="1"/>
  <c r="D11" i="13"/>
  <c r="E11" i="13" s="1"/>
  <c r="D15" i="13"/>
  <c r="E15" i="13" s="1"/>
  <c r="D19" i="13"/>
  <c r="E19" i="13" s="1"/>
  <c r="D23" i="13"/>
  <c r="E23" i="13" s="1"/>
  <c r="D27" i="13"/>
  <c r="E27" i="13" s="1"/>
  <c r="D31" i="13"/>
  <c r="E31" i="13" s="1"/>
  <c r="D35" i="13"/>
  <c r="E35" i="13" s="1"/>
  <c r="D14" i="13"/>
  <c r="E14" i="13" s="1"/>
  <c r="D18" i="13"/>
  <c r="E18" i="13" s="1"/>
  <c r="D22" i="13"/>
  <c r="E22" i="13" s="1"/>
  <c r="D26" i="13"/>
  <c r="E26" i="13" s="1"/>
  <c r="D30" i="13"/>
  <c r="E30" i="13" s="1"/>
  <c r="D11" i="12"/>
  <c r="E11" i="12" s="1"/>
  <c r="D18" i="12"/>
  <c r="E18" i="12" s="1"/>
  <c r="H10" i="12"/>
  <c r="D34" i="12"/>
  <c r="E34" i="12" s="1"/>
  <c r="D26" i="12"/>
  <c r="E26" i="12" s="1"/>
  <c r="D32" i="12"/>
  <c r="E32" i="12" s="1"/>
  <c r="D24" i="12"/>
  <c r="E24" i="12" s="1"/>
  <c r="D16" i="12"/>
  <c r="E16" i="12" s="1"/>
  <c r="D30" i="12"/>
  <c r="E30" i="12" s="1"/>
  <c r="D22" i="12"/>
  <c r="E22" i="12" s="1"/>
  <c r="D14" i="12"/>
  <c r="E14" i="12" s="1"/>
  <c r="D10" i="12"/>
  <c r="E10" i="12" s="1"/>
  <c r="D28" i="12"/>
  <c r="E28" i="12" s="1"/>
  <c r="D20" i="12"/>
  <c r="E20" i="12" s="1"/>
  <c r="D12" i="12"/>
  <c r="E12" i="12" s="1"/>
  <c r="D33" i="12"/>
  <c r="E33" i="12" s="1"/>
  <c r="D29" i="12"/>
  <c r="E29" i="12" s="1"/>
  <c r="D25" i="12"/>
  <c r="E25" i="12" s="1"/>
  <c r="D21" i="12"/>
  <c r="E21" i="12" s="1"/>
  <c r="D17" i="12"/>
  <c r="E17" i="12" s="1"/>
  <c r="D13" i="12"/>
  <c r="E13" i="12" s="1"/>
  <c r="D35" i="12"/>
  <c r="E35" i="12" s="1"/>
  <c r="D31" i="12"/>
  <c r="E31" i="12" s="1"/>
  <c r="D27" i="12"/>
  <c r="E27" i="12" s="1"/>
  <c r="D23" i="12"/>
  <c r="E23" i="12" s="1"/>
  <c r="D19" i="12"/>
  <c r="E19" i="12" s="1"/>
  <c r="D15" i="12"/>
  <c r="E15" i="12" s="1"/>
  <c r="C12" i="11" l="1"/>
  <c r="C20" i="11"/>
  <c r="C28" i="11"/>
  <c r="C36" i="11"/>
  <c r="C35" i="11"/>
  <c r="C13" i="11"/>
  <c r="C21" i="11"/>
  <c r="C29" i="11"/>
  <c r="C11" i="11"/>
  <c r="D11" i="11" s="1"/>
  <c r="C23" i="11"/>
  <c r="D23" i="11" s="1"/>
  <c r="E23" i="11" s="1"/>
  <c r="C31" i="11"/>
  <c r="C34" i="11"/>
  <c r="C19" i="11"/>
  <c r="C14" i="11"/>
  <c r="C22" i="11"/>
  <c r="C30" i="11"/>
  <c r="C15" i="11"/>
  <c r="C26" i="11"/>
  <c r="C27" i="11"/>
  <c r="C16" i="11"/>
  <c r="C24" i="11"/>
  <c r="C32" i="11"/>
  <c r="C17" i="11"/>
  <c r="C25" i="11"/>
  <c r="C33" i="11"/>
  <c r="C18" i="11"/>
  <c r="C4" i="11"/>
  <c r="B12" i="2"/>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11" i="2"/>
  <c r="D11" i="1"/>
  <c r="D25" i="11" l="1"/>
  <c r="E25" i="11" s="1"/>
  <c r="D26" i="11"/>
  <c r="E26" i="11" s="1"/>
  <c r="D33" i="11"/>
  <c r="E33" i="11" s="1"/>
  <c r="D13" i="11"/>
  <c r="E13" i="11" s="1"/>
  <c r="D32" i="11"/>
  <c r="E32" i="11" s="1"/>
  <c r="D20" i="11"/>
  <c r="E20" i="11" s="1"/>
  <c r="D16" i="11"/>
  <c r="E16" i="11" s="1"/>
  <c r="H33" i="11"/>
  <c r="J33" i="11" s="1"/>
  <c r="H12" i="11"/>
  <c r="D31" i="11"/>
  <c r="E31" i="11" s="1"/>
  <c r="D22" i="11"/>
  <c r="E22" i="11" s="1"/>
  <c r="D34" i="11"/>
  <c r="E34" i="11" s="1"/>
  <c r="D18" i="11"/>
  <c r="E18" i="11" s="1"/>
  <c r="D21" i="11"/>
  <c r="E21" i="11" s="1"/>
  <c r="D28" i="11"/>
  <c r="E28" i="11" s="1"/>
  <c r="D12" i="11"/>
  <c r="E12" i="11" s="1"/>
  <c r="D29" i="11"/>
  <c r="E29" i="11" s="1"/>
  <c r="D30" i="11"/>
  <c r="E30" i="11" s="1"/>
  <c r="D14" i="11"/>
  <c r="E14" i="11" s="1"/>
  <c r="D27" i="11"/>
  <c r="E27" i="11" s="1"/>
  <c r="E11" i="11"/>
  <c r="D35" i="11"/>
  <c r="E35" i="11" s="1"/>
  <c r="D19" i="11"/>
  <c r="E19" i="11" s="1"/>
  <c r="D17" i="11"/>
  <c r="E17" i="11" s="1"/>
  <c r="D15" i="11"/>
  <c r="E15" i="11" s="1"/>
  <c r="D24" i="11"/>
  <c r="E24" i="11" s="1"/>
  <c r="C3" i="11"/>
  <c r="D36" i="11"/>
  <c r="E36" i="11" s="1"/>
  <c r="C11" i="2" l="1"/>
  <c r="D11" i="2" s="1"/>
  <c r="C12" i="2" l="1"/>
  <c r="D12" i="2" s="1"/>
  <c r="C13" i="2"/>
  <c r="D13" i="2" s="1"/>
  <c r="C14" i="2" l="1"/>
  <c r="D14" i="2" s="1"/>
  <c r="C35" i="2"/>
  <c r="D35" i="2" s="1"/>
  <c r="C15" i="2"/>
  <c r="D15" i="2" s="1"/>
  <c r="C36" i="2" l="1"/>
  <c r="D36" i="2" s="1"/>
  <c r="C16" i="2"/>
  <c r="D16" i="2" s="1"/>
  <c r="C37" i="2" l="1"/>
  <c r="D37" i="2" s="1"/>
  <c r="C17" i="2"/>
  <c r="D17" i="2" s="1"/>
  <c r="C38" i="2" l="1"/>
  <c r="D38" i="2" s="1"/>
  <c r="C18" i="2"/>
  <c r="D18" i="2" s="1"/>
  <c r="C39" i="2" l="1"/>
  <c r="D39" i="2" s="1"/>
  <c r="C19" i="2"/>
  <c r="D19" i="2" s="1"/>
  <c r="C40" i="2" l="1"/>
  <c r="D40" i="2" s="1"/>
  <c r="C20" i="2"/>
  <c r="D20" i="2" s="1"/>
  <c r="C41" i="2" l="1"/>
  <c r="D41" i="2" s="1"/>
  <c r="C21" i="2"/>
  <c r="D21" i="2" s="1"/>
  <c r="C42" i="2" l="1"/>
  <c r="D42" i="2" s="1"/>
  <c r="C22" i="2"/>
  <c r="D22" i="2" s="1"/>
  <c r="C43" i="2" l="1"/>
  <c r="D43" i="2" s="1"/>
  <c r="C23" i="2"/>
  <c r="D23" i="2" s="1"/>
  <c r="C44" i="2" l="1"/>
  <c r="D44" i="2" s="1"/>
  <c r="C24" i="2"/>
  <c r="D24" i="2" s="1"/>
  <c r="C45" i="2" l="1"/>
  <c r="D45" i="2" s="1"/>
  <c r="C25" i="2"/>
  <c r="D25" i="2" s="1"/>
  <c r="C46" i="2" l="1"/>
  <c r="D46" i="2" s="1"/>
  <c r="C26" i="2"/>
  <c r="D26" i="2" s="1"/>
  <c r="C47" i="2" l="1"/>
  <c r="D47" i="2" s="1"/>
  <c r="C48" i="2"/>
  <c r="D48" i="2" s="1"/>
  <c r="C27" i="2"/>
  <c r="D27" i="2" s="1"/>
  <c r="C28" i="2" l="1"/>
  <c r="D28" i="2" s="1"/>
  <c r="C29" i="2" l="1"/>
  <c r="D29" i="2" s="1"/>
  <c r="C30" i="2" l="1"/>
  <c r="D30" i="2" s="1"/>
  <c r="C31" i="2" l="1"/>
  <c r="D31" i="2" s="1"/>
  <c r="C32" i="2" l="1"/>
  <c r="D32" i="2" s="1"/>
  <c r="C33" i="2" l="1"/>
  <c r="D33" i="2" s="1"/>
  <c r="C34" i="2" l="1"/>
  <c r="D34" i="2" s="1"/>
  <c r="D14" i="1"/>
  <c r="D18" i="1"/>
  <c r="D22" i="1"/>
  <c r="D26" i="1"/>
  <c r="D30" i="1"/>
  <c r="D32" i="1"/>
  <c r="D12" i="1"/>
  <c r="D16" i="1"/>
  <c r="D20" i="1"/>
  <c r="D24" i="1"/>
  <c r="D28" i="1"/>
  <c r="D34" i="1"/>
  <c r="D13" i="1"/>
  <c r="D15" i="1"/>
  <c r="D17" i="1"/>
  <c r="D19" i="1"/>
  <c r="D21" i="1"/>
  <c r="D23" i="1"/>
  <c r="D25" i="1"/>
  <c r="D27" i="1"/>
  <c r="D29" i="1"/>
  <c r="D31" i="1"/>
  <c r="D33" i="1"/>
  <c r="D35" i="1"/>
  <c r="D36" i="1"/>
</calcChain>
</file>

<file path=xl/sharedStrings.xml><?xml version="1.0" encoding="utf-8"?>
<sst xmlns="http://schemas.openxmlformats.org/spreadsheetml/2006/main" count="1706" uniqueCount="270">
  <si>
    <t>Shift</t>
  </si>
  <si>
    <t>Gain</t>
  </si>
  <si>
    <t>Vin</t>
  </si>
  <si>
    <t>Vout</t>
  </si>
  <si>
    <t>Vmax</t>
  </si>
  <si>
    <t>delta</t>
  </si>
  <si>
    <t>t</t>
  </si>
  <si>
    <t>Vin(+)</t>
  </si>
  <si>
    <t>Vin(-)</t>
  </si>
  <si>
    <t>V+</t>
  </si>
  <si>
    <t>V-</t>
  </si>
  <si>
    <t>Vb</t>
  </si>
  <si>
    <t>R1</t>
  </si>
  <si>
    <t>R2</t>
  </si>
  <si>
    <t>R3</t>
  </si>
  <si>
    <t>Rf</t>
  </si>
  <si>
    <t>K</t>
  </si>
  <si>
    <t>V</t>
  </si>
  <si>
    <t>V (positive rail power)</t>
  </si>
  <si>
    <t>V (negative rail power)</t>
  </si>
  <si>
    <t>V (voltage on inverting input)</t>
  </si>
  <si>
    <t>V (maximum voltage of sin curve)</t>
  </si>
  <si>
    <t>time offset for amp response</t>
  </si>
  <si>
    <t>Time offset for amp response</t>
  </si>
  <si>
    <t>Vin,min</t>
  </si>
  <si>
    <t>Vin,max</t>
  </si>
  <si>
    <t>Vout,min</t>
  </si>
  <si>
    <t>Vout,max</t>
  </si>
  <si>
    <t>Av</t>
  </si>
  <si>
    <t>Vin:</t>
  </si>
  <si>
    <t>Headroom:</t>
  </si>
  <si>
    <t>Headroom</t>
  </si>
  <si>
    <t>V (=0V for rail-to-rail)</t>
  </si>
  <si>
    <t>Single Test Value:</t>
  </si>
  <si>
    <t>Vout:</t>
  </si>
  <si>
    <t>Buffer</t>
  </si>
  <si>
    <t>Op-Amp Characteristics</t>
  </si>
  <si>
    <t>A buffer has a gain of 1 and a shift of 0V.</t>
  </si>
  <si>
    <t>(max V of signal)</t>
  </si>
  <si>
    <t>X</t>
  </si>
  <si>
    <t>Comparator</t>
  </si>
  <si>
    <t>Inverting Amplifier</t>
  </si>
  <si>
    <t>An inverting amplifier has gain&lt;0, and a shift of 0V.</t>
  </si>
  <si>
    <t>Inverting Amplifier - Warning!</t>
  </si>
  <si>
    <t>Inverting + Bias Amplifier</t>
  </si>
  <si>
    <t>Non-Inverting Amplifier</t>
  </si>
  <si>
    <t>Non-Inverting + Bias Amplifier</t>
  </si>
  <si>
    <t>Differential Amplifier</t>
  </si>
  <si>
    <t>Vin,2</t>
  </si>
  <si>
    <t>For Graphing Vin,2:</t>
  </si>
  <si>
    <t>Vin,1</t>
  </si>
  <si>
    <t>Vin,1 max</t>
  </si>
  <si>
    <t>(max of Vin,1 signal)</t>
  </si>
  <si>
    <t>Summing Inverting Amplifier</t>
  </si>
  <si>
    <t>Summing Non-Inverting Amplifier</t>
  </si>
  <si>
    <t>Vin(+):</t>
  </si>
  <si>
    <t>Vin(-):</t>
  </si>
  <si>
    <t>Single Test Values:</t>
  </si>
  <si>
    <t>V1:</t>
  </si>
  <si>
    <t>V2:</t>
  </si>
  <si>
    <t>Signal Generator</t>
  </si>
  <si>
    <t>With the shift and gain you want!</t>
  </si>
  <si>
    <t>V1max</t>
  </si>
  <si>
    <t>Signal Characteristics</t>
  </si>
  <si>
    <t>V+:</t>
  </si>
  <si>
    <t>Single Test Values: Amp Configuration Summary:</t>
  </si>
  <si>
    <t>V-:</t>
  </si>
  <si>
    <t>R1:</t>
  </si>
  <si>
    <t>RF:</t>
  </si>
  <si>
    <t>Vb:</t>
  </si>
  <si>
    <t>Vin,1:</t>
  </si>
  <si>
    <t>Vin,2:</t>
  </si>
  <si>
    <t>R2:</t>
  </si>
  <si>
    <t>R3:</t>
  </si>
  <si>
    <t>Vout@Vin,min</t>
  </si>
  <si>
    <t>Vout@Vin,max</t>
  </si>
  <si>
    <t>A non-inverting amplifier has gain&gt;0, and a shift of 0V.</t>
  </si>
  <si>
    <t>V3:</t>
  </si>
  <si>
    <t>Vin,3</t>
  </si>
  <si>
    <t>For Graphing Vin,2 and Vin,3:</t>
  </si>
  <si>
    <t>Hz</t>
  </si>
  <si>
    <t>fc</t>
  </si>
  <si>
    <t>C1</t>
  </si>
  <si>
    <t>uF</t>
  </si>
  <si>
    <t>f,signal</t>
  </si>
  <si>
    <t>t (sec)</t>
  </si>
  <si>
    <t>sec</t>
  </si>
  <si>
    <t>period,sig</t>
  </si>
  <si>
    <t>dt</t>
  </si>
  <si>
    <t># Periods</t>
  </si>
  <si>
    <t>(to display)</t>
  </si>
  <si>
    <t>Inverting Amplifier - Low Pass Filter</t>
  </si>
  <si>
    <t>Bode Plot:</t>
  </si>
  <si>
    <t>Frequency (Hz)</t>
  </si>
  <si>
    <t>Gain,dB</t>
  </si>
  <si>
    <t>Theoretical (headroom not considered)</t>
  </si>
  <si>
    <t>Unity Gain - Low Pass Filter</t>
  </si>
  <si>
    <t>Xc</t>
  </si>
  <si>
    <t>Unity Gain - High Pass Filter</t>
  </si>
  <si>
    <t>RF</t>
  </si>
  <si>
    <t>Inverting Amplifier - High Pass Filter</t>
  </si>
  <si>
    <t>Non-Inverting Amplifier - High Pass Filter</t>
  </si>
  <si>
    <t>C1:</t>
  </si>
  <si>
    <t>f,signal:</t>
  </si>
  <si>
    <t>Inverting + Bias Amplifier - Low Pass Filter</t>
  </si>
  <si>
    <t>Time Constant:</t>
  </si>
  <si>
    <r>
      <rPr>
        <sz val="11"/>
        <color theme="1"/>
        <rFont val="Symbol"/>
        <family val="1"/>
        <charset val="2"/>
      </rPr>
      <t xml:space="preserve"> t</t>
    </r>
    <r>
      <rPr>
        <sz val="10.55"/>
        <color theme="1"/>
        <rFont val="Calibri"/>
        <family val="2"/>
      </rPr>
      <t>:</t>
    </r>
  </si>
  <si>
    <t>msec</t>
  </si>
  <si>
    <t>Vin (or V1)</t>
  </si>
  <si>
    <t>Vb (or V2)</t>
  </si>
  <si>
    <t>Op-Amp</t>
  </si>
  <si>
    <t>LM6132</t>
  </si>
  <si>
    <t>Description</t>
  </si>
  <si>
    <t>LM6132/LM6134 Dual and Quad Low Power 10 MHz Rail-to-Rail I/O Operational Amplifiers</t>
  </si>
  <si>
    <t>10 MHz @ 20kHz</t>
  </si>
  <si>
    <t>Supply Range</t>
  </si>
  <si>
    <t>100 dB (Rl=10K)</t>
  </si>
  <si>
    <t>5V supply, rail-to-rail</t>
  </si>
  <si>
    <t>Pinout</t>
  </si>
  <si>
    <t>Output Swing (Vcc=5V)</t>
  </si>
  <si>
    <t>0.007-4.992V (100K load)</t>
  </si>
  <si>
    <t>LM358P</t>
  </si>
  <si>
    <t>100 dB</t>
  </si>
  <si>
    <t>3-32V or dual supply ±1.5 - ±16V</t>
  </si>
  <si>
    <t>1 MHz unity gain</t>
  </si>
  <si>
    <t>Bandwidth (Unity Gain)</t>
  </si>
  <si>
    <t>40 mA</t>
  </si>
  <si>
    <t>Isc (Short-Circuit Current)</t>
  </si>
  <si>
    <t>5mv - ~3.3V</t>
  </si>
  <si>
    <t>LMx58-N Low-Power, Dual-Operational Amplifiers</t>
  </si>
  <si>
    <t>Direct sensing near GND, Vout goes to GND, low battery drain. Transducer amplifiers, dc gain blocks and all the conventional op-amp circuits (good for single supply)</t>
  </si>
  <si>
    <t>TL072</t>
  </si>
  <si>
    <t>TL07xx Low-Noise JFET-Input Operational Amplifiers</t>
  </si>
  <si>
    <t>Slew Rate</t>
  </si>
  <si>
    <t>13 V/µs</t>
  </si>
  <si>
    <t>Features/Applications</t>
  </si>
  <si>
    <t>Solar inverters, AC inverter, VF drives, pro audio mixers, DLP front projection system, oscilloscopes</t>
  </si>
  <si>
    <t>TL074</t>
  </si>
  <si>
    <t>TL071</t>
  </si>
  <si>
    <t>4 mA</t>
  </si>
  <si>
    <t>14 V/µs</t>
  </si>
  <si>
    <t>3 MHz</t>
  </si>
  <si>
    <t>(-5-15V) to (+5 to +15V)</t>
  </si>
  <si>
    <t>1.2 - 3.3V when V-=GND, V+=5V</t>
  </si>
  <si>
    <t>LMx24-N, LM2902-N Low-Power, Quad-Operational Amplifiers</t>
  </si>
  <si>
    <t>LM324</t>
  </si>
  <si>
    <t>1 MHz</t>
  </si>
  <si>
    <t>0V to Vcc+ - 1.5V</t>
  </si>
  <si>
    <t>No need for dual supplies. Can swing to ground on single supply. Transducer amplifiers, DC gain blocks, conventional op amp circuits.</t>
  </si>
  <si>
    <t>AD623AN</t>
  </si>
  <si>
    <t>Single and Dual-Supply, Rail-to-Rail,
Low Cost Instrumentation Amplifier</t>
  </si>
  <si>
    <t>1-1000X</t>
  </si>
  <si>
    <t>800 kHz</t>
  </si>
  <si>
    <t>0.01 V to Vs-0.15V (RL = 100 kOhm)</t>
  </si>
  <si>
    <t>Max 12V (±6V)</t>
  </si>
  <si>
    <t>Rail-to-rail output swing. Low power medical instrumentation, transducer interfaces, thermocouple amplifiers, industrial process controls, difference amplifiers, low power data acquisition. Gain settable with one resistor (table in datasheet)</t>
  </si>
  <si>
    <t>0.3 V/µs</t>
  </si>
  <si>
    <t>TLV2772</t>
  </si>
  <si>
    <t>2.7V High-Slew-Rate Rail-to-Rail Output Operational Amplifier with Shutdown</t>
  </si>
  <si>
    <t>10.5 V/µs</t>
  </si>
  <si>
    <t>5.1 MHz</t>
  </si>
  <si>
    <t>Rail-to-rail output, high bandwidth, 1 mA supply currrrent per channel. Good for driving analog input or reference of analog to digital converters.</t>
  </si>
  <si>
    <t>2.5 to 5.5V single supply.</t>
  </si>
  <si>
    <t>TLV2774</t>
  </si>
  <si>
    <t xml:space="preserve">Rail-to-rail output, high bandwidth, 1 mA supply currrrent per channel. Good for driving analog input or reference of analog to digital converters. High slew rate and bandwidth. </t>
  </si>
  <si>
    <t>Rail-to-Rail</t>
  </si>
  <si>
    <t>Single: (3-32V), or Dual (±1.5 to ±16V)</t>
  </si>
  <si>
    <t>+2.7 to 24V
V+ to V-: max 35V</t>
  </si>
  <si>
    <t>Non-Inverting Amplifier: Resistive Sensor</t>
  </si>
  <si>
    <t>Rp_low</t>
  </si>
  <si>
    <t>Rp_high</t>
  </si>
  <si>
    <t>Rs</t>
  </si>
  <si>
    <t>Rb</t>
  </si>
  <si>
    <t>Vs</t>
  </si>
  <si>
    <t>Vpre,max</t>
  </si>
  <si>
    <t>Vpre,min</t>
  </si>
  <si>
    <t>R</t>
  </si>
  <si>
    <t>Range of Probe Resistance (high to low):</t>
  </si>
  <si>
    <t># Op-Amps</t>
  </si>
  <si>
    <t>±26 mA</t>
  </si>
  <si>
    <t>&lt;10 mA</t>
  </si>
  <si>
    <t>TDA2030A</t>
  </si>
  <si>
    <t>±22V</t>
  </si>
  <si>
    <t>3.5A</t>
  </si>
  <si>
    <t>8 V/µs</t>
  </si>
  <si>
    <t>100 kHz</t>
  </si>
  <si>
    <t>20 dB</t>
  </si>
  <si>
    <t>Typical amplifier with split power supply, 3-way 60W Active Loudspeaker Sytem (Vs=36V), high power active box for musical instrument, instrument amplifier, bridge amplifier with split power supply</t>
  </si>
  <si>
    <t>Not listed (can be measured)</t>
  </si>
  <si>
    <t>LM741</t>
  </si>
  <si>
    <t>General-purpose operational amplifiers with nearly foolproof features: overload protection on input &amp; output, no latch-up when common-mode range is exceeted, and freedom from oscillations</t>
  </si>
  <si>
    <t>1.5 MHz</t>
  </si>
  <si>
    <t>±15V</t>
  </si>
  <si>
    <t>25 mA</t>
  </si>
  <si>
    <t>0.5 V/µs</t>
  </si>
  <si>
    <t xml:space="preserve">The LM74 devices are general-purpose operational amplifiers . It is intended for a wide range of analog applications. The high gain and wide range of operating voltage provide superior performance in integrator, summing amplifier, and general feedback applications. The LM741 can operate with a single or dual power supply voltage. </t>
  </si>
  <si>
    <r>
      <t>When Vs=±20V:
R</t>
    </r>
    <r>
      <rPr>
        <vertAlign val="subscript"/>
        <sz val="11"/>
        <color theme="1"/>
        <rFont val="Calibri"/>
        <family val="2"/>
        <scheme val="minor"/>
      </rPr>
      <t>L</t>
    </r>
    <r>
      <rPr>
        <sz val="11"/>
        <color theme="1"/>
        <rFont val="Calibri"/>
        <family val="2"/>
        <scheme val="minor"/>
      </rPr>
      <t>&gt;=10K: min ±16V
R</t>
    </r>
    <r>
      <rPr>
        <vertAlign val="subscript"/>
        <sz val="11"/>
        <color theme="1"/>
        <rFont val="Calibri"/>
        <family val="2"/>
        <scheme val="minor"/>
      </rPr>
      <t>L</t>
    </r>
    <r>
      <rPr>
        <sz val="11"/>
        <color theme="1"/>
        <rFont val="Calibri"/>
        <family val="2"/>
        <scheme val="minor"/>
      </rPr>
      <t>&gt;=2K: min ±15V</t>
    </r>
  </si>
  <si>
    <r>
      <rPr>
        <sz val="11"/>
        <color theme="1"/>
        <rFont val="Symbol"/>
        <family val="1"/>
        <charset val="2"/>
      </rPr>
      <t xml:space="preserve"> 1/t</t>
    </r>
    <r>
      <rPr>
        <sz val="10.55"/>
        <color theme="1"/>
        <rFont val="Calibri"/>
        <family val="2"/>
      </rPr>
      <t>:</t>
    </r>
  </si>
  <si>
    <t>Time Constant of filter:</t>
  </si>
  <si>
    <t>Iin</t>
  </si>
  <si>
    <t>Iin,max</t>
  </si>
  <si>
    <t>µA</t>
  </si>
  <si>
    <t>Iin:</t>
  </si>
  <si>
    <t>Iin(+) µA</t>
  </si>
  <si>
    <t>(max µA of signal)</t>
  </si>
  <si>
    <t>Transimpedance Amplifier</t>
  </si>
  <si>
    <t>Second Order fc:</t>
  </si>
  <si>
    <r>
      <t>f</t>
    </r>
    <r>
      <rPr>
        <sz val="10"/>
        <color rgb="FF666666"/>
        <rFont val="Arial"/>
        <family val="2"/>
      </rPr>
      <t>c</t>
    </r>
    <r>
      <rPr>
        <sz val="14"/>
        <color rgb="FF666666"/>
        <rFont val="Arial"/>
        <family val="2"/>
      </rPr>
      <t> = 1/ (2π√(R</t>
    </r>
    <r>
      <rPr>
        <sz val="10"/>
        <color rgb="FF666666"/>
        <rFont val="Arial"/>
        <family val="2"/>
      </rPr>
      <t>1</t>
    </r>
    <r>
      <rPr>
        <sz val="14"/>
        <color rgb="FF666666"/>
        <rFont val="Arial"/>
        <family val="2"/>
      </rPr>
      <t>C</t>
    </r>
    <r>
      <rPr>
        <sz val="10"/>
        <color rgb="FF666666"/>
        <rFont val="Arial"/>
        <family val="2"/>
      </rPr>
      <t>1</t>
    </r>
    <r>
      <rPr>
        <sz val="14"/>
        <color rgb="FF666666"/>
        <rFont val="Arial"/>
        <family val="2"/>
      </rPr>
      <t>R</t>
    </r>
    <r>
      <rPr>
        <sz val="10"/>
        <color rgb="FF666666"/>
        <rFont val="Arial"/>
        <family val="2"/>
      </rPr>
      <t>2</t>
    </r>
    <r>
      <rPr>
        <sz val="14"/>
        <color rgb="FF666666"/>
        <rFont val="Arial"/>
        <family val="2"/>
      </rPr>
      <t>C</t>
    </r>
    <r>
      <rPr>
        <sz val="10"/>
        <color rgb="FF666666"/>
        <rFont val="Arial"/>
        <family val="2"/>
      </rPr>
      <t>2</t>
    </r>
    <r>
      <rPr>
        <sz val="14"/>
        <color rgb="FF666666"/>
        <rFont val="Arial"/>
        <family val="2"/>
      </rPr>
      <t>))</t>
    </r>
  </si>
  <si>
    <r>
      <t>Variant. Note that R</t>
    </r>
    <r>
      <rPr>
        <vertAlign val="subscript"/>
        <sz val="12"/>
        <color theme="1"/>
        <rFont val="Calibri"/>
        <family val="2"/>
        <scheme val="minor"/>
      </rPr>
      <t>1</t>
    </r>
    <r>
      <rPr>
        <sz val="11"/>
        <color theme="1"/>
        <rFont val="Calibri"/>
        <family val="2"/>
        <scheme val="minor"/>
      </rPr>
      <t xml:space="preserve"> and C</t>
    </r>
    <r>
      <rPr>
        <vertAlign val="subscript"/>
        <sz val="12"/>
        <color theme="1"/>
        <rFont val="Calibri"/>
        <family val="2"/>
        <scheme val="minor"/>
      </rPr>
      <t>1</t>
    </r>
    <r>
      <rPr>
        <sz val="11"/>
        <color theme="1"/>
        <rFont val="Calibri"/>
        <family val="2"/>
        <scheme val="minor"/>
      </rPr>
      <t xml:space="preserve"> can switch locations.</t>
    </r>
  </si>
  <si>
    <t>Transimpedance Amplifier + Bias</t>
  </si>
  <si>
    <t>Low voltage audio power amplifier</t>
  </si>
  <si>
    <t>300 kHz</t>
  </si>
  <si>
    <t>LM386N-1</t>
  </si>
  <si>
    <t>Fixed, 20-200X (26dB - 46dB)</t>
  </si>
  <si>
    <t>50-70 mA max (500-700mW power)</t>
  </si>
  <si>
    <t>Designed for use in low voltage consumer applications. The gain is internally set to 20 to keep
external part count low, but the addition of an external resistor and capacitor between pins 1 and 8 increases the gain to any value from 20 to 200. A larger amp will be needed for a larger speaker - this amp is ok for tiny speakers.</t>
  </si>
  <si>
    <t>0-Vcc</t>
  </si>
  <si>
    <t>5-12V (up to 15V)</t>
  </si>
  <si>
    <t>Not listed</t>
  </si>
  <si>
    <t>Ohm</t>
  </si>
  <si>
    <t>Av(at f,signal)</t>
  </si>
  <si>
    <t>I'm not sure how the second op-amp works.</t>
  </si>
  <si>
    <t>Mancini, R. "Op-amps for everyone". Texas Instruments, Aug 2002</t>
  </si>
  <si>
    <t>Using Xc</t>
  </si>
  <si>
    <t>Gain,dB (Xc derived)</t>
  </si>
  <si>
    <t>Gain,dB (Xc)</t>
  </si>
  <si>
    <t>Non-Inverting Amplifier - Low Pass Filter (Unity Gain)</t>
  </si>
  <si>
    <t>https://www.electronics-tutorials.ws/filter/filter_5.html</t>
  </si>
  <si>
    <t>Gain (Xc)</t>
  </si>
  <si>
    <t>https://www.electronics-tutorials.ws/filter/filter_2.html</t>
  </si>
  <si>
    <t>https://www.electronics-tutorials.ws/opamp/opamp_6.html</t>
  </si>
  <si>
    <t>using Xc</t>
  </si>
  <si>
    <t>using Xc:</t>
  </si>
  <si>
    <t>This doesn't filter out low frequencies, it amplifies higher ones more aggressively.</t>
  </si>
  <si>
    <t>Attenuator + Buffer</t>
  </si>
  <si>
    <t>The models below are for the first circuit diagram.</t>
  </si>
  <si>
    <t>Non-Inverting Amplifier - Low Pass Filter</t>
  </si>
  <si>
    <t>Summing Inverting Amplifier (3 inputs)</t>
  </si>
  <si>
    <t>Monolithic IC in Pentawatt package intended for use as low frequency class AB amplifier. With VS max = 44V it is particularly suited for more reliable applications without regulated supply and for 35W driver circuits using low-cost complementary pairs.</t>
  </si>
  <si>
    <t>An unity gain amplifier has gain=1, and a shift of 0V.</t>
  </si>
  <si>
    <t>A comparator swings to its limits of Vout.</t>
  </si>
  <si>
    <t>Non-Inverting Amplifier: Gain then Shift</t>
  </si>
  <si>
    <t>(min V of signal)</t>
  </si>
  <si>
    <t>V (separate from gain - next stage)</t>
  </si>
  <si>
    <t>R4</t>
  </si>
  <si>
    <t>R5</t>
  </si>
  <si>
    <t>R6</t>
  </si>
  <si>
    <t>T:</t>
  </si>
  <si>
    <t>TdegC</t>
  </si>
  <si>
    <t>mV</t>
  </si>
  <si>
    <t>Slope:</t>
  </si>
  <si>
    <t>Intercept:</t>
  </si>
  <si>
    <r>
      <rPr>
        <sz val="11"/>
        <color theme="1"/>
        <rFont val="Symbol"/>
        <family val="1"/>
        <charset val="2"/>
      </rPr>
      <t>°</t>
    </r>
    <r>
      <rPr>
        <sz val="10.55"/>
        <color theme="1"/>
        <rFont val="Calibri"/>
        <family val="2"/>
      </rPr>
      <t>C</t>
    </r>
  </si>
  <si>
    <t>Rb:</t>
  </si>
  <si>
    <t>R4:</t>
  </si>
  <si>
    <t>R5:</t>
  </si>
  <si>
    <t>R6:</t>
  </si>
  <si>
    <t>At (+) Input:</t>
  </si>
  <si>
    <t>V=Vin,2*(R3/(R2+R3))</t>
  </si>
  <si>
    <t>V (= V+/2)</t>
  </si>
  <si>
    <r>
      <rPr>
        <b/>
        <sz val="11"/>
        <color theme="1"/>
        <rFont val="Calibri"/>
        <family val="2"/>
        <scheme val="minor"/>
      </rPr>
      <t xml:space="preserve">Note: </t>
    </r>
    <r>
      <rPr>
        <sz val="11"/>
        <color theme="1"/>
        <rFont val="Calibri"/>
        <family val="2"/>
        <scheme val="minor"/>
      </rPr>
      <t>Probe is referenced to V+/2 (negative probe grounded to V+/2)</t>
    </r>
  </si>
  <si>
    <t>Key Points</t>
  </si>
  <si>
    <t>1. The amplifier maintains its non-inverting characteristic, as the output is in phase with the input.</t>
  </si>
  <si>
    <t>2. The Vdd/2 bias allows for maximum signal swing in a single-supply system.</t>
  </si>
  <si>
    <t>3. AC signals are amplified around the Vdd/2 reference point, effectively creating an AC-coupled amplifier.</t>
  </si>
  <si>
    <t>(max V swing of signal from probe-)</t>
  </si>
  <si>
    <r>
      <t>Inverting + Bias Amplifier (Probe Referenced to V</t>
    </r>
    <r>
      <rPr>
        <vertAlign val="superscript"/>
        <sz val="36"/>
        <color theme="1"/>
        <rFont val="Calibri"/>
        <family val="2"/>
        <scheme val="minor"/>
      </rPr>
      <t>+</t>
    </r>
    <r>
      <rPr>
        <sz val="36"/>
        <color theme="1"/>
        <rFont val="Calibri"/>
        <family val="2"/>
        <scheme val="minor"/>
      </rPr>
      <t>/2)</t>
    </r>
  </si>
  <si>
    <r>
      <t>Non-Inverting + Bias Amplifier (Probe Referenced to V</t>
    </r>
    <r>
      <rPr>
        <vertAlign val="superscript"/>
        <sz val="36"/>
        <color theme="1"/>
        <rFont val="Calibri"/>
        <family val="2"/>
        <scheme val="minor"/>
      </rPr>
      <t>+</t>
    </r>
    <r>
      <rPr>
        <sz val="36"/>
        <color theme="1"/>
        <rFont val="Calibri"/>
        <family val="2"/>
        <scheme val="minor"/>
      </rPr>
      <t>/2)</t>
    </r>
  </si>
  <si>
    <t>1. The amplifier maintains its inverting characteristic, as the output is in opposite phase of the input.</t>
  </si>
  <si>
    <t>Source: https://ww1.microchip.com/downloads/en/DeviceDoc/20001811F.pdf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</si>
</sst>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b/>
      <sz val="11"/>
      <color theme="1"/>
      <name val="Calibri"/>
      <family val="2"/>
      <scheme val="minor"/>
    </font>
    <font>
      <b/>
      <sz val="11"/>
      <color rgb="FFFF0000"/>
      <name val="Calibri"/>
      <family val="2"/>
      <scheme val="minor"/>
    </font>
    <font>
      <b/>
      <sz val="11"/>
      <color rgb="FF0070C0"/>
      <name val="Calibri"/>
      <family val="2"/>
      <scheme val="minor"/>
    </font>
    <font>
      <sz val="11"/>
      <color rgb="FF0070C0"/>
      <name val="Calibri"/>
      <family val="2"/>
      <scheme val="minor"/>
    </font>
    <font>
      <sz val="36"/>
      <color theme="1"/>
      <name val="Calibri"/>
      <family val="2"/>
      <scheme val="minor"/>
    </font>
    <font>
      <b/>
      <sz val="14"/>
      <color theme="1"/>
      <name val="Calibri"/>
      <family val="2"/>
      <scheme val="minor"/>
    </font>
    <font>
      <sz val="11"/>
      <color theme="4"/>
      <name val="Calibri"/>
      <family val="2"/>
      <scheme val="minor"/>
    </font>
    <font>
      <sz val="9"/>
      <name val="Calibri"/>
      <family val="2"/>
      <scheme val="minor"/>
    </font>
    <font>
      <b/>
      <sz val="12"/>
      <color theme="1"/>
      <name val="Calibri"/>
      <family val="2"/>
      <scheme val="minor"/>
    </font>
    <font>
      <b/>
      <sz val="11"/>
      <color theme="4"/>
      <name val="Calibri"/>
      <family val="2"/>
      <scheme val="minor"/>
    </font>
    <font>
      <sz val="11"/>
      <color theme="1"/>
      <name val="Symbol"/>
      <family val="1"/>
      <charset val="2"/>
    </font>
    <font>
      <sz val="10.55"/>
      <color theme="1"/>
      <name val="Calibri"/>
      <family val="2"/>
    </font>
    <font>
      <sz val="11"/>
      <color theme="1"/>
      <name val="Calibri"/>
      <family val="1"/>
      <charset val="2"/>
    </font>
    <font>
      <b/>
      <sz val="18"/>
      <color theme="1"/>
      <name val="Calibri"/>
      <family val="2"/>
      <scheme val="minor"/>
    </font>
    <font>
      <sz val="26"/>
      <color theme="1"/>
      <name val="Calibri"/>
      <family val="2"/>
      <scheme val="minor"/>
    </font>
    <font>
      <vertAlign val="subscript"/>
      <sz val="11"/>
      <color theme="1"/>
      <name val="Calibri"/>
      <family val="2"/>
      <scheme val="minor"/>
    </font>
    <font>
      <sz val="12"/>
      <color theme="1"/>
      <name val="Calibri"/>
      <family val="2"/>
      <scheme val="minor"/>
    </font>
    <font>
      <sz val="14"/>
      <color rgb="FF666666"/>
      <name val="Arial"/>
      <family val="2"/>
    </font>
    <font>
      <sz val="10"/>
      <color rgb="FF666666"/>
      <name val="Arial"/>
      <family val="2"/>
    </font>
    <font>
      <vertAlign val="subscript"/>
      <sz val="12"/>
      <color theme="1"/>
      <name val="Calibri"/>
      <family val="2"/>
      <scheme val="minor"/>
    </font>
    <font>
      <sz val="11"/>
      <color rgb="FFFF0000"/>
      <name val="Calibri"/>
      <family val="2"/>
      <scheme val="minor"/>
    </font>
    <font>
      <i/>
      <sz val="11"/>
      <color theme="1"/>
      <name val="Calibri"/>
      <family val="2"/>
      <scheme val="minor"/>
    </font>
    <font>
      <sz val="11"/>
      <color theme="8" tint="0.39997558519241921"/>
      <name val="Calibri"/>
      <family val="2"/>
      <scheme val="minor"/>
    </font>
    <font>
      <u/>
      <sz val="11"/>
      <color theme="10"/>
      <name val="Calibri"/>
      <family val="2"/>
      <scheme val="minor"/>
    </font>
    <font>
      <vertAlign val="superscript"/>
      <sz val="36"/>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7" fillId="0" borderId="0"/>
    <xf numFmtId="0" fontId="24" fillId="0" borderId="0" applyNumberFormat="0" applyFill="0" applyBorder="0" applyAlignment="0" applyProtection="0"/>
  </cellStyleXfs>
  <cellXfs count="33">
    <xf numFmtId="0" fontId="0" fillId="0" borderId="0" xfId="0"/>
    <xf numFmtId="0" fontId="5" fillId="2" borderId="0" xfId="0" applyFont="1" applyFill="1"/>
    <xf numFmtId="0" fontId="0" fillId="2" borderId="0" xfId="0" applyFill="1"/>
    <xf numFmtId="0" fontId="3" fillId="2" borderId="0" xfId="0" applyFont="1" applyFill="1"/>
    <xf numFmtId="0" fontId="2" fillId="2" borderId="1" xfId="0" applyFont="1" applyFill="1" applyBorder="1"/>
    <xf numFmtId="0" fontId="2" fillId="2" borderId="3" xfId="0" applyFont="1" applyFill="1" applyBorder="1"/>
    <xf numFmtId="0" fontId="1" fillId="2" borderId="0" xfId="0" applyFont="1" applyFill="1"/>
    <xf numFmtId="0" fontId="1" fillId="3" borderId="4" xfId="0" applyFont="1" applyFill="1" applyBorder="1"/>
    <xf numFmtId="0" fontId="2" fillId="2" borderId="2" xfId="0" applyFont="1" applyFill="1" applyBorder="1"/>
    <xf numFmtId="0" fontId="4" fillId="2" borderId="0" xfId="0" applyFont="1" applyFill="1"/>
    <xf numFmtId="0" fontId="1" fillId="2" borderId="0" xfId="0" applyFont="1" applyFill="1" applyAlignment="1">
      <alignment horizontal="right"/>
    </xf>
    <xf numFmtId="0" fontId="6" fillId="2" borderId="0" xfId="0" applyFont="1" applyFill="1" applyAlignment="1">
      <alignment vertical="top"/>
    </xf>
    <xf numFmtId="0" fontId="7" fillId="2" borderId="0" xfId="0" applyFont="1" applyFill="1"/>
    <xf numFmtId="0" fontId="8" fillId="2" borderId="0" xfId="0" applyFont="1" applyFill="1"/>
    <xf numFmtId="0" fontId="9" fillId="2" borderId="0" xfId="0" applyFont="1" applyFill="1"/>
    <xf numFmtId="0" fontId="10" fillId="2" borderId="0" xfId="0" applyFont="1" applyFill="1"/>
    <xf numFmtId="0" fontId="2" fillId="2" borderId="0" xfId="0" applyFont="1" applyFill="1"/>
    <xf numFmtId="0" fontId="13" fillId="2" borderId="0" xfId="0" applyFont="1" applyFill="1"/>
    <xf numFmtId="0" fontId="0" fillId="2" borderId="0" xfId="0" applyFill="1" applyAlignment="1">
      <alignment horizontal="left" vertical="top" wrapText="1"/>
    </xf>
    <xf numFmtId="0" fontId="0" fillId="2" borderId="4" xfId="0" applyFill="1" applyBorder="1" applyAlignment="1">
      <alignment horizontal="left" vertical="top" wrapText="1"/>
    </xf>
    <xf numFmtId="0" fontId="1" fillId="4" borderId="4" xfId="0" applyFont="1" applyFill="1" applyBorder="1" applyAlignment="1">
      <alignment horizontal="left" vertical="top" wrapText="1"/>
    </xf>
    <xf numFmtId="0" fontId="0" fillId="2" borderId="4" xfId="0" quotePrefix="1" applyFill="1" applyBorder="1" applyAlignment="1">
      <alignment horizontal="left" vertical="top" wrapText="1"/>
    </xf>
    <xf numFmtId="0" fontId="6" fillId="4" borderId="4" xfId="0" applyFont="1" applyFill="1" applyBorder="1" applyAlignment="1">
      <alignment horizontal="left" vertical="top" wrapText="1"/>
    </xf>
    <xf numFmtId="0" fontId="14" fillId="2" borderId="4" xfId="0" applyFont="1" applyFill="1" applyBorder="1" applyAlignment="1">
      <alignment horizontal="left" vertical="top" wrapText="1"/>
    </xf>
    <xf numFmtId="0" fontId="15" fillId="2" borderId="4" xfId="0" applyFont="1" applyFill="1" applyBorder="1" applyAlignment="1">
      <alignment horizontal="center" vertical="center" wrapText="1"/>
    </xf>
    <xf numFmtId="0" fontId="0" fillId="2" borderId="0" xfId="0" quotePrefix="1" applyFill="1"/>
    <xf numFmtId="0" fontId="17" fillId="2" borderId="0" xfId="1" applyFill="1"/>
    <xf numFmtId="0" fontId="9" fillId="2" borderId="0" xfId="1" applyFont="1" applyFill="1"/>
    <xf numFmtId="0" fontId="18" fillId="0" borderId="0" xfId="1" applyFont="1"/>
    <xf numFmtId="0" fontId="22" fillId="2" borderId="0" xfId="0" applyFont="1" applyFill="1"/>
    <xf numFmtId="0" fontId="23" fillId="2" borderId="0" xfId="0" applyFont="1" applyFill="1"/>
    <xf numFmtId="0" fontId="21" fillId="2" borderId="0" xfId="0" applyFont="1" applyFill="1"/>
    <xf numFmtId="0" fontId="24" fillId="2" borderId="0" xfId="2" applyFill="1"/>
  </cellXfs>
  <cellStyles count="3">
    <cellStyle name="Hyperlink" xfId="2" builtinId="8"/>
    <cellStyle name="Normal" xfId="0" builtinId="0"/>
    <cellStyle name="Normal 2" xfId="1" xr:uid="{FA847615-421B-442D-905B-325EC42393A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'Signal Generator'!$C$10</c:f>
              <c:strCache>
                <c:ptCount val="1"/>
                <c:pt idx="0">
                  <c:v>Vin</c:v>
                </c:pt>
              </c:strCache>
            </c:strRef>
          </c:tx>
          <c:spPr>
            <a:ln>
              <a:solidFill>
                <a:schemeClr val="tx1"/>
              </a:solidFill>
            </a:ln>
          </c:spPr>
          <c:marker>
            <c:symbol val="none"/>
          </c:marker>
          <c:xVal>
            <c:numRef>
              <c:f>'Signal Generator'!$B$11:$B$36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'Signal Generator'!$C$11:$C$36</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4912-4EB6-9E82-5B930203AEE7}"/>
            </c:ext>
          </c:extLst>
        </c:ser>
        <c:ser>
          <c:idx val="1"/>
          <c:order val="1"/>
          <c:tx>
            <c:strRef>
              <c:f>'Signal Generator'!$D$10</c:f>
              <c:strCache>
                <c:ptCount val="1"/>
                <c:pt idx="0">
                  <c:v>Vout</c:v>
                </c:pt>
              </c:strCache>
            </c:strRef>
          </c:tx>
          <c:spPr>
            <a:ln>
              <a:solidFill>
                <a:srgbClr val="C00000"/>
              </a:solidFill>
              <a:prstDash val="dash"/>
            </a:ln>
          </c:spPr>
          <c:marker>
            <c:symbol val="none"/>
          </c:marker>
          <c:xVal>
            <c:numRef>
              <c:f>'Signal Generator'!$B$11:$B$36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'Signal Generator'!$D$11:$D$36</c:f>
              <c:numCache>
                <c:formatCode>General</c:formatCode>
                <c:ptCount val="26"/>
                <c:pt idx="0">
                  <c:v>2.599833416646828</c:v>
                </c:pt>
                <c:pt idx="1">
                  <c:v>2.6986693307950613</c:v>
                </c:pt>
                <c:pt idx="2">
                  <c:v>2.7955202066613394</c:v>
                </c:pt>
                <c:pt idx="3">
                  <c:v>3.4635581854171931</c:v>
                </c:pt>
                <c:pt idx="4">
                  <c:v>3.2457052121767198</c:v>
                </c:pt>
                <c:pt idx="5">
                  <c:v>2.3422543058567515</c:v>
                </c:pt>
                <c:pt idx="6">
                  <c:v>1.5838340632505452</c:v>
                </c:pt>
                <c:pt idx="7">
                  <c:v>1.6677325577760986</c:v>
                </c:pt>
                <c:pt idx="8">
                  <c:v>2.5168139004843497</c:v>
                </c:pt>
                <c:pt idx="9">
                  <c:v>3.3504366206285643</c:v>
                </c:pt>
                <c:pt idx="10">
                  <c:v>3.4021718337562943</c:v>
                </c:pt>
                <c:pt idx="11">
                  <c:v>2.6244544235070633</c:v>
                </c:pt>
                <c:pt idx="12">
                  <c:v>1.7323141902364187</c:v>
                </c:pt>
                <c:pt idx="13">
                  <c:v>1.5459807500979106</c:v>
                </c:pt>
                <c:pt idx="14">
                  <c:v>2.2367682086341976</c:v>
                </c:pt>
                <c:pt idx="15">
                  <c:v>3.169569762196601</c:v>
                </c:pt>
                <c:pt idx="16">
                  <c:v>3.4867719642746136</c:v>
                </c:pt>
                <c:pt idx="17">
                  <c:v>2.8967405731306135</c:v>
                </c:pt>
                <c:pt idx="18">
                  <c:v>1.9419477287132207</c:v>
                </c:pt>
                <c:pt idx="19">
                  <c:v>1.500225568926989</c:v>
                </c:pt>
                <c:pt idx="20">
                  <c:v>1.9776914103732683</c:v>
                </c:pt>
                <c:pt idx="21">
                  <c:v>2.9353653603728933</c:v>
                </c:pt>
                <c:pt idx="22">
                  <c:v>3.4927664058359071</c:v>
                </c:pt>
                <c:pt idx="23">
                  <c:v>3.1374225961502389</c:v>
                </c:pt>
                <c:pt idx="24">
                  <c:v>2.196035391188953</c:v>
                </c:pt>
                <c:pt idx="25">
                  <c:v>1.5341118457639296</c:v>
                </c:pt>
              </c:numCache>
            </c:numRef>
          </c:yVal>
          <c:smooth val="1"/>
          <c:extLst>
            <c:ext xmlns:c16="http://schemas.microsoft.com/office/drawing/2014/chart" uri="{C3380CC4-5D6E-409C-BE32-E72D297353CC}">
              <c16:uniqueId val="{00000001-4912-4EB6-9E82-5B930203AEE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LPF'!$C$16</c:f>
              <c:strCache>
                <c:ptCount val="1"/>
                <c:pt idx="0">
                  <c:v>Vin(+)</c:v>
                </c:pt>
              </c:strCache>
            </c:strRef>
          </c:tx>
          <c:spPr>
            <a:ln>
              <a:solidFill>
                <a:schemeClr val="tx1"/>
              </a:solidFill>
            </a:ln>
          </c:spPr>
          <c:marker>
            <c:symbol val="none"/>
          </c:marker>
          <c:xVal>
            <c:numRef>
              <c:f>'Inv LPF'!$B$17:$B$42</c:f>
              <c:numCache>
                <c:formatCode>General</c:formatCode>
                <c:ptCount val="26"/>
                <c:pt idx="0">
                  <c:v>0</c:v>
                </c:pt>
                <c:pt idx="1">
                  <c:v>1.0053408733898838E-3</c:v>
                </c:pt>
                <c:pt idx="2">
                  <c:v>2.0106817467797676E-3</c:v>
                </c:pt>
                <c:pt idx="3">
                  <c:v>3.0160226201696515E-3</c:v>
                </c:pt>
                <c:pt idx="4">
                  <c:v>4.0213634935595353E-3</c:v>
                </c:pt>
                <c:pt idx="5">
                  <c:v>5.0267043669494187E-3</c:v>
                </c:pt>
                <c:pt idx="6">
                  <c:v>6.032045240339302E-3</c:v>
                </c:pt>
                <c:pt idx="7">
                  <c:v>7.0373861137291854E-3</c:v>
                </c:pt>
                <c:pt idx="8">
                  <c:v>8.0427269871190688E-3</c:v>
                </c:pt>
                <c:pt idx="9">
                  <c:v>9.0480678605089522E-3</c:v>
                </c:pt>
                <c:pt idx="10">
                  <c:v>1.0053408733898836E-2</c:v>
                </c:pt>
                <c:pt idx="11">
                  <c:v>1.1058749607288719E-2</c:v>
                </c:pt>
                <c:pt idx="12">
                  <c:v>1.2064090480678602E-2</c:v>
                </c:pt>
                <c:pt idx="13">
                  <c:v>1.3069431354068486E-2</c:v>
                </c:pt>
                <c:pt idx="14">
                  <c:v>1.4074772227458369E-2</c:v>
                </c:pt>
                <c:pt idx="15">
                  <c:v>1.5080113100848253E-2</c:v>
                </c:pt>
                <c:pt idx="16">
                  <c:v>1.6085453974238138E-2</c:v>
                </c:pt>
                <c:pt idx="17">
                  <c:v>1.7090794847628023E-2</c:v>
                </c:pt>
                <c:pt idx="18">
                  <c:v>1.8096135721017908E-2</c:v>
                </c:pt>
                <c:pt idx="19">
                  <c:v>1.9101476594407793E-2</c:v>
                </c:pt>
                <c:pt idx="20">
                  <c:v>2.0106817467797678E-2</c:v>
                </c:pt>
                <c:pt idx="21">
                  <c:v>2.1112158341187563E-2</c:v>
                </c:pt>
                <c:pt idx="22">
                  <c:v>2.2117499214577448E-2</c:v>
                </c:pt>
                <c:pt idx="23">
                  <c:v>2.3122840087967333E-2</c:v>
                </c:pt>
                <c:pt idx="24">
                  <c:v>2.4128180961357219E-2</c:v>
                </c:pt>
                <c:pt idx="25">
                  <c:v>2.5133521834747104E-2</c:v>
                </c:pt>
              </c:numCache>
            </c:numRef>
          </c:xVal>
          <c:yVal>
            <c:numRef>
              <c:f>'Inv LPF'!$C$17:$C$42</c:f>
              <c:numCache>
                <c:formatCode>General</c:formatCode>
                <c:ptCount val="26"/>
                <c:pt idx="0">
                  <c:v>0</c:v>
                </c:pt>
                <c:pt idx="1">
                  <c:v>0.84432792550201508</c:v>
                </c:pt>
                <c:pt idx="2">
                  <c:v>0.90482705246601947</c:v>
                </c:pt>
                <c:pt idx="3">
                  <c:v>0.12533323356430409</c:v>
                </c:pt>
                <c:pt idx="4">
                  <c:v>-0.77051324277578936</c:v>
                </c:pt>
                <c:pt idx="5">
                  <c:v>-0.95105651629515364</c:v>
                </c:pt>
                <c:pt idx="6">
                  <c:v>-0.24868988716485535</c:v>
                </c:pt>
                <c:pt idx="7">
                  <c:v>0.68454710592868795</c:v>
                </c:pt>
                <c:pt idx="8">
                  <c:v>0.98228725072868894</c:v>
                </c:pt>
                <c:pt idx="9">
                  <c:v>0.36812455268467958</c:v>
                </c:pt>
                <c:pt idx="10">
                  <c:v>-0.58778525229247136</c:v>
                </c:pt>
                <c:pt idx="11">
                  <c:v>-0.99802672842827167</c:v>
                </c:pt>
                <c:pt idx="12">
                  <c:v>-0.48175367410171788</c:v>
                </c:pt>
                <c:pt idx="13">
                  <c:v>0.48175367410171233</c:v>
                </c:pt>
                <c:pt idx="14">
                  <c:v>0.99802672842827123</c:v>
                </c:pt>
                <c:pt idx="15">
                  <c:v>0.58778525229247647</c:v>
                </c:pt>
                <c:pt idx="16">
                  <c:v>-0.36812455268467542</c:v>
                </c:pt>
                <c:pt idx="17">
                  <c:v>-0.98228725072868839</c:v>
                </c:pt>
                <c:pt idx="18">
                  <c:v>-0.68454710592868862</c:v>
                </c:pt>
                <c:pt idx="19">
                  <c:v>0.24868988716485613</c:v>
                </c:pt>
                <c:pt idx="20">
                  <c:v>0.95105651629515442</c:v>
                </c:pt>
                <c:pt idx="21">
                  <c:v>0.77051324277578659</c:v>
                </c:pt>
                <c:pt idx="22">
                  <c:v>-0.12533323356430973</c:v>
                </c:pt>
                <c:pt idx="23">
                  <c:v>-0.90482705246602246</c:v>
                </c:pt>
                <c:pt idx="24">
                  <c:v>-0.84432792550201063</c:v>
                </c:pt>
                <c:pt idx="25">
                  <c:v>9.6780222724746068E-15</c:v>
                </c:pt>
              </c:numCache>
            </c:numRef>
          </c:yVal>
          <c:smooth val="1"/>
          <c:extLst>
            <c:ext xmlns:c16="http://schemas.microsoft.com/office/drawing/2014/chart" uri="{C3380CC4-5D6E-409C-BE32-E72D297353CC}">
              <c16:uniqueId val="{00000000-65E4-4589-9B3C-C0CB7BA2D950}"/>
            </c:ext>
          </c:extLst>
        </c:ser>
        <c:ser>
          <c:idx val="1"/>
          <c:order val="1"/>
          <c:tx>
            <c:strRef>
              <c:f>'Inv LPF'!$E$16</c:f>
              <c:strCache>
                <c:ptCount val="1"/>
                <c:pt idx="0">
                  <c:v>Vout</c:v>
                </c:pt>
              </c:strCache>
            </c:strRef>
          </c:tx>
          <c:spPr>
            <a:ln>
              <a:solidFill>
                <a:srgbClr val="C00000"/>
              </a:solidFill>
              <a:prstDash val="dash"/>
            </a:ln>
          </c:spPr>
          <c:marker>
            <c:symbol val="none"/>
          </c:marker>
          <c:xVal>
            <c:numRef>
              <c:f>'Inv LPF'!$B$17:$B$42</c:f>
              <c:numCache>
                <c:formatCode>General</c:formatCode>
                <c:ptCount val="26"/>
                <c:pt idx="0">
                  <c:v>0</c:v>
                </c:pt>
                <c:pt idx="1">
                  <c:v>1.0053408733898838E-3</c:v>
                </c:pt>
                <c:pt idx="2">
                  <c:v>2.0106817467797676E-3</c:v>
                </c:pt>
                <c:pt idx="3">
                  <c:v>3.0160226201696515E-3</c:v>
                </c:pt>
                <c:pt idx="4">
                  <c:v>4.0213634935595353E-3</c:v>
                </c:pt>
                <c:pt idx="5">
                  <c:v>5.0267043669494187E-3</c:v>
                </c:pt>
                <c:pt idx="6">
                  <c:v>6.032045240339302E-3</c:v>
                </c:pt>
                <c:pt idx="7">
                  <c:v>7.0373861137291854E-3</c:v>
                </c:pt>
                <c:pt idx="8">
                  <c:v>8.0427269871190688E-3</c:v>
                </c:pt>
                <c:pt idx="9">
                  <c:v>9.0480678605089522E-3</c:v>
                </c:pt>
                <c:pt idx="10">
                  <c:v>1.0053408733898836E-2</c:v>
                </c:pt>
                <c:pt idx="11">
                  <c:v>1.1058749607288719E-2</c:v>
                </c:pt>
                <c:pt idx="12">
                  <c:v>1.2064090480678602E-2</c:v>
                </c:pt>
                <c:pt idx="13">
                  <c:v>1.3069431354068486E-2</c:v>
                </c:pt>
                <c:pt idx="14">
                  <c:v>1.4074772227458369E-2</c:v>
                </c:pt>
                <c:pt idx="15">
                  <c:v>1.5080113100848253E-2</c:v>
                </c:pt>
                <c:pt idx="16">
                  <c:v>1.6085453974238138E-2</c:v>
                </c:pt>
                <c:pt idx="17">
                  <c:v>1.7090794847628023E-2</c:v>
                </c:pt>
                <c:pt idx="18">
                  <c:v>1.8096135721017908E-2</c:v>
                </c:pt>
                <c:pt idx="19">
                  <c:v>1.9101476594407793E-2</c:v>
                </c:pt>
                <c:pt idx="20">
                  <c:v>2.0106817467797678E-2</c:v>
                </c:pt>
                <c:pt idx="21">
                  <c:v>2.1112158341187563E-2</c:v>
                </c:pt>
                <c:pt idx="22">
                  <c:v>2.2117499214577448E-2</c:v>
                </c:pt>
                <c:pt idx="23">
                  <c:v>2.3122840087967333E-2</c:v>
                </c:pt>
                <c:pt idx="24">
                  <c:v>2.4128180961357219E-2</c:v>
                </c:pt>
                <c:pt idx="25">
                  <c:v>2.5133521834747104E-2</c:v>
                </c:pt>
              </c:numCache>
            </c:numRef>
          </c:xVal>
          <c:yVal>
            <c:numRef>
              <c:f>'Inv LPF'!$E$17:$E$42</c:f>
              <c:numCache>
                <c:formatCode>General</c:formatCode>
                <c:ptCount val="26"/>
                <c:pt idx="0">
                  <c:v>0</c:v>
                </c:pt>
                <c:pt idx="1">
                  <c:v>-0.76757300859825428</c:v>
                </c:pt>
                <c:pt idx="2">
                  <c:v>-0.82257237021917684</c:v>
                </c:pt>
                <c:pt idx="3">
                  <c:v>-0.1139396249473819</c:v>
                </c:pt>
                <c:pt idx="4">
                  <c:v>0.70046856210584774</c:v>
                </c:pt>
                <c:pt idx="5">
                  <c:v>0.86459927418082716</c:v>
                </c:pt>
                <c:pt idx="6">
                  <c:v>0.22608235394511161</c:v>
                </c:pt>
                <c:pt idx="7">
                  <c:v>-0.62231730794939444</c:v>
                </c:pt>
                <c:pt idx="8">
                  <c:v>-0.89299093110207461</c:v>
                </c:pt>
                <c:pt idx="9">
                  <c:v>-0.33465962916607539</c:v>
                </c:pt>
                <c:pt idx="10">
                  <c:v>0.5343517380922389</c:v>
                </c:pt>
                <c:pt idx="11">
                  <c:v>0.90729958759291696</c:v>
                </c:pt>
                <c:pt idx="12">
                  <c:v>0.43795912211911792</c:v>
                </c:pt>
                <c:pt idx="13">
                  <c:v>-0.43795912211911286</c:v>
                </c:pt>
                <c:pt idx="14">
                  <c:v>-0.90729958759291651</c:v>
                </c:pt>
                <c:pt idx="15">
                  <c:v>-0.53435173809224357</c:v>
                </c:pt>
                <c:pt idx="16">
                  <c:v>0.33465962916607161</c:v>
                </c:pt>
                <c:pt idx="17">
                  <c:v>0.89299093110207417</c:v>
                </c:pt>
                <c:pt idx="18">
                  <c:v>0.6223173079493951</c:v>
                </c:pt>
                <c:pt idx="19">
                  <c:v>-0.22608235394511234</c:v>
                </c:pt>
                <c:pt idx="20">
                  <c:v>-0.86459927418082794</c:v>
                </c:pt>
                <c:pt idx="21">
                  <c:v>-0.70046856210584518</c:v>
                </c:pt>
                <c:pt idx="22">
                  <c:v>0.11393962494738702</c:v>
                </c:pt>
                <c:pt idx="23">
                  <c:v>0.82257237021917951</c:v>
                </c:pt>
                <c:pt idx="24">
                  <c:v>0.76757300859825028</c:v>
                </c:pt>
                <c:pt idx="25">
                  <c:v>-8.7982269075695984E-15</c:v>
                </c:pt>
              </c:numCache>
            </c:numRef>
          </c:yVal>
          <c:smooth val="1"/>
          <c:extLst>
            <c:ext xmlns:c16="http://schemas.microsoft.com/office/drawing/2014/chart" uri="{C3380CC4-5D6E-409C-BE32-E72D297353CC}">
              <c16:uniqueId val="{00000001-65E4-4589-9B3C-C0CB7BA2D950}"/>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Gain,dB</c:v>
          </c:tx>
          <c:spPr>
            <a:ln w="19050" cap="rnd">
              <a:solidFill>
                <a:schemeClr val="accent1"/>
              </a:solidFill>
              <a:round/>
            </a:ln>
            <a:effectLst/>
          </c:spPr>
          <c:marker>
            <c:symbol val="none"/>
          </c:marker>
          <c:xVal>
            <c:numRef>
              <c:f>'Inv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LPF'!$C$47:$C$101</c:f>
              <c:numCache>
                <c:formatCode>General</c:formatCode>
                <c:ptCount val="55"/>
                <c:pt idx="0">
                  <c:v>-5.4557916073157782E-3</c:v>
                </c:pt>
                <c:pt idx="1">
                  <c:v>-1.090815846718938E-2</c:v>
                </c:pt>
                <c:pt idx="2">
                  <c:v>-1.6357104876533385E-2</c:v>
                </c:pt>
                <c:pt idx="3">
                  <c:v>-2.1802635124185114E-2</c:v>
                </c:pt>
                <c:pt idx="4">
                  <c:v>-2.7244753490912502E-2</c:v>
                </c:pt>
                <c:pt idx="5">
                  <c:v>-3.2683464249448388E-2</c:v>
                </c:pt>
                <c:pt idx="6">
                  <c:v>-3.8118771664505703E-2</c:v>
                </c:pt>
                <c:pt idx="7">
                  <c:v>-4.3550679992788194E-2</c:v>
                </c:pt>
                <c:pt idx="8">
                  <c:v>-4.8979193483025638E-2</c:v>
                </c:pt>
                <c:pt idx="9">
                  <c:v>-5.4404316375986098E-2</c:v>
                </c:pt>
                <c:pt idx="10">
                  <c:v>-0.10846998977127834</c:v>
                </c:pt>
                <c:pt idx="11">
                  <c:v>-0.1622012099277301</c:v>
                </c:pt>
                <c:pt idx="12">
                  <c:v>-0.21560208931082014</c:v>
                </c:pt>
                <c:pt idx="13">
                  <c:v>-0.26867666499843473</c:v>
                </c:pt>
                <c:pt idx="14">
                  <c:v>-0.32142890051230716</c:v>
                </c:pt>
                <c:pt idx="15">
                  <c:v>-0.37386268759417796</c:v>
                </c:pt>
                <c:pt idx="16">
                  <c:v>-0.42598184792866362</c:v>
                </c:pt>
                <c:pt idx="17">
                  <c:v>-0.47779013481473209</c:v>
                </c:pt>
                <c:pt idx="18">
                  <c:v>-0.5292912347876414</c:v>
                </c:pt>
                <c:pt idx="19">
                  <c:v>-1.0281732742428631</c:v>
                </c:pt>
                <c:pt idx="20">
                  <c:v>-1.4999512667302486</c:v>
                </c:pt>
                <c:pt idx="21">
                  <c:v>-1.9474191714131335</c:v>
                </c:pt>
                <c:pt idx="22">
                  <c:v>-2.3729600270793743</c:v>
                </c:pt>
                <c:pt idx="23">
                  <c:v>-2.7786227814791493</c:v>
                </c:pt>
                <c:pt idx="24">
                  <c:v>-3.1661819637690014</c:v>
                </c:pt>
                <c:pt idx="25">
                  <c:v>-3.53718460177129</c:v>
                </c:pt>
                <c:pt idx="26">
                  <c:v>-3.8929875221072119</c:v>
                </c:pt>
                <c:pt idx="27">
                  <c:v>-4.2347873059239323</c:v>
                </c:pt>
                <c:pt idx="28">
                  <c:v>-7.0692343282961474</c:v>
                </c:pt>
                <c:pt idx="29">
                  <c:v>-9.2027826497936953</c:v>
                </c:pt>
                <c:pt idx="30">
                  <c:v>-10.9142407379757</c:v>
                </c:pt>
                <c:pt idx="31">
                  <c:v>-12.343347632347131</c:v>
                </c:pt>
                <c:pt idx="32">
                  <c:v>-13.570205851141253</c:v>
                </c:pt>
                <c:pt idx="33">
                  <c:v>-14.645027229624404</c:v>
                </c:pt>
                <c:pt idx="34">
                  <c:v>-15.601372753420115</c:v>
                </c:pt>
                <c:pt idx="35">
                  <c:v>-16.462787315442423</c:v>
                </c:pt>
                <c:pt idx="36">
                  <c:v>-17.246427198293802</c:v>
                </c:pt>
                <c:pt idx="37">
                  <c:v>-22.649273544234404</c:v>
                </c:pt>
                <c:pt idx="38">
                  <c:v>-25.955015901597189</c:v>
                </c:pt>
                <c:pt idx="39">
                  <c:v>-28.343699360305607</c:v>
                </c:pt>
                <c:pt idx="40">
                  <c:v>-30.215168788824421</c:v>
                </c:pt>
                <c:pt idx="41">
                  <c:v>-31.754019958736531</c:v>
                </c:pt>
                <c:pt idx="42">
                  <c:v>-33.060832603231333</c:v>
                </c:pt>
                <c:pt idx="43">
                  <c:v>-34.19650097714883</c:v>
                </c:pt>
                <c:pt idx="44">
                  <c:v>-35.200705485754888</c:v>
                </c:pt>
                <c:pt idx="45">
                  <c:v>-36.100749048136706</c:v>
                </c:pt>
                <c:pt idx="46">
                  <c:v>-42.053043824175461</c:v>
                </c:pt>
                <c:pt idx="47">
                  <c:v>-45.551980736651679</c:v>
                </c:pt>
                <c:pt idx="48">
                  <c:v>-48.039288677285306</c:v>
                </c:pt>
                <c:pt idx="49">
                  <c:v>-49.970601589228096</c:v>
                </c:pt>
                <c:pt idx="50">
                  <c:v>-51.549631908817481</c:v>
                </c:pt>
                <c:pt idx="51">
                  <c:v>-52.885284354663391</c:v>
                </c:pt>
                <c:pt idx="52">
                  <c:v>-54.042659969390527</c:v>
                </c:pt>
                <c:pt idx="53">
                  <c:v>-55.063794015928622</c:v>
                </c:pt>
                <c:pt idx="54">
                  <c:v>-55.97741040072335</c:v>
                </c:pt>
              </c:numCache>
            </c:numRef>
          </c:yVal>
          <c:smooth val="0"/>
          <c:extLst>
            <c:ext xmlns:c16="http://schemas.microsoft.com/office/drawing/2014/chart" uri="{C3380CC4-5D6E-409C-BE32-E72D297353CC}">
              <c16:uniqueId val="{00000000-3516-40C9-AC1E-46813D6CF4FA}"/>
            </c:ext>
          </c:extLst>
        </c:ser>
        <c:ser>
          <c:idx val="1"/>
          <c:order val="1"/>
          <c:tx>
            <c:v>Gain,dB (Xc)</c:v>
          </c:tx>
          <c:spPr>
            <a:ln w="19050" cap="rnd">
              <a:solidFill>
                <a:schemeClr val="accent2"/>
              </a:solidFill>
              <a:round/>
            </a:ln>
            <a:effectLst/>
          </c:spPr>
          <c:marker>
            <c:symbol val="none"/>
          </c:marker>
          <c:xVal>
            <c:numRef>
              <c:f>'Inv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LPF'!$E$47:$E$101</c:f>
              <c:numCache>
                <c:formatCode>General</c:formatCode>
                <c:ptCount val="55"/>
                <c:pt idx="0">
                  <c:v>-5.4557916073167435E-3</c:v>
                </c:pt>
                <c:pt idx="1">
                  <c:v>-1.0908158467188412E-2</c:v>
                </c:pt>
                <c:pt idx="2">
                  <c:v>-1.6357104876534353E-2</c:v>
                </c:pt>
                <c:pt idx="3">
                  <c:v>-2.1802635124184146E-2</c:v>
                </c:pt>
                <c:pt idx="4">
                  <c:v>-2.7244753490912502E-2</c:v>
                </c:pt>
                <c:pt idx="5">
                  <c:v>-3.2683464249449352E-2</c:v>
                </c:pt>
                <c:pt idx="6">
                  <c:v>-3.8118771664503767E-2</c:v>
                </c:pt>
                <c:pt idx="7">
                  <c:v>-4.3550679992788194E-2</c:v>
                </c:pt>
                <c:pt idx="8">
                  <c:v>-4.897919348302758E-2</c:v>
                </c:pt>
                <c:pt idx="9">
                  <c:v>-5.4404316375986098E-2</c:v>
                </c:pt>
                <c:pt idx="10">
                  <c:v>-0.10846998977127736</c:v>
                </c:pt>
                <c:pt idx="11">
                  <c:v>-0.16220120992773107</c:v>
                </c:pt>
                <c:pt idx="12">
                  <c:v>-0.21560208931082114</c:v>
                </c:pt>
                <c:pt idx="13">
                  <c:v>-0.26867666499843373</c:v>
                </c:pt>
                <c:pt idx="14">
                  <c:v>-0.32142890051230616</c:v>
                </c:pt>
                <c:pt idx="15">
                  <c:v>-0.37386268759417995</c:v>
                </c:pt>
                <c:pt idx="16">
                  <c:v>-0.42598184792866467</c:v>
                </c:pt>
                <c:pt idx="17">
                  <c:v>-0.47779013481473109</c:v>
                </c:pt>
                <c:pt idx="18">
                  <c:v>-0.52929123478763929</c:v>
                </c:pt>
                <c:pt idx="19">
                  <c:v>-1.0281732742428631</c:v>
                </c:pt>
                <c:pt idx="20">
                  <c:v>-1.4999512667302475</c:v>
                </c:pt>
                <c:pt idx="21">
                  <c:v>-1.9474191714131335</c:v>
                </c:pt>
                <c:pt idx="22">
                  <c:v>-2.3729600270793743</c:v>
                </c:pt>
                <c:pt idx="23">
                  <c:v>-2.7786227814791493</c:v>
                </c:pt>
                <c:pt idx="24">
                  <c:v>-3.1661819637689996</c:v>
                </c:pt>
                <c:pt idx="25">
                  <c:v>-3.5371846017712909</c:v>
                </c:pt>
                <c:pt idx="26">
                  <c:v>-3.8929875221072132</c:v>
                </c:pt>
                <c:pt idx="27">
                  <c:v>-4.2347873059239323</c:v>
                </c:pt>
                <c:pt idx="28">
                  <c:v>-7.0692343282961474</c:v>
                </c:pt>
                <c:pt idx="29">
                  <c:v>-9.2027826497936971</c:v>
                </c:pt>
                <c:pt idx="30">
                  <c:v>-10.914240737975703</c:v>
                </c:pt>
                <c:pt idx="31">
                  <c:v>-12.343347632347133</c:v>
                </c:pt>
                <c:pt idx="32">
                  <c:v>-13.570205851141255</c:v>
                </c:pt>
                <c:pt idx="33">
                  <c:v>-14.645027229624404</c:v>
                </c:pt>
                <c:pt idx="34">
                  <c:v>-15.601372753420115</c:v>
                </c:pt>
                <c:pt idx="35">
                  <c:v>-16.462787315442423</c:v>
                </c:pt>
                <c:pt idx="36">
                  <c:v>-17.246427198293805</c:v>
                </c:pt>
                <c:pt idx="37">
                  <c:v>-22.649273544234411</c:v>
                </c:pt>
                <c:pt idx="38">
                  <c:v>-25.955015901597189</c:v>
                </c:pt>
                <c:pt idx="39">
                  <c:v>-28.343699360305614</c:v>
                </c:pt>
                <c:pt idx="40">
                  <c:v>-30.215168788824421</c:v>
                </c:pt>
                <c:pt idx="41">
                  <c:v>-31.754019958736531</c:v>
                </c:pt>
                <c:pt idx="42">
                  <c:v>-33.060832603231333</c:v>
                </c:pt>
                <c:pt idx="43">
                  <c:v>-34.19650097714883</c:v>
                </c:pt>
                <c:pt idx="44">
                  <c:v>-35.200705485754888</c:v>
                </c:pt>
                <c:pt idx="45">
                  <c:v>-36.100749048136706</c:v>
                </c:pt>
                <c:pt idx="46">
                  <c:v>-42.053043824175475</c:v>
                </c:pt>
                <c:pt idx="47">
                  <c:v>-45.551980736651679</c:v>
                </c:pt>
                <c:pt idx="48">
                  <c:v>-48.039288677285306</c:v>
                </c:pt>
                <c:pt idx="49">
                  <c:v>-49.970601589228096</c:v>
                </c:pt>
                <c:pt idx="50">
                  <c:v>-51.549631908817481</c:v>
                </c:pt>
                <c:pt idx="51">
                  <c:v>-52.885284354663391</c:v>
                </c:pt>
                <c:pt idx="52">
                  <c:v>-54.042659969390535</c:v>
                </c:pt>
                <c:pt idx="53">
                  <c:v>-55.063794015928622</c:v>
                </c:pt>
                <c:pt idx="54">
                  <c:v>-55.97741040072335</c:v>
                </c:pt>
              </c:numCache>
            </c:numRef>
          </c:yVal>
          <c:smooth val="0"/>
          <c:extLst>
            <c:ext xmlns:c16="http://schemas.microsoft.com/office/drawing/2014/chart" uri="{C3380CC4-5D6E-409C-BE32-E72D297353CC}">
              <c16:uniqueId val="{00000000-6D3F-4A32-AF4B-07C8462698DE}"/>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HPF'!$C$16</c:f>
              <c:strCache>
                <c:ptCount val="1"/>
                <c:pt idx="0">
                  <c:v>Vin(+)</c:v>
                </c:pt>
              </c:strCache>
            </c:strRef>
          </c:tx>
          <c:spPr>
            <a:ln>
              <a:solidFill>
                <a:schemeClr val="tx1"/>
              </a:solidFill>
            </a:ln>
          </c:spPr>
          <c:marker>
            <c:symbol val="none"/>
          </c:marker>
          <c:xVal>
            <c:numRef>
              <c:f>'Inv HPF'!$B$17:$B$42</c:f>
              <c:numCache>
                <c:formatCode>General</c:formatCode>
                <c:ptCount val="26"/>
                <c:pt idx="0">
                  <c:v>0</c:v>
                </c:pt>
                <c:pt idx="1">
                  <c:v>1.0053096491487336E-4</c:v>
                </c:pt>
                <c:pt idx="2">
                  <c:v>2.0106192982974672E-4</c:v>
                </c:pt>
                <c:pt idx="3">
                  <c:v>3.0159289474462008E-4</c:v>
                </c:pt>
                <c:pt idx="4">
                  <c:v>4.0212385965949344E-4</c:v>
                </c:pt>
                <c:pt idx="5">
                  <c:v>5.0265482457436685E-4</c:v>
                </c:pt>
                <c:pt idx="6">
                  <c:v>6.0318578948924026E-4</c:v>
                </c:pt>
                <c:pt idx="7">
                  <c:v>7.0371675440411368E-4</c:v>
                </c:pt>
                <c:pt idx="8">
                  <c:v>8.0424771931898709E-4</c:v>
                </c:pt>
                <c:pt idx="9">
                  <c:v>9.0477868423386051E-4</c:v>
                </c:pt>
                <c:pt idx="10">
                  <c:v>1.0053096491487339E-3</c:v>
                </c:pt>
                <c:pt idx="11">
                  <c:v>1.1058406140636073E-3</c:v>
                </c:pt>
                <c:pt idx="12">
                  <c:v>1.2063715789784807E-3</c:v>
                </c:pt>
                <c:pt idx="13">
                  <c:v>1.3069025438933542E-3</c:v>
                </c:pt>
                <c:pt idx="14">
                  <c:v>1.4074335088082276E-3</c:v>
                </c:pt>
                <c:pt idx="15">
                  <c:v>1.507964473723101E-3</c:v>
                </c:pt>
                <c:pt idx="16">
                  <c:v>1.6084954386379744E-3</c:v>
                </c:pt>
                <c:pt idx="17">
                  <c:v>1.7090264035528478E-3</c:v>
                </c:pt>
                <c:pt idx="18">
                  <c:v>1.8095573684677212E-3</c:v>
                </c:pt>
                <c:pt idx="19">
                  <c:v>1.9100883333825946E-3</c:v>
                </c:pt>
                <c:pt idx="20">
                  <c:v>2.0106192982974678E-3</c:v>
                </c:pt>
                <c:pt idx="21">
                  <c:v>2.1111502632123413E-3</c:v>
                </c:pt>
                <c:pt idx="22">
                  <c:v>2.2116812281272147E-3</c:v>
                </c:pt>
                <c:pt idx="23">
                  <c:v>2.3122121930420881E-3</c:v>
                </c:pt>
                <c:pt idx="24">
                  <c:v>2.4127431579569615E-3</c:v>
                </c:pt>
                <c:pt idx="25">
                  <c:v>2.5132741228718349E-3</c:v>
                </c:pt>
              </c:numCache>
            </c:numRef>
          </c:xVal>
          <c:yVal>
            <c:numRef>
              <c:f>'Inv HPF'!$C$17:$C$42</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-0.24868988716485363</c:v>
                </c:pt>
                <c:pt idx="7">
                  <c:v>0.68454710592868995</c:v>
                </c:pt>
                <c:pt idx="8">
                  <c:v>0.98228725072868861</c:v>
                </c:pt>
                <c:pt idx="9">
                  <c:v>0.36812455268467631</c:v>
                </c:pt>
                <c:pt idx="10">
                  <c:v>-0.58778525229247569</c:v>
                </c:pt>
                <c:pt idx="11">
                  <c:v>-0.99802672842827134</c:v>
                </c:pt>
                <c:pt idx="12">
                  <c:v>-0.48175367410171166</c:v>
                </c:pt>
                <c:pt idx="13">
                  <c:v>0.48175367410171699</c:v>
                </c:pt>
                <c:pt idx="14">
                  <c:v>0.99802672842827178</c:v>
                </c:pt>
                <c:pt idx="15">
                  <c:v>0.58778525229246925</c:v>
                </c:pt>
                <c:pt idx="16">
                  <c:v>-0.36812455268468203</c:v>
                </c:pt>
                <c:pt idx="17">
                  <c:v>-0.98228725072868972</c:v>
                </c:pt>
                <c:pt idx="18">
                  <c:v>-0.68454710592868351</c:v>
                </c:pt>
                <c:pt idx="19">
                  <c:v>0.24868988716486301</c:v>
                </c:pt>
                <c:pt idx="20">
                  <c:v>0.95105651629515553</c:v>
                </c:pt>
                <c:pt idx="21">
                  <c:v>0.77051324277578437</c:v>
                </c:pt>
                <c:pt idx="22">
                  <c:v>-0.12533323356430973</c:v>
                </c:pt>
                <c:pt idx="23">
                  <c:v>-0.90482705246602246</c:v>
                </c:pt>
                <c:pt idx="24">
                  <c:v>-0.84432792550201063</c:v>
                </c:pt>
                <c:pt idx="25">
                  <c:v>9.6780222724746068E-15</c:v>
                </c:pt>
              </c:numCache>
            </c:numRef>
          </c:yVal>
          <c:smooth val="1"/>
          <c:extLst>
            <c:ext xmlns:c16="http://schemas.microsoft.com/office/drawing/2014/chart" uri="{C3380CC4-5D6E-409C-BE32-E72D297353CC}">
              <c16:uniqueId val="{00000000-ACE6-408F-9C81-D4291DD2CA0C}"/>
            </c:ext>
          </c:extLst>
        </c:ser>
        <c:ser>
          <c:idx val="1"/>
          <c:order val="1"/>
          <c:tx>
            <c:strRef>
              <c:f>'Inv HPF'!$E$16</c:f>
              <c:strCache>
                <c:ptCount val="1"/>
                <c:pt idx="0">
                  <c:v>Vout</c:v>
                </c:pt>
              </c:strCache>
            </c:strRef>
          </c:tx>
          <c:spPr>
            <a:ln>
              <a:solidFill>
                <a:srgbClr val="C00000"/>
              </a:solidFill>
              <a:prstDash val="dash"/>
            </a:ln>
          </c:spPr>
          <c:marker>
            <c:symbol val="none"/>
          </c:marker>
          <c:xVal>
            <c:numRef>
              <c:f>'Inv HPF'!$B$17:$B$42</c:f>
              <c:numCache>
                <c:formatCode>General</c:formatCode>
                <c:ptCount val="26"/>
                <c:pt idx="0">
                  <c:v>0</c:v>
                </c:pt>
                <c:pt idx="1">
                  <c:v>1.0053096491487336E-4</c:v>
                </c:pt>
                <c:pt idx="2">
                  <c:v>2.0106192982974672E-4</c:v>
                </c:pt>
                <c:pt idx="3">
                  <c:v>3.0159289474462008E-4</c:v>
                </c:pt>
                <c:pt idx="4">
                  <c:v>4.0212385965949344E-4</c:v>
                </c:pt>
                <c:pt idx="5">
                  <c:v>5.0265482457436685E-4</c:v>
                </c:pt>
                <c:pt idx="6">
                  <c:v>6.0318578948924026E-4</c:v>
                </c:pt>
                <c:pt idx="7">
                  <c:v>7.0371675440411368E-4</c:v>
                </c:pt>
                <c:pt idx="8">
                  <c:v>8.0424771931898709E-4</c:v>
                </c:pt>
                <c:pt idx="9">
                  <c:v>9.0477868423386051E-4</c:v>
                </c:pt>
                <c:pt idx="10">
                  <c:v>1.0053096491487339E-3</c:v>
                </c:pt>
                <c:pt idx="11">
                  <c:v>1.1058406140636073E-3</c:v>
                </c:pt>
                <c:pt idx="12">
                  <c:v>1.2063715789784807E-3</c:v>
                </c:pt>
                <c:pt idx="13">
                  <c:v>1.3069025438933542E-3</c:v>
                </c:pt>
                <c:pt idx="14">
                  <c:v>1.4074335088082276E-3</c:v>
                </c:pt>
                <c:pt idx="15">
                  <c:v>1.507964473723101E-3</c:v>
                </c:pt>
                <c:pt idx="16">
                  <c:v>1.6084954386379744E-3</c:v>
                </c:pt>
                <c:pt idx="17">
                  <c:v>1.7090264035528478E-3</c:v>
                </c:pt>
                <c:pt idx="18">
                  <c:v>1.8095573684677212E-3</c:v>
                </c:pt>
                <c:pt idx="19">
                  <c:v>1.9100883333825946E-3</c:v>
                </c:pt>
                <c:pt idx="20">
                  <c:v>2.0106192982974678E-3</c:v>
                </c:pt>
                <c:pt idx="21">
                  <c:v>2.1111502632123413E-3</c:v>
                </c:pt>
                <c:pt idx="22">
                  <c:v>2.2116812281272147E-3</c:v>
                </c:pt>
                <c:pt idx="23">
                  <c:v>2.3122121930420881E-3</c:v>
                </c:pt>
                <c:pt idx="24">
                  <c:v>2.4127431579569615E-3</c:v>
                </c:pt>
                <c:pt idx="25">
                  <c:v>2.5132741228718349E-3</c:v>
                </c:pt>
              </c:numCache>
            </c:numRef>
          </c:xVal>
          <c:yVal>
            <c:numRef>
              <c:f>'Inv HPF'!$E$17:$E$42</c:f>
              <c:numCache>
                <c:formatCode>General</c:formatCode>
                <c:ptCount val="26"/>
                <c:pt idx="0">
                  <c:v>0</c:v>
                </c:pt>
                <c:pt idx="1">
                  <c:v>-0.59703000166764497</c:v>
                </c:pt>
                <c:pt idx="2">
                  <c:v>-0.63980934459975836</c:v>
                </c:pt>
                <c:pt idx="3">
                  <c:v>-8.862397936135713E-2</c:v>
                </c:pt>
                <c:pt idx="4">
                  <c:v>0.54483513896079727</c:v>
                </c:pt>
                <c:pt idx="5">
                  <c:v>0.67249851196395738</c:v>
                </c:pt>
                <c:pt idx="6">
                  <c:v>0.17585030562678533</c:v>
                </c:pt>
                <c:pt idx="7">
                  <c:v>-0.48404790064380249</c:v>
                </c:pt>
                <c:pt idx="8">
                  <c:v>-0.69458197606334615</c:v>
                </c:pt>
                <c:pt idx="9">
                  <c:v>-0.26030336752459909</c:v>
                </c:pt>
                <c:pt idx="10">
                  <c:v>0.41562693777745519</c:v>
                </c:pt>
                <c:pt idx="11">
                  <c:v>0.70571146747705549</c:v>
                </c:pt>
                <c:pt idx="12">
                  <c:v>0.34065128981885434</c:v>
                </c:pt>
                <c:pt idx="13">
                  <c:v>-0.34065128981885812</c:v>
                </c:pt>
                <c:pt idx="14">
                  <c:v>-0.70571146747705582</c:v>
                </c:pt>
                <c:pt idx="15">
                  <c:v>-0.41562693777745063</c:v>
                </c:pt>
                <c:pt idx="16">
                  <c:v>0.26030336752460315</c:v>
                </c:pt>
                <c:pt idx="17">
                  <c:v>0.69458197606334693</c:v>
                </c:pt>
                <c:pt idx="18">
                  <c:v>0.48404790064379793</c:v>
                </c:pt>
                <c:pt idx="19">
                  <c:v>-0.17585030562679196</c:v>
                </c:pt>
                <c:pt idx="20">
                  <c:v>-0.67249851196395871</c:v>
                </c:pt>
                <c:pt idx="21">
                  <c:v>-0.54483513896079372</c:v>
                </c:pt>
                <c:pt idx="22">
                  <c:v>8.8623979361360808E-2</c:v>
                </c:pt>
                <c:pt idx="23">
                  <c:v>0.63980934459976047</c:v>
                </c:pt>
                <c:pt idx="24">
                  <c:v>0.59703000166764175</c:v>
                </c:pt>
                <c:pt idx="25">
                  <c:v>-6.843395177341235E-15</c:v>
                </c:pt>
              </c:numCache>
            </c:numRef>
          </c:yVal>
          <c:smooth val="1"/>
          <c:extLst>
            <c:ext xmlns:c16="http://schemas.microsoft.com/office/drawing/2014/chart" uri="{C3380CC4-5D6E-409C-BE32-E72D297353CC}">
              <c16:uniqueId val="{00000001-ACE6-408F-9C81-D4291DD2CA0C}"/>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 HPF'!$C$46</c:f>
              <c:strCache>
                <c:ptCount val="1"/>
                <c:pt idx="0">
                  <c:v>Gain,dB</c:v>
                </c:pt>
              </c:strCache>
            </c:strRef>
          </c:tx>
          <c:spPr>
            <a:ln w="19050" cap="rnd">
              <a:solidFill>
                <a:schemeClr val="accent1"/>
              </a:solidFill>
              <a:round/>
            </a:ln>
            <a:effectLst/>
          </c:spPr>
          <c:marker>
            <c:symbol val="none"/>
          </c:marker>
          <c:xVal>
            <c:numRef>
              <c:f>'Inv HPF'!$B$47:$B$101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HPF'!$C$47:$C$101</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9C6C-4DCD-8C26-53550BD1311B}"/>
            </c:ext>
          </c:extLst>
        </c:ser>
        <c:ser>
          <c:idx val="1"/>
          <c:order val="1"/>
          <c:tx>
            <c:strRef>
              <c:f>'Inv HPF'!$E$46</c:f>
              <c:strCache>
                <c:ptCount val="1"/>
                <c:pt idx="0">
                  <c:v>Gain,dB (Xc)</c:v>
                </c:pt>
              </c:strCache>
            </c:strRef>
          </c:tx>
          <c:spPr>
            <a:ln w="19050" cap="rnd">
              <a:solidFill>
                <a:schemeClr val="accent2"/>
              </a:solidFill>
              <a:round/>
            </a:ln>
            <a:effectLst/>
          </c:spPr>
          <c:marker>
            <c:symbol val="none"/>
          </c:marker>
          <c:xVal>
            <c:numRef>
              <c:f>'Inv HPF'!$B$47:$B$101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HPF'!$E$47:$E$101</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-31.997945181679647</c:v>
                </c:pt>
                <c:pt idx="13">
                  <c:v>-30.061286747026472</c:v>
                </c:pt>
                <c:pt idx="14">
                  <c:v>-28.479545536424659</c:v>
                </c:pt>
                <c:pt idx="15">
                  <c:v>-27.142834894090726</c:v>
                </c:pt>
                <c:pt idx="16">
                  <c:v>-25.985562019762796</c:v>
                </c:pt>
                <c:pt idx="17">
                  <c:v>-24.965417946355043</c:v>
                </c:pt>
                <c:pt idx="18">
                  <c:v>-24.053514137182283</c:v>
                </c:pt>
                <c:pt idx="19">
                  <c:v>-18.083847895032541</c:v>
                </c:pt>
                <c:pt idx="20">
                  <c:v>-14.645606805642604</c:v>
                </c:pt>
                <c:pt idx="21">
                  <c:v>-12.261211428175205</c:v>
                </c:pt>
                <c:pt idx="22">
                  <c:v>-10.465778154000844</c:v>
                </c:pt>
                <c:pt idx="23">
                  <c:v>-9.0505037504027825</c:v>
                </c:pt>
                <c:pt idx="24">
                  <c:v>-7.9024631828079475</c:v>
                </c:pt>
                <c:pt idx="25">
                  <c:v>-6.9529414828150191</c:v>
                </c:pt>
                <c:pt idx="26">
                  <c:v>-6.1565520191868082</c:v>
                </c:pt>
                <c:pt idx="27">
                  <c:v>-5.481472749042986</c:v>
                </c:pt>
                <c:pt idx="28">
                  <c:v>-2.1305463398327862</c:v>
                </c:pt>
                <c:pt idx="29">
                  <c:v>-1.0770089688832887</c:v>
                </c:pt>
                <c:pt idx="30">
                  <c:v>-0.6382643650818538</c:v>
                </c:pt>
                <c:pt idx="31">
                  <c:v>-0.41913992851628978</c:v>
                </c:pt>
                <c:pt idx="32">
                  <c:v>-0.29530655220904345</c:v>
                </c:pt>
                <c:pt idx="33">
                  <c:v>-0.21889595054388805</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-3.0547053785901774E-3</c:v>
                </c:pt>
                <c:pt idx="42">
                  <c:v>-2.2444827169850251E-3</c:v>
                </c:pt>
                <c:pt idx="43">
                  <c:v>-1.7185361454735751E-3</c:v>
                </c:pt>
                <c:pt idx="44">
                  <c:v>-1.3579121003459054E-3</c:v>
                </c:pt>
                <c:pt idx="45">
                  <c:v>-1.0999414705593208E-3</c:v>
                </c:pt>
                <c:pt idx="46">
                  <c:v>-2.7501148591282476E-4</c:v>
                </c:pt>
                <c:pt idx="47">
                  <c:v>-1.2222947704761892E-4</c:v>
                </c:pt>
                <c:pt idx="48">
                  <c:v>-6.8754504127915749E-5</c:v>
                </c:pt>
                <c:pt idx="49">
                  <c:v>-4.4003008034778577E-5</c:v>
                </c:pt>
                <c:pt idx="50">
                  <c:v>-3.0557691771004675E-5</c:v>
                </c:pt>
                <c:pt idx="51">
                  <c:v>-2.2450570010109524E-5</c:v>
                </c:pt>
                <c:pt idx="52">
                  <c:v>-1.7188728076390032E-5</c:v>
                </c:pt>
                <c:pt idx="53">
                  <c:v>-1.3581222886256095E-5</c:v>
                </c:pt>
                <c:pt idx="54">
                  <c:v>-1.1000793806930447E-5</c:v>
                </c:pt>
              </c:numCache>
            </c:numRef>
          </c:yVal>
          <c:smooth val="0"/>
          <c:extLst>
            <c:ext xmlns:c16="http://schemas.microsoft.com/office/drawing/2014/chart" uri="{C3380CC4-5D6E-409C-BE32-E72D297353CC}">
              <c16:uniqueId val="{00000000-CB5D-4300-B11F-EB35FE25BFDE}"/>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'InvAmp-BAD'!$C$9</c:f>
              <c:strCache>
                <c:ptCount val="1"/>
                <c:pt idx="0">
                  <c:v>Vin(+)</c:v>
                </c:pt>
              </c:strCache>
            </c:strRef>
          </c:tx>
          <c:spPr>
            <a:ln>
              <a:solidFill>
                <a:schemeClr val="tx1"/>
              </a:solidFill>
            </a:ln>
          </c:spPr>
          <c:marker>
            <c:symbol val="none"/>
          </c:marker>
          <c:xVal>
            <c:numRef>
              <c:f>'InvAmp-BAD'!$B$10:$B$35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'InvAmp-BAD'!$C$10:$C$35</c:f>
              <c:numCache>
                <c:formatCode>General</c:formatCode>
                <c:ptCount val="26"/>
                <c:pt idx="0">
                  <c:v>1</c:v>
                </c:pt>
                <c:pt idx="1">
                  <c:v>1.0998334166468282</c:v>
                </c:pt>
                <c:pt idx="2">
                  <c:v>1.1986693307950613</c:v>
                </c:pt>
                <c:pt idx="3">
                  <c:v>1.9320390859672263</c:v>
                </c:pt>
                <c:pt idx="4">
                  <c:v>1.8084964038195901</c:v>
                </c:pt>
                <c:pt idx="5">
                  <c:v>0.94162585657241993</c:v>
                </c:pt>
                <c:pt idx="6">
                  <c:v>0.12842422758641181</c:v>
                </c:pt>
                <c:pt idx="7">
                  <c:v>0.11654534427984686</c:v>
                </c:pt>
                <c:pt idx="8">
                  <c:v>0.91691059718250356</c:v>
                </c:pt>
                <c:pt idx="9">
                  <c:v>1.7936678638491532</c:v>
                </c:pt>
                <c:pt idx="10">
                  <c:v>1.9407305566797732</c:v>
                </c:pt>
                <c:pt idx="11">
                  <c:v>1.2228899141002476</c:v>
                </c:pt>
                <c:pt idx="12">
                  <c:v>0.30012531240645768</c:v>
                </c:pt>
                <c:pt idx="13">
                  <c:v>2.08222708486826E-2</c:v>
                </c:pt>
                <c:pt idx="14">
                  <c:v>0.64177071776317129</c:v>
                </c:pt>
                <c:pt idx="15">
                  <c:v>1.5920735147072231</c:v>
                </c:pt>
                <c:pt idx="16">
                  <c:v>1.9980266527163617</c:v>
                </c:pt>
                <c:pt idx="17">
                  <c:v>1.4863986888537997</c:v>
                </c:pt>
                <c:pt idx="18">
                  <c:v>0.52757801360153378</c:v>
                </c:pt>
                <c:pt idx="19">
                  <c:v>3.0999339584039109E-3</c:v>
                </c:pt>
                <c:pt idx="20">
                  <c:v>0.39516717759371589</c:v>
                </c:pt>
                <c:pt idx="21">
                  <c:v>1.3433149288198953</c:v>
                </c:pt>
                <c:pt idx="22">
                  <c:v>1.9758205177669756</c:v>
                </c:pt>
                <c:pt idx="23">
                  <c:v>1.7111612229059823</c:v>
                </c:pt>
                <c:pt idx="24">
                  <c:v>0.79266357939324128</c:v>
                </c:pt>
                <c:pt idx="25">
                  <c:v>6.4790084805461112E-2</c:v>
                </c:pt>
              </c:numCache>
            </c:numRef>
          </c:yVal>
          <c:smooth val="1"/>
          <c:extLst>
            <c:ext xmlns:c16="http://schemas.microsoft.com/office/drawing/2014/chart" uri="{C3380CC4-5D6E-409C-BE32-E72D297353CC}">
              <c16:uniqueId val="{00000000-24F0-46C2-9D49-CA35529F6F88}"/>
            </c:ext>
          </c:extLst>
        </c:ser>
        <c:ser>
          <c:idx val="1"/>
          <c:order val="1"/>
          <c:tx>
            <c:strRef>
              <c:f>'InvAmp-BAD'!$E$9</c:f>
              <c:strCache>
                <c:ptCount val="1"/>
                <c:pt idx="0">
                  <c:v>Vout</c:v>
                </c:pt>
              </c:strCache>
            </c:strRef>
          </c:tx>
          <c:spPr>
            <a:ln>
              <a:solidFill>
                <a:srgbClr val="C00000"/>
              </a:solidFill>
              <a:prstDash val="dash"/>
            </a:ln>
          </c:spPr>
          <c:marker>
            <c:symbol val="none"/>
          </c:marker>
          <c:xVal>
            <c:numRef>
              <c:f>'InvAmp-BAD'!$B$10:$B$35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'InvAmp-BAD'!$E$10:$E$35</c:f>
              <c:numCache>
                <c:formatCode>General</c:formatCode>
                <c:ptCount val="26"/>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pt idx="14">
                  <c:v>0.5</c:v>
                </c:pt>
                <c:pt idx="15">
                  <c:v>0.5</c:v>
                </c:pt>
                <c:pt idx="16">
                  <c:v>0.5</c:v>
                </c:pt>
                <c:pt idx="17">
                  <c:v>0.5</c:v>
                </c:pt>
                <c:pt idx="18">
                  <c:v>0.5</c:v>
                </c:pt>
                <c:pt idx="19">
                  <c:v>0.5</c:v>
                </c:pt>
                <c:pt idx="20">
                  <c:v>0.5</c:v>
                </c:pt>
                <c:pt idx="21">
                  <c:v>0.5</c:v>
                </c:pt>
                <c:pt idx="22">
                  <c:v>0.5</c:v>
                </c:pt>
                <c:pt idx="23">
                  <c:v>0.5</c:v>
                </c:pt>
                <c:pt idx="24">
                  <c:v>0.5</c:v>
                </c:pt>
                <c:pt idx="25">
                  <c:v>0.5</c:v>
                </c:pt>
              </c:numCache>
            </c:numRef>
          </c:yVal>
          <c:smooth val="1"/>
          <c:extLst>
            <c:ext xmlns:c16="http://schemas.microsoft.com/office/drawing/2014/chart" uri="{C3380CC4-5D6E-409C-BE32-E72D297353CC}">
              <c16:uniqueId val="{00000001-24F0-46C2-9D49-CA35529F6F88}"/>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'Inv+Bias'!$C$9</c:f>
              <c:strCache>
                <c:ptCount val="1"/>
                <c:pt idx="0">
                  <c:v>Vin(+)</c:v>
                </c:pt>
              </c:strCache>
            </c:strRef>
          </c:tx>
          <c:spPr>
            <a:ln>
              <a:solidFill>
                <a:schemeClr val="tx1"/>
              </a:solidFill>
            </a:ln>
          </c:spPr>
          <c:marker>
            <c:symbol val="none"/>
          </c:marker>
          <c:xVal>
            <c:numRef>
              <c:f>'Inv+Bias'!$B$10:$B$35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ECDF-4296-A2C1-2573A94CD30A}"/>
            </c:ext>
          </c:extLst>
        </c:ser>
        <c:ser>
          <c:idx val="1"/>
          <c:order val="1"/>
          <c:tx>
            <c:strRef>
              <c:f>'Inv+Bias'!$E$9</c:f>
              <c:strCache>
                <c:ptCount val="1"/>
                <c:pt idx="0">
                  <c:v>Vout</c:v>
                </c:pt>
              </c:strCache>
            </c:strRef>
          </c:tx>
          <c:spPr>
            <a:ln>
              <a:solidFill>
                <a:srgbClr val="C00000"/>
              </a:solidFill>
              <a:prstDash val="dash"/>
            </a:ln>
          </c:spPr>
          <c:marker>
            <c:symbol val="none"/>
          </c:marker>
          <c:xVal>
            <c:numRef>
              <c:f>'Inv+Bias'!$B$10:$B$35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'Inv+Bias'!$E$10:$E$35</c:f>
              <c:numCache>
                <c:formatCode>General</c:formatCode>
                <c:ptCount val="26"/>
                <c:pt idx="0">
                  <c:v>-1.5</c:v>
                </c:pt>
                <c:pt idx="1">
                  <c:v>-1.6996668332936564</c:v>
                </c:pt>
                <c:pt idx="2">
                  <c:v>-1.8973386615901224</c:v>
                </c:pt>
                <c:pt idx="3">
                  <c:v>-3.3640781719344526</c:v>
                </c:pt>
                <c:pt idx="4">
                  <c:v>-3.1169928076391802</c:v>
                </c:pt>
                <c:pt idx="5">
                  <c:v>-1.3832517131448399</c:v>
                </c:pt>
                <c:pt idx="6">
                  <c:v>0.24315154482717638</c:v>
                </c:pt>
                <c:pt idx="7">
                  <c:v>0.26690931144030627</c:v>
                </c:pt>
                <c:pt idx="8">
                  <c:v>-1.3338211943650071</c:v>
                </c:pt>
                <c:pt idx="9">
                  <c:v>-3.0873357276983064</c:v>
                </c:pt>
                <c:pt idx="10">
                  <c:v>-3.3814611133595465</c:v>
                </c:pt>
                <c:pt idx="11">
                  <c:v>-1.9457798282004952</c:v>
                </c:pt>
                <c:pt idx="12">
                  <c:v>-0.10025062481291536</c:v>
                </c:pt>
                <c:pt idx="13">
                  <c:v>0.4583554583026348</c:v>
                </c:pt>
                <c:pt idx="14">
                  <c:v>-0.78354143552634259</c:v>
                </c:pt>
                <c:pt idx="15">
                  <c:v>-2.6841470294144463</c:v>
                </c:pt>
                <c:pt idx="16">
                  <c:v>-3.4960533054327234</c:v>
                </c:pt>
                <c:pt idx="17">
                  <c:v>-2.4727973777075993</c:v>
                </c:pt>
                <c:pt idx="18">
                  <c:v>-0.55515602720306767</c:v>
                </c:pt>
                <c:pt idx="19">
                  <c:v>0.49380013208319218</c:v>
                </c:pt>
                <c:pt idx="20">
                  <c:v>-0.29033435518743178</c:v>
                </c:pt>
                <c:pt idx="21">
                  <c:v>-2.1866298576397907</c:v>
                </c:pt>
                <c:pt idx="22">
                  <c:v>-3.4516410355339513</c:v>
                </c:pt>
                <c:pt idx="23">
                  <c:v>-2.9223224458119645</c:v>
                </c:pt>
                <c:pt idx="24">
                  <c:v>-1.0853271587864826</c:v>
                </c:pt>
                <c:pt idx="25">
                  <c:v>0.37041983038907778</c:v>
                </c:pt>
              </c:numCache>
            </c:numRef>
          </c:yVal>
          <c:smooth val="1"/>
          <c:extLst>
            <c:ext xmlns:c16="http://schemas.microsoft.com/office/drawing/2014/chart" uri="{C3380CC4-5D6E-409C-BE32-E72D297353CC}">
              <c16:uniqueId val="{00000001-ECDF-4296-A2C1-2573A94CD30A}"/>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'Inv+Bias Vhalf'!$C$9</c:f>
              <c:strCache>
                <c:ptCount val="1"/>
                <c:pt idx="0">
                  <c:v>Vin(+)</c:v>
                </c:pt>
              </c:strCache>
            </c:strRef>
          </c:tx>
          <c:spPr>
            <a:ln>
              <a:solidFill>
                <a:schemeClr val="tx1"/>
              </a:solidFill>
            </a:ln>
          </c:spPr>
          <c:marker>
            <c:symbol val="none"/>
          </c:marker>
          <c:xVal>
            <c:numRef>
              <c:f>'Inv+Bias Vhalf'!$B$10:$B$35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Vhalf'!$C$10:$C$35</c:f>
              <c:numCache>
                <c:formatCode>General</c:formatCode>
                <c:ptCount val="26"/>
                <c:pt idx="0">
                  <c:v>2.5</c:v>
                </c:pt>
                <c:pt idx="1">
                  <c:v>2.5099833416646828</c:v>
                </c:pt>
                <c:pt idx="2">
                  <c:v>2.519866933079506</c:v>
                </c:pt>
                <c:pt idx="3">
                  <c:v>2.5932039085967227</c:v>
                </c:pt>
                <c:pt idx="4">
                  <c:v>2.5808496403819592</c:v>
                </c:pt>
                <c:pt idx="5">
                  <c:v>2.494162585657242</c:v>
                </c:pt>
                <c:pt idx="6">
                  <c:v>2.4128424227586414</c:v>
                </c:pt>
                <c:pt idx="7">
                  <c:v>2.4116545344279845</c:v>
                </c:pt>
                <c:pt idx="8">
                  <c:v>2.4916910597182502</c:v>
                </c:pt>
                <c:pt idx="9">
                  <c:v>2.5793667863849152</c:v>
                </c:pt>
                <c:pt idx="10">
                  <c:v>2.5940730556679772</c:v>
                </c:pt>
                <c:pt idx="11">
                  <c:v>2.5222889914100248</c:v>
                </c:pt>
                <c:pt idx="12">
                  <c:v>2.4300125312406458</c:v>
                </c:pt>
                <c:pt idx="13">
                  <c:v>2.4020822270848683</c:v>
                </c:pt>
                <c:pt idx="14">
                  <c:v>2.4641770717763172</c:v>
                </c:pt>
                <c:pt idx="15">
                  <c:v>2.5592073514707221</c:v>
                </c:pt>
                <c:pt idx="16">
                  <c:v>2.5998026652716364</c:v>
                </c:pt>
                <c:pt idx="17">
                  <c:v>2.5486398688853802</c:v>
                </c:pt>
                <c:pt idx="18">
                  <c:v>2.4527578013601534</c:v>
                </c:pt>
                <c:pt idx="19">
                  <c:v>2.4003099933958403</c:v>
                </c:pt>
                <c:pt idx="20">
                  <c:v>2.4395167177593717</c:v>
                </c:pt>
                <c:pt idx="21">
                  <c:v>2.5343314928819893</c:v>
                </c:pt>
                <c:pt idx="22">
                  <c:v>2.5975820517766977</c:v>
                </c:pt>
                <c:pt idx="23">
                  <c:v>2.571116122290598</c:v>
                </c:pt>
                <c:pt idx="24">
                  <c:v>2.4792663579393239</c:v>
                </c:pt>
                <c:pt idx="25">
                  <c:v>2.4064790084805461</c:v>
                </c:pt>
              </c:numCache>
            </c:numRef>
          </c:yVal>
          <c:smooth val="1"/>
          <c:extLst>
            <c:ext xmlns:c16="http://schemas.microsoft.com/office/drawing/2014/chart" uri="{C3380CC4-5D6E-409C-BE32-E72D297353CC}">
              <c16:uniqueId val="{00000000-E00F-49A1-A949-55FC9B27F82F}"/>
            </c:ext>
          </c:extLst>
        </c:ser>
        <c:ser>
          <c:idx val="1"/>
          <c:order val="1"/>
          <c:tx>
            <c:strRef>
              <c:f>'Inv+Bias Vhalf'!$E$9</c:f>
              <c:strCache>
                <c:ptCount val="1"/>
                <c:pt idx="0">
                  <c:v>Vout</c:v>
                </c:pt>
              </c:strCache>
            </c:strRef>
          </c:tx>
          <c:spPr>
            <a:ln>
              <a:solidFill>
                <a:srgbClr val="C00000"/>
              </a:solidFill>
              <a:prstDash val="dash"/>
            </a:ln>
          </c:spPr>
          <c:marker>
            <c:symbol val="none"/>
          </c:marker>
          <c:xVal>
            <c:numRef>
              <c:f>'Inv+Bias Vhalf'!$B$10:$B$35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Vhalf'!$E$10:$E$35</c:f>
              <c:numCache>
                <c:formatCode>General</c:formatCode>
                <c:ptCount val="26"/>
                <c:pt idx="0">
                  <c:v>2.5</c:v>
                </c:pt>
                <c:pt idx="1">
                  <c:v>2.4500832916765862</c:v>
                </c:pt>
                <c:pt idx="2">
                  <c:v>2.4006653346024702</c:v>
                </c:pt>
                <c:pt idx="3">
                  <c:v>2.0339804570163871</c:v>
                </c:pt>
                <c:pt idx="4">
                  <c:v>2.0957517980902036</c:v>
                </c:pt>
                <c:pt idx="5">
                  <c:v>2.529187071713789</c:v>
                </c:pt>
                <c:pt idx="6">
                  <c:v>2.9357878862067928</c:v>
                </c:pt>
                <c:pt idx="7">
                  <c:v>2.9417273278600771</c:v>
                </c:pt>
                <c:pt idx="8">
                  <c:v>2.5415447014087498</c:v>
                </c:pt>
                <c:pt idx="9">
                  <c:v>2.1031660680754243</c:v>
                </c:pt>
                <c:pt idx="10">
                  <c:v>2.0296347216601145</c:v>
                </c:pt>
                <c:pt idx="11">
                  <c:v>2.388555042949875</c:v>
                </c:pt>
                <c:pt idx="12">
                  <c:v>2.8499373437967712</c:v>
                </c:pt>
                <c:pt idx="13">
                  <c:v>2.9895888645756585</c:v>
                </c:pt>
                <c:pt idx="14">
                  <c:v>2.6791146411184137</c:v>
                </c:pt>
                <c:pt idx="15">
                  <c:v>2.20396324264639</c:v>
                </c:pt>
                <c:pt idx="16">
                  <c:v>2.0009866736418189</c:v>
                </c:pt>
                <c:pt idx="17">
                  <c:v>2.2568006555730982</c:v>
                </c:pt>
                <c:pt idx="18">
                  <c:v>2.7362109931992329</c:v>
                </c:pt>
                <c:pt idx="19">
                  <c:v>2.9984500330207986</c:v>
                </c:pt>
                <c:pt idx="20">
                  <c:v>2.8024164112031418</c:v>
                </c:pt>
                <c:pt idx="21">
                  <c:v>2.3283425355900533</c:v>
                </c:pt>
                <c:pt idx="22">
                  <c:v>2.0120897411165117</c:v>
                </c:pt>
                <c:pt idx="23">
                  <c:v>2.1444193885470106</c:v>
                </c:pt>
                <c:pt idx="24">
                  <c:v>2.6036682103033808</c:v>
                </c:pt>
                <c:pt idx="25">
                  <c:v>2.9676049575972705</c:v>
                </c:pt>
              </c:numCache>
            </c:numRef>
          </c:yVal>
          <c:smooth val="1"/>
          <c:extLst>
            <c:ext xmlns:c16="http://schemas.microsoft.com/office/drawing/2014/chart" uri="{C3380CC4-5D6E-409C-BE32-E72D297353CC}">
              <c16:uniqueId val="{00000001-E00F-49A1-A949-55FC9B27F82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0.16194707839510597"/>
          <c:w val="0.83847659667541552"/>
          <c:h val="0.70541405278946423"/>
        </c:manualLayout>
      </c:layout>
      <c:scatterChart>
        <c:scatterStyle val="smoothMarker"/>
        <c:varyColors val="0"/>
        <c:ser>
          <c:idx val="0"/>
          <c:order val="0"/>
          <c:tx>
            <c:strRef>
              <c:f>'Inv+Bias - Calculate R'!$C$9</c:f>
              <c:strCache>
                <c:ptCount val="1"/>
                <c:pt idx="0">
                  <c:v>Vin(+)</c:v>
                </c:pt>
              </c:strCache>
            </c:strRef>
          </c:tx>
          <c:spPr>
            <a:ln>
              <a:solidFill>
                <a:schemeClr val="tx1"/>
              </a:solidFill>
            </a:ln>
          </c:spPr>
          <c:marker>
            <c:symbol val="none"/>
          </c:marker>
          <c:xVal>
            <c:numRef>
              <c:f>'Inv+Bias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 Calculate R'!$C$10:$C$35</c:f>
              <c:numCache>
                <c:formatCode>General</c:formatCode>
                <c:ptCount val="26"/>
                <c:pt idx="0">
                  <c:v>-1</c:v>
                </c:pt>
                <c:pt idx="1">
                  <c:v>-0.90016658335317179</c:v>
                </c:pt>
                <c:pt idx="2">
                  <c:v>-0.80133066920493878</c:v>
                </c:pt>
                <c:pt idx="3">
                  <c:v>-6.7960914032773712E-2</c:v>
                </c:pt>
                <c:pt idx="4">
                  <c:v>-0.19150359618040991</c:v>
                </c:pt>
                <c:pt idx="5">
                  <c:v>-1.0583741434275802</c:v>
                </c:pt>
                <c:pt idx="6">
                  <c:v>-1.8715757724135882</c:v>
                </c:pt>
                <c:pt idx="7">
                  <c:v>-1.8834546557201532</c:v>
                </c:pt>
                <c:pt idx="8">
                  <c:v>-1.0830894028174964</c:v>
                </c:pt>
                <c:pt idx="9">
                  <c:v>-0.20633213615084689</c:v>
                </c:pt>
                <c:pt idx="10">
                  <c:v>-5.9269443320226878E-2</c:v>
                </c:pt>
                <c:pt idx="11">
                  <c:v>-0.77711008589975239</c:v>
                </c:pt>
                <c:pt idx="12">
                  <c:v>-1.6998746875935424</c:v>
                </c:pt>
                <c:pt idx="13">
                  <c:v>-1.9791777291513175</c:v>
                </c:pt>
                <c:pt idx="14">
                  <c:v>-1.3582292822368287</c:v>
                </c:pt>
                <c:pt idx="15">
                  <c:v>-0.40792648529277697</c:v>
                </c:pt>
                <c:pt idx="16">
                  <c:v>-1.9733472836382937E-3</c:v>
                </c:pt>
                <c:pt idx="17">
                  <c:v>-0.51360131114620033</c:v>
                </c:pt>
                <c:pt idx="18">
                  <c:v>-1.4724219863984662</c:v>
                </c:pt>
                <c:pt idx="19">
                  <c:v>-1.9969000660415961</c:v>
                </c:pt>
                <c:pt idx="20">
                  <c:v>-1.604832822406284</c:v>
                </c:pt>
                <c:pt idx="21">
                  <c:v>-0.65668507118010466</c:v>
                </c:pt>
                <c:pt idx="22">
                  <c:v>-2.4179482233024463E-2</c:v>
                </c:pt>
                <c:pt idx="23">
                  <c:v>-0.28883877709401762</c:v>
                </c:pt>
                <c:pt idx="24">
                  <c:v>-1.2073364206067587</c:v>
                </c:pt>
                <c:pt idx="25">
                  <c:v>-1.9352099151945388</c:v>
                </c:pt>
              </c:numCache>
            </c:numRef>
          </c:yVal>
          <c:smooth val="1"/>
          <c:extLst>
            <c:ext xmlns:c16="http://schemas.microsoft.com/office/drawing/2014/chart" uri="{C3380CC4-5D6E-409C-BE32-E72D297353CC}">
              <c16:uniqueId val="{00000000-7B3D-4626-BFB7-6C0B2EDA059B}"/>
            </c:ext>
          </c:extLst>
        </c:ser>
        <c:ser>
          <c:idx val="1"/>
          <c:order val="1"/>
          <c:tx>
            <c:strRef>
              <c:f>'Inv+Bias - Calculate R'!$E$9</c:f>
              <c:strCache>
                <c:ptCount val="1"/>
                <c:pt idx="0">
                  <c:v>Vout</c:v>
                </c:pt>
              </c:strCache>
            </c:strRef>
          </c:tx>
          <c:spPr>
            <a:ln>
              <a:solidFill>
                <a:srgbClr val="C00000"/>
              </a:solidFill>
              <a:prstDash val="dash"/>
            </a:ln>
          </c:spPr>
          <c:marker>
            <c:symbol val="none"/>
          </c:marker>
          <c:xVal>
            <c:numRef>
              <c:f>'Inv+Bias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'Inv+Bias - Calculate R'!$E$10:$E$35</c:f>
              <c:numCache>
                <c:formatCode>General</c:formatCode>
                <c:ptCount val="26"/>
                <c:pt idx="0">
                  <c:v>8.5</c:v>
                </c:pt>
                <c:pt idx="1">
                  <c:v>8.2504164583829294</c:v>
                </c:pt>
                <c:pt idx="2">
                  <c:v>8.0033266730123476</c:v>
                </c:pt>
                <c:pt idx="3">
                  <c:v>6.1699022850819345</c:v>
                </c:pt>
                <c:pt idx="4">
                  <c:v>6.4787589904510252</c:v>
                </c:pt>
                <c:pt idx="5">
                  <c:v>8.6459353585689502</c:v>
                </c:pt>
                <c:pt idx="6">
                  <c:v>10.678939431033971</c:v>
                </c:pt>
                <c:pt idx="7">
                  <c:v>10.708636639300384</c:v>
                </c:pt>
                <c:pt idx="8">
                  <c:v>8.7077235070437418</c:v>
                </c:pt>
                <c:pt idx="9">
                  <c:v>6.5158303403771169</c:v>
                </c:pt>
                <c:pt idx="10">
                  <c:v>6.1481736083005671</c:v>
                </c:pt>
                <c:pt idx="11">
                  <c:v>7.9427752147493811</c:v>
                </c:pt>
                <c:pt idx="12">
                  <c:v>10.249686718983856</c:v>
                </c:pt>
                <c:pt idx="13">
                  <c:v>10.947944322878293</c:v>
                </c:pt>
                <c:pt idx="14">
                  <c:v>9.395573205592072</c:v>
                </c:pt>
                <c:pt idx="15">
                  <c:v>7.0198162132319428</c:v>
                </c:pt>
                <c:pt idx="16">
                  <c:v>6.0049333682090955</c:v>
                </c:pt>
                <c:pt idx="17">
                  <c:v>7.2840032778655006</c:v>
                </c:pt>
                <c:pt idx="18">
                  <c:v>9.6810549659961644</c:v>
                </c:pt>
                <c:pt idx="19">
                  <c:v>10.992250165103989</c:v>
                </c:pt>
                <c:pt idx="20">
                  <c:v>10.012082056015711</c:v>
                </c:pt>
                <c:pt idx="21">
                  <c:v>7.6417126779502613</c:v>
                </c:pt>
                <c:pt idx="22">
                  <c:v>6.0604487055825613</c:v>
                </c:pt>
                <c:pt idx="23">
                  <c:v>6.7220969427350443</c:v>
                </c:pt>
                <c:pt idx="24">
                  <c:v>9.0183410515168969</c:v>
                </c:pt>
                <c:pt idx="25">
                  <c:v>10.838024787986347</c:v>
                </c:pt>
              </c:numCache>
            </c:numRef>
          </c:yVal>
          <c:smooth val="1"/>
          <c:extLst>
            <c:ext xmlns:c16="http://schemas.microsoft.com/office/drawing/2014/chart" uri="{C3380CC4-5D6E-409C-BE32-E72D297353CC}">
              <c16:uniqueId val="{00000001-7B3D-4626-BFB7-6C0B2EDA059B}"/>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8147734794020309"/>
          <c:y val="5.1610708953697078E-2"/>
          <c:w val="0.26554809996576517"/>
          <c:h val="0.13494720190162496"/>
        </c:manualLayout>
      </c:layout>
      <c:overlay val="1"/>
      <c:spPr>
        <a:solidFill>
          <a:schemeClr val="bg1"/>
        </a:solidFill>
      </c:spPr>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 + Bias LPF'!$C$18</c:f>
              <c:strCache>
                <c:ptCount val="1"/>
                <c:pt idx="0">
                  <c:v>Vin(+)</c:v>
                </c:pt>
              </c:strCache>
            </c:strRef>
          </c:tx>
          <c:spPr>
            <a:ln>
              <a:solidFill>
                <a:schemeClr val="tx1"/>
              </a:solidFill>
            </a:ln>
          </c:spPr>
          <c:marker>
            <c:symbol val="none"/>
          </c:marker>
          <c:xVal>
            <c:numRef>
              <c:f>'Inv + Bias LPF'!$B$19:$B$44</c:f>
              <c:numCache>
                <c:formatCode>General</c:formatCode>
                <c:ptCount val="26"/>
                <c:pt idx="0">
                  <c:v>0</c:v>
                </c:pt>
                <c:pt idx="1">
                  <c:v>6.9667958686007244E-5</c:v>
                </c:pt>
                <c:pt idx="2">
                  <c:v>1.3933591737201449E-4</c:v>
                </c:pt>
                <c:pt idx="3">
                  <c:v>2.0900387605802173E-4</c:v>
                </c:pt>
                <c:pt idx="4">
                  <c:v>2.7867183474402897E-4</c:v>
                </c:pt>
                <c:pt idx="5">
                  <c:v>3.4833979343003622E-4</c:v>
                </c:pt>
                <c:pt idx="6">
                  <c:v>4.1800775211604346E-4</c:v>
                </c:pt>
                <c:pt idx="7">
                  <c:v>4.876757108020507E-4</c:v>
                </c:pt>
                <c:pt idx="8">
                  <c:v>5.5734366948805795E-4</c:v>
                </c:pt>
                <c:pt idx="9">
                  <c:v>6.2701162817406519E-4</c:v>
                </c:pt>
                <c:pt idx="10">
                  <c:v>6.9667958686007244E-4</c:v>
                </c:pt>
                <c:pt idx="11">
                  <c:v>7.6634754554607968E-4</c:v>
                </c:pt>
                <c:pt idx="12">
                  <c:v>8.3601550423208692E-4</c:v>
                </c:pt>
                <c:pt idx="13">
                  <c:v>9.0568346291809417E-4</c:v>
                </c:pt>
                <c:pt idx="14">
                  <c:v>9.7535142160410141E-4</c:v>
                </c:pt>
                <c:pt idx="15">
                  <c:v>1.0450193802901088E-3</c:v>
                </c:pt>
                <c:pt idx="16">
                  <c:v>1.1146873389761159E-3</c:v>
                </c:pt>
                <c:pt idx="17">
                  <c:v>1.184355297662123E-3</c:v>
                </c:pt>
                <c:pt idx="18">
                  <c:v>1.2540232563481302E-3</c:v>
                </c:pt>
                <c:pt idx="19">
                  <c:v>1.3236912150341373E-3</c:v>
                </c:pt>
                <c:pt idx="20">
                  <c:v>1.3933591737201444E-3</c:v>
                </c:pt>
                <c:pt idx="21">
                  <c:v>1.4630271324061516E-3</c:v>
                </c:pt>
                <c:pt idx="22">
                  <c:v>1.5326950910921587E-3</c:v>
                </c:pt>
                <c:pt idx="23">
                  <c:v>1.6023630497781658E-3</c:v>
                </c:pt>
                <c:pt idx="24">
                  <c:v>1.672031008464173E-3</c:v>
                </c:pt>
                <c:pt idx="25">
                  <c:v>1.7416989671501801E-3</c:v>
                </c:pt>
              </c:numCache>
            </c:numRef>
          </c:xVal>
          <c:yVal>
            <c:numRef>
              <c:f>'Inv + Bias LPF'!$C$19:$C$44</c:f>
              <c:numCache>
                <c:formatCode>General</c:formatCode>
                <c:ptCount val="26"/>
                <c:pt idx="0">
                  <c:v>0</c:v>
                </c:pt>
                <c:pt idx="1">
                  <c:v>0.84432792550201496</c:v>
                </c:pt>
                <c:pt idx="2">
                  <c:v>0.90482705246601969</c:v>
                </c:pt>
                <c:pt idx="3">
                  <c:v>0.12533323356430454</c:v>
                </c:pt>
                <c:pt idx="4">
                  <c:v>-0.77051324277578881</c:v>
                </c:pt>
                <c:pt idx="5">
                  <c:v>-0.95105651629515364</c:v>
                </c:pt>
                <c:pt idx="6">
                  <c:v>-0.24868988716485535</c:v>
                </c:pt>
                <c:pt idx="7">
                  <c:v>0.68454710592868795</c:v>
                </c:pt>
                <c:pt idx="8">
                  <c:v>0.98228725072868894</c:v>
                </c:pt>
                <c:pt idx="9">
                  <c:v>0.36812455268467797</c:v>
                </c:pt>
                <c:pt idx="10">
                  <c:v>-0.5877852522924728</c:v>
                </c:pt>
                <c:pt idx="11">
                  <c:v>-0.99802672842827167</c:v>
                </c:pt>
                <c:pt idx="12">
                  <c:v>-0.48175367410171632</c:v>
                </c:pt>
                <c:pt idx="13">
                  <c:v>0.48175367410171543</c:v>
                </c:pt>
                <c:pt idx="14">
                  <c:v>0.99802672842827145</c:v>
                </c:pt>
                <c:pt idx="15">
                  <c:v>0.58778525229247358</c:v>
                </c:pt>
                <c:pt idx="16">
                  <c:v>-0.36812455268467542</c:v>
                </c:pt>
                <c:pt idx="17">
                  <c:v>-0.98228725072868839</c:v>
                </c:pt>
                <c:pt idx="18">
                  <c:v>-0.68454710592869128</c:v>
                </c:pt>
                <c:pt idx="19">
                  <c:v>0.24868988716484924</c:v>
                </c:pt>
                <c:pt idx="20">
                  <c:v>0.95105651629515109</c:v>
                </c:pt>
                <c:pt idx="21">
                  <c:v>0.77051324277579569</c:v>
                </c:pt>
                <c:pt idx="22">
                  <c:v>-0.1253332335642921</c:v>
                </c:pt>
                <c:pt idx="23">
                  <c:v>-0.90482705246601336</c:v>
                </c:pt>
                <c:pt idx="24">
                  <c:v>-0.84432792550202396</c:v>
                </c:pt>
                <c:pt idx="25">
                  <c:v>-1.8743687157929401E-14</c:v>
                </c:pt>
              </c:numCache>
            </c:numRef>
          </c:yVal>
          <c:smooth val="1"/>
          <c:extLst>
            <c:ext xmlns:c16="http://schemas.microsoft.com/office/drawing/2014/chart" uri="{C3380CC4-5D6E-409C-BE32-E72D297353CC}">
              <c16:uniqueId val="{00000000-96B3-4177-9277-A133974583F8}"/>
            </c:ext>
          </c:extLst>
        </c:ser>
        <c:ser>
          <c:idx val="1"/>
          <c:order val="1"/>
          <c:tx>
            <c:strRef>
              <c:f>'Inv + Bias LPF'!$E$18</c:f>
              <c:strCache>
                <c:ptCount val="1"/>
                <c:pt idx="0">
                  <c:v>Vout</c:v>
                </c:pt>
              </c:strCache>
            </c:strRef>
          </c:tx>
          <c:spPr>
            <a:ln>
              <a:solidFill>
                <a:srgbClr val="C00000"/>
              </a:solidFill>
              <a:prstDash val="dash"/>
            </a:ln>
          </c:spPr>
          <c:marker>
            <c:symbol val="none"/>
          </c:marker>
          <c:xVal>
            <c:numRef>
              <c:f>'Inv + Bias LPF'!$B$19:$B$44</c:f>
              <c:numCache>
                <c:formatCode>General</c:formatCode>
                <c:ptCount val="26"/>
                <c:pt idx="0">
                  <c:v>0</c:v>
                </c:pt>
                <c:pt idx="1">
                  <c:v>6.9667958686007244E-5</c:v>
                </c:pt>
                <c:pt idx="2">
                  <c:v>1.3933591737201449E-4</c:v>
                </c:pt>
                <c:pt idx="3">
                  <c:v>2.0900387605802173E-4</c:v>
                </c:pt>
                <c:pt idx="4">
                  <c:v>2.7867183474402897E-4</c:v>
                </c:pt>
                <c:pt idx="5">
                  <c:v>3.4833979343003622E-4</c:v>
                </c:pt>
                <c:pt idx="6">
                  <c:v>4.1800775211604346E-4</c:v>
                </c:pt>
                <c:pt idx="7">
                  <c:v>4.876757108020507E-4</c:v>
                </c:pt>
                <c:pt idx="8">
                  <c:v>5.5734366948805795E-4</c:v>
                </c:pt>
                <c:pt idx="9">
                  <c:v>6.2701162817406519E-4</c:v>
                </c:pt>
                <c:pt idx="10">
                  <c:v>6.9667958686007244E-4</c:v>
                </c:pt>
                <c:pt idx="11">
                  <c:v>7.6634754554607968E-4</c:v>
                </c:pt>
                <c:pt idx="12">
                  <c:v>8.3601550423208692E-4</c:v>
                </c:pt>
                <c:pt idx="13">
                  <c:v>9.0568346291809417E-4</c:v>
                </c:pt>
                <c:pt idx="14">
                  <c:v>9.7535142160410141E-4</c:v>
                </c:pt>
                <c:pt idx="15">
                  <c:v>1.0450193802901088E-3</c:v>
                </c:pt>
                <c:pt idx="16">
                  <c:v>1.1146873389761159E-3</c:v>
                </c:pt>
                <c:pt idx="17">
                  <c:v>1.184355297662123E-3</c:v>
                </c:pt>
                <c:pt idx="18">
                  <c:v>1.2540232563481302E-3</c:v>
                </c:pt>
                <c:pt idx="19">
                  <c:v>1.3236912150341373E-3</c:v>
                </c:pt>
                <c:pt idx="20">
                  <c:v>1.3933591737201444E-3</c:v>
                </c:pt>
                <c:pt idx="21">
                  <c:v>1.4630271324061516E-3</c:v>
                </c:pt>
                <c:pt idx="22">
                  <c:v>1.5326950910921587E-3</c:v>
                </c:pt>
                <c:pt idx="23">
                  <c:v>1.6023630497781658E-3</c:v>
                </c:pt>
                <c:pt idx="24">
                  <c:v>1.672031008464173E-3</c:v>
                </c:pt>
                <c:pt idx="25">
                  <c:v>1.7416989671501801E-3</c:v>
                </c:pt>
              </c:numCache>
            </c:numRef>
          </c:xVal>
          <c:yVal>
            <c:numRef>
              <c:f>'Inv + Bias LPF'!$E$19:$E$44</c:f>
              <c:numCache>
                <c:formatCode>General</c:formatCode>
                <c:ptCount val="26"/>
                <c:pt idx="0">
                  <c:v>2.1418113638464824</c:v>
                </c:pt>
                <c:pt idx="1">
                  <c:v>-0.630643001957786</c:v>
                </c:pt>
                <c:pt idx="2">
                  <c:v>-0.8292993102623738</c:v>
                </c:pt>
                <c:pt idx="3">
                  <c:v>1.7302643095794814</c:v>
                </c:pt>
                <c:pt idx="4">
                  <c:v>4.6718861598134698</c:v>
                </c:pt>
                <c:pt idx="5">
                  <c:v>5</c:v>
                </c:pt>
                <c:pt idx="6">
                  <c:v>2.9584151294884</c:v>
                </c:pt>
                <c:pt idx="7">
                  <c:v>-0.10598307135740015</c:v>
                </c:pt>
                <c:pt idx="8">
                  <c:v>-1.0836493777692784</c:v>
                </c:pt>
                <c:pt idx="9">
                  <c:v>0.93302921602926769</c:v>
                </c:pt>
                <c:pt idx="10">
                  <c:v>4.071876377276789</c:v>
                </c:pt>
                <c:pt idx="11">
                  <c:v>5</c:v>
                </c:pt>
                <c:pt idx="12">
                  <c:v>3.7237086772764676</c:v>
                </c:pt>
                <c:pt idx="13">
                  <c:v>0.55991405041650011</c:v>
                </c:pt>
                <c:pt idx="14">
                  <c:v>-1.1353318844656433</c:v>
                </c:pt>
                <c:pt idx="15">
                  <c:v>0.21174635041617318</c:v>
                </c:pt>
                <c:pt idx="16">
                  <c:v>3.3505935116636887</c:v>
                </c:pt>
                <c:pt idx="17">
                  <c:v>5</c:v>
                </c:pt>
                <c:pt idx="18">
                  <c:v>4.3896057990503756</c:v>
                </c:pt>
                <c:pt idx="19">
                  <c:v>1.3252075982045848</c:v>
                </c:pt>
                <c:pt idx="20">
                  <c:v>-0.98109942838076947</c:v>
                </c:pt>
                <c:pt idx="21">
                  <c:v>-0.38826343212052716</c:v>
                </c:pt>
                <c:pt idx="22">
                  <c:v>2.5533584181134428</c:v>
                </c:pt>
                <c:pt idx="23">
                  <c:v>5</c:v>
                </c:pt>
                <c:pt idx="24">
                  <c:v>4.9142657296507801</c:v>
                </c:pt>
                <c:pt idx="25">
                  <c:v>2.1418113638465441</c:v>
                </c:pt>
              </c:numCache>
            </c:numRef>
          </c:yVal>
          <c:smooth val="1"/>
          <c:extLst>
            <c:ext xmlns:c16="http://schemas.microsoft.com/office/drawing/2014/chart" uri="{C3380CC4-5D6E-409C-BE32-E72D297353CC}">
              <c16:uniqueId val="{00000001-96B3-4177-9277-A133974583F8}"/>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Inverting + Bias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'Inv + Bias LPF'!$C$48</c:f>
              <c:strCache>
                <c:ptCount val="1"/>
                <c:pt idx="0">
                  <c:v>Gain,dB</c:v>
                </c:pt>
              </c:strCache>
            </c:strRef>
          </c:tx>
          <c:spPr>
            <a:ln w="19050" cap="rnd">
              <a:solidFill>
                <a:srgbClr val="C00000"/>
              </a:solidFill>
              <a:round/>
            </a:ln>
            <a:effectLst/>
          </c:spPr>
          <c:marker>
            <c:symbol val="none"/>
          </c:marker>
          <c:xVal>
            <c:numRef>
              <c:f>'Inv + Bias LPF'!$B$49:$B$103</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'Inv + Bias LPF'!$C$49:$C$103</c:f>
              <c:numCache>
                <c:formatCode>General</c:formatCode>
                <c:ptCount val="55"/>
                <c:pt idx="0">
                  <c:v>30.37019645840379</c:v>
                </c:pt>
                <c:pt idx="1">
                  <c:v>30.369949450308052</c:v>
                </c:pt>
                <c:pt idx="2">
                  <c:v>30.369537801365389</c:v>
                </c:pt>
                <c:pt idx="3">
                  <c:v>30.368961558388747</c:v>
                </c:pt>
                <c:pt idx="4">
                  <c:v>30.368220786891385</c:v>
                </c:pt>
                <c:pt idx="5">
                  <c:v>30.367315571062093</c:v>
                </c:pt>
                <c:pt idx="6">
                  <c:v>30.366246013733281</c:v>
                </c:pt>
                <c:pt idx="7">
                  <c:v>30.365012236342114</c:v>
                </c:pt>
                <c:pt idx="8">
                  <c:v>30.363614378884563</c:v>
                </c:pt>
                <c:pt idx="9">
                  <c:v>30.362052599862576</c:v>
                </c:pt>
                <c:pt idx="10">
                  <c:v>30.337467085623985</c:v>
                </c:pt>
                <c:pt idx="11">
                  <c:v>30.296798009215419</c:v>
                </c:pt>
                <c:pt idx="12">
                  <c:v>30.240493624404422</c:v>
                </c:pt>
                <c:pt idx="13">
                  <c:v>30.16915858992185</c:v>
                </c:pt>
                <c:pt idx="14">
                  <c:v>30.083533138337927</c:v>
                </c:pt>
                <c:pt idx="15">
                  <c:v>29.984468951514316</c:v>
                </c:pt>
                <c:pt idx="16">
                  <c:v>29.872903284388698</c:v>
                </c:pt>
                <c:pt idx="17">
                  <c:v>29.749832821878943</c:v>
                </c:pt>
                <c:pt idx="18">
                  <c:v>29.616288570461879</c:v>
                </c:pt>
                <c:pt idx="19">
                  <c:v>27.919154350511036</c:v>
                </c:pt>
                <c:pt idx="20">
                  <c:v>26.04643541115442</c:v>
                </c:pt>
                <c:pt idx="21">
                  <c:v>24.313441719431786</c:v>
                </c:pt>
                <c:pt idx="22">
                  <c:v>22.781260016670398</c:v>
                </c:pt>
                <c:pt idx="23">
                  <c:v>21.435208116564173</c:v>
                </c:pt>
                <c:pt idx="24">
                  <c:v>20.246065716901352</c:v>
                </c:pt>
                <c:pt idx="25">
                  <c:v>19.186288451788137</c:v>
                </c:pt>
                <c:pt idx="26">
                  <c:v>18.233196814567808</c:v>
                </c:pt>
                <c:pt idx="27">
                  <c:v>17.368788622903221</c:v>
                </c:pt>
                <c:pt idx="28">
                  <c:v>11.514524928038911</c:v>
                </c:pt>
                <c:pt idx="29">
                  <c:v>8.0242143030230775</c:v>
                </c:pt>
                <c:pt idx="30">
                  <c:v>5.5365239154444277</c:v>
                </c:pt>
                <c:pt idx="31">
                  <c:v>3.6034637166209924</c:v>
                </c:pt>
                <c:pt idx="32">
                  <c:v>2.0226334797056529</c:v>
                </c:pt>
                <c:pt idx="33">
                  <c:v>0.68538366293710395</c:v>
                </c:pt>
                <c:pt idx="34">
                  <c:v>-0.47336066308539848</c:v>
                </c:pt>
                <c:pt idx="35">
                  <c:v>-1.4956604891527172</c:v>
                </c:pt>
                <c:pt idx="36">
                  <c:v>-2.41027330463531</c:v>
                </c:pt>
                <c:pt idx="37">
                  <c:v>-8.4291557990361436</c:v>
                </c:pt>
                <c:pt idx="38">
                  <c:v>-11.950662865073284</c:v>
                </c:pt>
                <c:pt idx="39">
                  <c:v>-14.449326251457297</c:v>
                </c:pt>
                <c:pt idx="40">
                  <c:v>-16.387474973461437</c:v>
                </c:pt>
                <c:pt idx="41">
                  <c:v>-17.971071898121686</c:v>
                </c:pt>
                <c:pt idx="42">
                  <c:v>-19.309990809765505</c:v>
                </c:pt>
                <c:pt idx="43">
                  <c:v>-20.469818792886336</c:v>
                </c:pt>
                <c:pt idx="44">
                  <c:v>-21.492861730123664</c:v>
                </c:pt>
                <c:pt idx="45">
                  <c:v>-22.408006168247002</c:v>
                </c:pt>
                <c:pt idx="46">
                  <c:v>-28.428588901733214</c:v>
                </c:pt>
                <c:pt idx="47">
                  <c:v>-31.950410901396161</c:v>
                </c:pt>
                <c:pt idx="48">
                  <c:v>-34.449184520053869</c:v>
                </c:pt>
                <c:pt idx="49">
                  <c:v>-36.387384264819637</c:v>
                </c:pt>
                <c:pt idx="50">
                  <c:v>-37.971008905804254</c:v>
                </c:pt>
                <c:pt idx="51">
                  <c:v>-39.309944529604707</c:v>
                </c:pt>
                <c:pt idx="52">
                  <c:v>-40.469783359593087</c:v>
                </c:pt>
                <c:pt idx="53">
                  <c:v>-41.492833733423062</c:v>
                </c:pt>
                <c:pt idx="54">
                  <c:v>-42.407983490905352</c:v>
                </c:pt>
              </c:numCache>
            </c:numRef>
          </c:yVal>
          <c:smooth val="0"/>
          <c:extLst>
            <c:ext xmlns:c16="http://schemas.microsoft.com/office/drawing/2014/chart" uri="{C3380CC4-5D6E-409C-BE32-E72D297353CC}">
              <c16:uniqueId val="{00000000-BE76-4C4F-BF8D-74A9386887E7}"/>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Comparator!$C$10</c:f>
              <c:strCache>
                <c:ptCount val="1"/>
                <c:pt idx="0">
                  <c:v>Vin(+)</c:v>
                </c:pt>
              </c:strCache>
            </c:strRef>
          </c:tx>
          <c:spPr>
            <a:ln>
              <a:solidFill>
                <a:schemeClr val="tx1"/>
              </a:solidFill>
            </a:ln>
          </c:spPr>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Comparator!$C$11:$C$64</c:f>
              <c:numCache>
                <c:formatCode>General</c:formatCode>
                <c:ptCount val="54"/>
                <c:pt idx="0">
                  <c:v>1</c:v>
                </c:pt>
                <c:pt idx="1">
                  <c:v>1.479425538604203</c:v>
                </c:pt>
                <c:pt idx="2">
                  <c:v>1.8414709848078965</c:v>
                </c:pt>
                <c:pt idx="3">
                  <c:v>1.9974949866040546</c:v>
                </c:pt>
                <c:pt idx="4">
                  <c:v>1.9092974268256817</c:v>
                </c:pt>
                <c:pt idx="5">
                  <c:v>1.5984721441039564</c:v>
                </c:pt>
                <c:pt idx="6">
                  <c:v>1.1411200080598671</c:v>
                </c:pt>
                <c:pt idx="7">
                  <c:v>0.64921677231038011</c:v>
                </c:pt>
                <c:pt idx="8">
                  <c:v>0.2431975046920718</c:v>
                </c:pt>
                <c:pt idx="9">
                  <c:v>2.2469882334902991E-2</c:v>
                </c:pt>
                <c:pt idx="10">
                  <c:v>4.1075725336861546E-2</c:v>
                </c:pt>
                <c:pt idx="11">
                  <c:v>0.29445967442960808</c:v>
                </c:pt>
                <c:pt idx="12">
                  <c:v>0.72058450180107414</c:v>
                </c:pt>
                <c:pt idx="13">
                  <c:v>1.2151199880878156</c:v>
                </c:pt>
                <c:pt idx="14">
                  <c:v>1.6569865987187891</c:v>
                </c:pt>
                <c:pt idx="15">
                  <c:v>1.9379999767747389</c:v>
                </c:pt>
                <c:pt idx="16">
                  <c:v>1.9893582466233819</c:v>
                </c:pt>
                <c:pt idx="17">
                  <c:v>1.7984871126234903</c:v>
                </c:pt>
                <c:pt idx="18">
                  <c:v>1.4121184852417565</c:v>
                </c:pt>
                <c:pt idx="19">
                  <c:v>0.92484887953819073</c:v>
                </c:pt>
                <c:pt idx="20">
                  <c:v>0.45597888911063023</c:v>
                </c:pt>
                <c:pt idx="21">
                  <c:v>0.12030424002832996</c:v>
                </c:pt>
                <c:pt idx="22">
                  <c:v>9.7934492965245923E-6</c:v>
                </c:pt>
                <c:pt idx="23">
                  <c:v>0.12454782531157149</c:v>
                </c:pt>
                <c:pt idx="24">
                  <c:v>0.46342708199956506</c:v>
                </c:pt>
                <c:pt idx="25">
                  <c:v>0.93367810264879936</c:v>
                </c:pt>
                <c:pt idx="26">
                  <c:v>1.420167036826641</c:v>
                </c:pt>
                <c:pt idx="27">
                  <c:v>1.803784426551621</c:v>
                </c:pt>
                <c:pt idx="28">
                  <c:v>1.9906073556948702</c:v>
                </c:pt>
                <c:pt idx="29">
                  <c:v>1.9348950555246831</c:v>
                </c:pt>
                <c:pt idx="30">
                  <c:v>1.6502878401571168</c:v>
                </c:pt>
                <c:pt idx="31">
                  <c:v>1.2064674819377965</c:v>
                </c:pt>
                <c:pt idx="32">
                  <c:v>0.7120966833349347</c:v>
                </c:pt>
                <c:pt idx="33">
                  <c:v>0.28821465763087695</c:v>
                </c:pt>
                <c:pt idx="34">
                  <c:v>3.8602508120443191E-2</c:v>
                </c:pt>
                <c:pt idx="35">
                  <c:v>2.4373994531842413E-2</c:v>
                </c:pt>
                <c:pt idx="36">
                  <c:v>0.24901275322832395</c:v>
                </c:pt>
                <c:pt idx="37">
                  <c:v>0.65751938153038747</c:v>
                </c:pt>
              </c:numCache>
            </c:numRef>
          </c:yVal>
          <c:smooth val="1"/>
          <c:extLst>
            <c:ext xmlns:c16="http://schemas.microsoft.com/office/drawing/2014/chart" uri="{C3380CC4-5D6E-409C-BE32-E72D297353CC}">
              <c16:uniqueId val="{00000000-8F57-4986-8044-531532EE6A2E}"/>
            </c:ext>
          </c:extLst>
        </c:ser>
        <c:ser>
          <c:idx val="2"/>
          <c:order val="1"/>
          <c:tx>
            <c:strRef>
              <c:f>Comparator!$E$10</c:f>
              <c:strCache>
                <c:ptCount val="1"/>
                <c:pt idx="0">
                  <c:v>Vin(-)</c:v>
                </c:pt>
              </c:strCache>
            </c:strRef>
          </c:tx>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Comparator!$E$11:$E$64</c:f>
              <c:numCache>
                <c:formatCode>General</c:formatCode>
                <c:ptCount val="5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numCache>
            </c:numRef>
          </c:yVal>
          <c:smooth val="1"/>
          <c:extLst>
            <c:ext xmlns:c16="http://schemas.microsoft.com/office/drawing/2014/chart" uri="{C3380CC4-5D6E-409C-BE32-E72D297353CC}">
              <c16:uniqueId val="{00000002-8F57-4986-8044-531532EE6A2E}"/>
            </c:ext>
          </c:extLst>
        </c:ser>
        <c:ser>
          <c:idx val="1"/>
          <c:order val="2"/>
          <c:tx>
            <c:strRef>
              <c:f>Comparator!$D$10</c:f>
              <c:strCache>
                <c:ptCount val="1"/>
                <c:pt idx="0">
                  <c:v>Vout</c:v>
                </c:pt>
              </c:strCache>
            </c:strRef>
          </c:tx>
          <c:spPr>
            <a:ln>
              <a:solidFill>
                <a:srgbClr val="C00000"/>
              </a:solidFill>
              <a:prstDash val="dash"/>
            </a:ln>
          </c:spPr>
          <c:marker>
            <c:symbol val="none"/>
          </c:marker>
          <c:xVal>
            <c:numRef>
              <c:f>Comparator!$B$11:$B$64</c:f>
              <c:numCache>
                <c:formatCode>General</c:formatCode>
                <c:ptCount val="54"/>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numCache>
            </c:numRef>
          </c:xVal>
          <c:yVal>
            <c:numRef>
              <c:f>Comparator!$D$11:$D$64</c:f>
              <c:numCache>
                <c:formatCode>General</c:formatCode>
                <c:ptCount val="54"/>
                <c:pt idx="0">
                  <c:v>1.3</c:v>
                </c:pt>
                <c:pt idx="1">
                  <c:v>3.7</c:v>
                </c:pt>
                <c:pt idx="2">
                  <c:v>3.7</c:v>
                </c:pt>
                <c:pt idx="3">
                  <c:v>3.7</c:v>
                </c:pt>
                <c:pt idx="4">
                  <c:v>3.7</c:v>
                </c:pt>
                <c:pt idx="5">
                  <c:v>3.7</c:v>
                </c:pt>
                <c:pt idx="6">
                  <c:v>3.7</c:v>
                </c:pt>
                <c:pt idx="7">
                  <c:v>1.3</c:v>
                </c:pt>
                <c:pt idx="8">
                  <c:v>1.3</c:v>
                </c:pt>
                <c:pt idx="9">
                  <c:v>1.3</c:v>
                </c:pt>
                <c:pt idx="10">
                  <c:v>1.3</c:v>
                </c:pt>
                <c:pt idx="11">
                  <c:v>1.3</c:v>
                </c:pt>
                <c:pt idx="12">
                  <c:v>1.3</c:v>
                </c:pt>
                <c:pt idx="13">
                  <c:v>3.7</c:v>
                </c:pt>
                <c:pt idx="14">
                  <c:v>3.7</c:v>
                </c:pt>
                <c:pt idx="15">
                  <c:v>3.7</c:v>
                </c:pt>
                <c:pt idx="16">
                  <c:v>3.7</c:v>
                </c:pt>
                <c:pt idx="17">
                  <c:v>3.7</c:v>
                </c:pt>
                <c:pt idx="18">
                  <c:v>3.7</c:v>
                </c:pt>
                <c:pt idx="19">
                  <c:v>1.3</c:v>
                </c:pt>
                <c:pt idx="20">
                  <c:v>1.3</c:v>
                </c:pt>
                <c:pt idx="21">
                  <c:v>1.3</c:v>
                </c:pt>
                <c:pt idx="22">
                  <c:v>1.3</c:v>
                </c:pt>
                <c:pt idx="23">
                  <c:v>1.3</c:v>
                </c:pt>
                <c:pt idx="24">
                  <c:v>1.3</c:v>
                </c:pt>
                <c:pt idx="25">
                  <c:v>1.3</c:v>
                </c:pt>
                <c:pt idx="26">
                  <c:v>3.7</c:v>
                </c:pt>
                <c:pt idx="27">
                  <c:v>3.7</c:v>
                </c:pt>
                <c:pt idx="28">
                  <c:v>3.7</c:v>
                </c:pt>
                <c:pt idx="29">
                  <c:v>3.7</c:v>
                </c:pt>
                <c:pt idx="30">
                  <c:v>3.7</c:v>
                </c:pt>
                <c:pt idx="31">
                  <c:v>3.7</c:v>
                </c:pt>
                <c:pt idx="32">
                  <c:v>1.3</c:v>
                </c:pt>
                <c:pt idx="33">
                  <c:v>1.3</c:v>
                </c:pt>
                <c:pt idx="34">
                  <c:v>1.3</c:v>
                </c:pt>
                <c:pt idx="35">
                  <c:v>1.3</c:v>
                </c:pt>
                <c:pt idx="36">
                  <c:v>1.3</c:v>
                </c:pt>
                <c:pt idx="37">
                  <c:v>1.3</c:v>
                </c:pt>
              </c:numCache>
            </c:numRef>
          </c:yVal>
          <c:smooth val="0"/>
          <c:extLst>
            <c:ext xmlns:c16="http://schemas.microsoft.com/office/drawing/2014/chart" uri="{C3380CC4-5D6E-409C-BE32-E72D297353CC}">
              <c16:uniqueId val="{00000001-8F57-4986-8044-531532EE6A2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0855531754150956"/>
          <c:w val="0.20480342464145324"/>
          <c:h val="0.1914446824584903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NonInv!$C$9</c:f>
              <c:strCache>
                <c:ptCount val="1"/>
                <c:pt idx="0">
                  <c:v>Vin(+)</c:v>
                </c:pt>
              </c:strCache>
            </c:strRef>
          </c:tx>
          <c:spPr>
            <a:ln>
              <a:solidFill>
                <a:schemeClr val="tx1"/>
              </a:solidFill>
            </a:ln>
          </c:spPr>
          <c:marker>
            <c:symbol val="none"/>
          </c:marker>
          <c:xVal>
            <c:numRef>
              <c:f>NonInv!$B$10:$B$35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0CE7-42C9-B9AE-6759777176AE}"/>
            </c:ext>
          </c:extLst>
        </c:ser>
        <c:ser>
          <c:idx val="1"/>
          <c:order val="1"/>
          <c:tx>
            <c:strRef>
              <c:f>NonInv!$E$9</c:f>
              <c:strCache>
                <c:ptCount val="1"/>
                <c:pt idx="0">
                  <c:v>Vout</c:v>
                </c:pt>
              </c:strCache>
            </c:strRef>
          </c:tx>
          <c:spPr>
            <a:ln>
              <a:solidFill>
                <a:srgbClr val="C00000"/>
              </a:solidFill>
              <a:prstDash val="dash"/>
            </a:ln>
          </c:spPr>
          <c:marker>
            <c:symbol val="none"/>
          </c:marker>
          <c:xVal>
            <c:numRef>
              <c:f>NonInv!$B$10:$B$35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NonInv!$E$10:$E$35</c:f>
              <c:numCache>
                <c:formatCode>General</c:formatCode>
                <c:ptCount val="26"/>
                <c:pt idx="0">
                  <c:v>1.2</c:v>
                </c:pt>
                <c:pt idx="1">
                  <c:v>1.2</c:v>
                </c:pt>
                <c:pt idx="2">
                  <c:v>1.5893546463604897</c:v>
                </c:pt>
                <c:pt idx="3">
                  <c:v>3.8</c:v>
                </c:pt>
                <c:pt idx="4">
                  <c:v>3.8</c:v>
                </c:pt>
                <c:pt idx="5">
                  <c:v>1.2</c:v>
                </c:pt>
                <c:pt idx="6">
                  <c:v>1.2</c:v>
                </c:pt>
                <c:pt idx="7">
                  <c:v>1.2</c:v>
                </c:pt>
                <c:pt idx="8">
                  <c:v>1.2</c:v>
                </c:pt>
                <c:pt idx="9">
                  <c:v>3.8</c:v>
                </c:pt>
                <c:pt idx="10">
                  <c:v>3.8</c:v>
                </c:pt>
                <c:pt idx="11">
                  <c:v>1.7831193128019811</c:v>
                </c:pt>
                <c:pt idx="12">
                  <c:v>1.2</c:v>
                </c:pt>
                <c:pt idx="13">
                  <c:v>1.2</c:v>
                </c:pt>
                <c:pt idx="14">
                  <c:v>1.2</c:v>
                </c:pt>
                <c:pt idx="15">
                  <c:v>3.8</c:v>
                </c:pt>
                <c:pt idx="16">
                  <c:v>3.8</c:v>
                </c:pt>
                <c:pt idx="17">
                  <c:v>3.8</c:v>
                </c:pt>
                <c:pt idx="18">
                  <c:v>1.2</c:v>
                </c:pt>
                <c:pt idx="19">
                  <c:v>1.2</c:v>
                </c:pt>
                <c:pt idx="20">
                  <c:v>1.2</c:v>
                </c:pt>
                <c:pt idx="21">
                  <c:v>2.7465194305591631</c:v>
                </c:pt>
                <c:pt idx="22">
                  <c:v>3.8</c:v>
                </c:pt>
                <c:pt idx="23">
                  <c:v>3.8</c:v>
                </c:pt>
                <c:pt idx="24">
                  <c:v>1.2</c:v>
                </c:pt>
                <c:pt idx="25">
                  <c:v>1.2</c:v>
                </c:pt>
              </c:numCache>
            </c:numRef>
          </c:yVal>
          <c:smooth val="1"/>
          <c:extLst>
            <c:ext xmlns:c16="http://schemas.microsoft.com/office/drawing/2014/chart" uri="{C3380CC4-5D6E-409C-BE32-E72D297353CC}">
              <c16:uniqueId val="{00000001-0CE7-42C9-B9AE-6759777176A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CMC'!$C$18</c:f>
              <c:strCache>
                <c:ptCount val="1"/>
                <c:pt idx="0">
                  <c:v>Vin(+)</c:v>
                </c:pt>
              </c:strCache>
            </c:strRef>
          </c:tx>
          <c:spPr>
            <a:ln>
              <a:solidFill>
                <a:schemeClr val="tx1"/>
              </a:solidFill>
            </a:ln>
          </c:spPr>
          <c:marker>
            <c:symbol val="none"/>
          </c:marker>
          <c:xVal>
            <c:numRef>
              <c:f>'NonInv CMC'!$B$19:$B$44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CMC'!$C$19:$C$44</c:f>
              <c:numCache>
                <c:formatCode>General</c:formatCode>
                <c:ptCount val="26"/>
                <c:pt idx="0">
                  <c:v>0.27180524785821303</c:v>
                </c:pt>
                <c:pt idx="1">
                  <c:v>0.28430216352780469</c:v>
                </c:pt>
                <c:pt idx="2">
                  <c:v>0.29667421414695694</c:v>
                </c:pt>
                <c:pt idx="3">
                  <c:v>0.38847574005723767</c:v>
                </c:pt>
                <c:pt idx="4">
                  <c:v>0.37301095349327673</c:v>
                </c:pt>
                <c:pt idx="5">
                  <c:v>0.26449810790246259</c:v>
                </c:pt>
                <c:pt idx="6">
                  <c:v>0.16270341308836295</c:v>
                </c:pt>
                <c:pt idx="7">
                  <c:v>0.16121644201277391</c:v>
                </c:pt>
                <c:pt idx="8">
                  <c:v>0.26140430902507356</c:v>
                </c:pt>
                <c:pt idx="9">
                  <c:v>0.37115475123417474</c:v>
                </c:pt>
                <c:pt idx="10">
                  <c:v>0.38956371821312574</c:v>
                </c:pt>
                <c:pt idx="11">
                  <c:v>0.29970609061878006</c:v>
                </c:pt>
                <c:pt idx="12">
                  <c:v>0.18419655686169784</c:v>
                </c:pt>
                <c:pt idx="13">
                  <c:v>0.14923404957863298</c:v>
                </c:pt>
                <c:pt idx="14">
                  <c:v>0.22696293672777212</c:v>
                </c:pt>
                <c:pt idx="15">
                  <c:v>0.34591963792932556</c:v>
                </c:pt>
                <c:pt idx="16">
                  <c:v>0.39673591069551961</c:v>
                </c:pt>
                <c:pt idx="17">
                  <c:v>0.33269150819636428</c:v>
                </c:pt>
                <c:pt idx="18">
                  <c:v>0.21266855873368837</c:v>
                </c:pt>
                <c:pt idx="19">
                  <c:v>0.14701560852928577</c:v>
                </c:pt>
                <c:pt idx="20">
                  <c:v>0.19609367722699189</c:v>
                </c:pt>
                <c:pt idx="21">
                  <c:v>0.31478061480124564</c:v>
                </c:pt>
                <c:pt idx="22">
                  <c:v>0.39395619819913408</c:v>
                </c:pt>
                <c:pt idx="23">
                  <c:v>0.36082676118154888</c:v>
                </c:pt>
                <c:pt idx="24">
                  <c:v>0.24585135535823138</c:v>
                </c:pt>
                <c:pt idx="25">
                  <c:v>0.15473783860688933</c:v>
                </c:pt>
              </c:numCache>
            </c:numRef>
          </c:yVal>
          <c:smooth val="1"/>
          <c:extLst>
            <c:ext xmlns:c16="http://schemas.microsoft.com/office/drawing/2014/chart" uri="{C3380CC4-5D6E-409C-BE32-E72D297353CC}">
              <c16:uniqueId val="{00000000-042C-4C13-AFE6-1A092FB73266}"/>
            </c:ext>
          </c:extLst>
        </c:ser>
        <c:ser>
          <c:idx val="1"/>
          <c:order val="1"/>
          <c:tx>
            <c:strRef>
              <c:f>'NonInv CMC'!$E$18</c:f>
              <c:strCache>
                <c:ptCount val="1"/>
                <c:pt idx="0">
                  <c:v>Vout</c:v>
                </c:pt>
              </c:strCache>
            </c:strRef>
          </c:tx>
          <c:spPr>
            <a:ln>
              <a:solidFill>
                <a:srgbClr val="C00000"/>
              </a:solidFill>
              <a:prstDash val="dash"/>
            </a:ln>
          </c:spPr>
          <c:marker>
            <c:symbol val="none"/>
          </c:marker>
          <c:xVal>
            <c:numRef>
              <c:f>'NonInv CMC'!$B$19:$B$44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CMC'!$E$19:$E$44</c:f>
              <c:numCache>
                <c:formatCode>General</c:formatCode>
                <c:ptCount val="26"/>
                <c:pt idx="0">
                  <c:v>1.793914635864206</c:v>
                </c:pt>
                <c:pt idx="1">
                  <c:v>1.8763942792835109</c:v>
                </c:pt>
                <c:pt idx="2">
                  <c:v>1.9580498133699158</c:v>
                </c:pt>
                <c:pt idx="3">
                  <c:v>2.5639398843777683</c:v>
                </c:pt>
                <c:pt idx="4">
                  <c:v>2.4618722930556265</c:v>
                </c:pt>
                <c:pt idx="5">
                  <c:v>1.745687512156253</c:v>
                </c:pt>
                <c:pt idx="6">
                  <c:v>1.0738425263831954</c:v>
                </c:pt>
                <c:pt idx="7">
                  <c:v>1.0640285172843078</c:v>
                </c:pt>
                <c:pt idx="8">
                  <c:v>1.7252684395654854</c:v>
                </c:pt>
                <c:pt idx="9">
                  <c:v>2.4496213581455533</c:v>
                </c:pt>
                <c:pt idx="10">
                  <c:v>2.5711205402066297</c:v>
                </c:pt>
                <c:pt idx="11">
                  <c:v>1.9780601980839483</c:v>
                </c:pt>
                <c:pt idx="12">
                  <c:v>1.2156972752872057</c:v>
                </c:pt>
                <c:pt idx="13">
                  <c:v>0.98494472721897763</c:v>
                </c:pt>
                <c:pt idx="14">
                  <c:v>1.4979553824032958</c:v>
                </c:pt>
                <c:pt idx="15">
                  <c:v>2.2830696103335484</c:v>
                </c:pt>
                <c:pt idx="16">
                  <c:v>2.6184570105904292</c:v>
                </c:pt>
                <c:pt idx="17">
                  <c:v>2.1957639540960043</c:v>
                </c:pt>
                <c:pt idx="18">
                  <c:v>1.4036124876423433</c:v>
                </c:pt>
                <c:pt idx="19">
                  <c:v>0.97030301629328608</c:v>
                </c:pt>
                <c:pt idx="20">
                  <c:v>1.2942182696981464</c:v>
                </c:pt>
                <c:pt idx="21">
                  <c:v>2.0775520576882212</c:v>
                </c:pt>
                <c:pt idx="22">
                  <c:v>2.6001109081142846</c:v>
                </c:pt>
                <c:pt idx="23">
                  <c:v>2.3814566237982224</c:v>
                </c:pt>
                <c:pt idx="24">
                  <c:v>1.6226189453643269</c:v>
                </c:pt>
                <c:pt idx="25">
                  <c:v>1.0212697348054696</c:v>
                </c:pt>
              </c:numCache>
            </c:numRef>
          </c:yVal>
          <c:smooth val="1"/>
          <c:extLst>
            <c:ext xmlns:c16="http://schemas.microsoft.com/office/drawing/2014/chart" uri="{C3380CC4-5D6E-409C-BE32-E72D297353CC}">
              <c16:uniqueId val="{00000001-042C-4C13-AFE6-1A092FB73266}"/>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211133492034425"/>
          <c:y val="0.68555986243073286"/>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Vout vs. Rprobe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899759405074368"/>
          <c:y val="0.13751357859117791"/>
          <c:w val="0.78511351706036736"/>
          <c:h val="0.69166635770293294"/>
        </c:manualLayout>
      </c:layout>
      <c:scatterChart>
        <c:scatterStyle val="lineMarker"/>
        <c:varyColors val="0"/>
        <c:ser>
          <c:idx val="0"/>
          <c:order val="0"/>
          <c:tx>
            <c:strRef>
              <c:f>'NonInv CMC'!$C$48</c:f>
              <c:strCache>
                <c:ptCount val="1"/>
                <c:pt idx="0">
                  <c:v>Vin(+)</c:v>
                </c:pt>
              </c:strCache>
            </c:strRef>
          </c:tx>
          <c:spPr>
            <a:ln w="19050" cap="rnd">
              <a:noFill/>
              <a:round/>
            </a:ln>
            <a:effectLst/>
          </c:spPr>
          <c:marker>
            <c:symbol val="circle"/>
            <c:size val="5"/>
            <c:spPr>
              <a:solidFill>
                <a:schemeClr val="accent1"/>
              </a:solidFill>
              <a:ln w="9525">
                <a:solidFill>
                  <a:schemeClr val="accent1"/>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CMC'!$C$49:$C$74</c:f>
              <c:numCache>
                <c:formatCode>General</c:formatCode>
                <c:ptCount val="26"/>
                <c:pt idx="0">
                  <c:v>0.14662756598240467</c:v>
                </c:pt>
                <c:pt idx="1">
                  <c:v>0.15042208436873866</c:v>
                </c:pt>
                <c:pt idx="2">
                  <c:v>0.15441821393717031</c:v>
                </c:pt>
                <c:pt idx="3">
                  <c:v>0.15863246127781622</c:v>
                </c:pt>
                <c:pt idx="4">
                  <c:v>0.16308318547124517</c:v>
                </c:pt>
                <c:pt idx="5">
                  <c:v>0.16779086546528404</c:v>
                </c:pt>
                <c:pt idx="6">
                  <c:v>0.17277841513815362</c:v>
                </c:pt>
                <c:pt idx="7">
                  <c:v>0.17807155627417323</c:v>
                </c:pt>
                <c:pt idx="8">
                  <c:v>0.18369926226376276</c:v>
                </c:pt>
                <c:pt idx="9">
                  <c:v>0.18969428868435628</c:v>
                </c:pt>
                <c:pt idx="10">
                  <c:v>0.19609381127931605</c:v>
                </c:pt>
                <c:pt idx="11">
                  <c:v>0.20294019758257642</c:v>
                </c:pt>
                <c:pt idx="12">
                  <c:v>0.21028194603324141</c:v>
                </c:pt>
                <c:pt idx="13">
                  <c:v>0.21817483658704742</c:v>
                </c:pt>
                <c:pt idx="14">
                  <c:v>0.22668335056126804</c:v>
                </c:pt>
                <c:pt idx="15">
                  <c:v>0.23588243619380106</c:v>
                </c:pt>
                <c:pt idx="16">
                  <c:v>0.24585972227685779</c:v>
                </c:pt>
                <c:pt idx="17">
                  <c:v>0.25671831839232728</c:v>
                </c:pt>
                <c:pt idx="18">
                  <c:v>0.26858039148277874</c:v>
                </c:pt>
                <c:pt idx="19">
                  <c:v>0.2815917820254335</c:v>
                </c:pt>
                <c:pt idx="20">
                  <c:v>0.29592803030303044</c:v>
                </c:pt>
                <c:pt idx="21">
                  <c:v>0.31180234225919523</c:v>
                </c:pt>
                <c:pt idx="22">
                  <c:v>0.32947626452990347</c:v>
                </c:pt>
                <c:pt idx="23">
                  <c:v>0.34927420819537019</c:v>
                </c:pt>
                <c:pt idx="24">
                  <c:v>0.37160354361139208</c:v>
                </c:pt>
                <c:pt idx="25">
                  <c:v>0.39698292973402172</c:v>
                </c:pt>
              </c:numCache>
            </c:numRef>
          </c:yVal>
          <c:smooth val="0"/>
          <c:extLst>
            <c:ext xmlns:c16="http://schemas.microsoft.com/office/drawing/2014/chart" uri="{C3380CC4-5D6E-409C-BE32-E72D297353CC}">
              <c16:uniqueId val="{00000000-F7F6-46C9-95FE-EDED4FF58BB0}"/>
            </c:ext>
          </c:extLst>
        </c:ser>
        <c:ser>
          <c:idx val="1"/>
          <c:order val="1"/>
          <c:tx>
            <c:strRef>
              <c:f>'NonInv CMC'!$D$48</c:f>
              <c:strCache>
                <c:ptCount val="1"/>
                <c:pt idx="0">
                  <c:v>Vout</c:v>
                </c:pt>
              </c:strCache>
            </c:strRef>
          </c:tx>
          <c:spPr>
            <a:ln w="19050" cap="rnd">
              <a:noFill/>
              <a:round/>
            </a:ln>
            <a:effectLst/>
          </c:spPr>
          <c:marker>
            <c:symbol val="circle"/>
            <c:size val="5"/>
            <c:spPr>
              <a:solidFill>
                <a:schemeClr val="accent2"/>
              </a:solidFill>
              <a:ln w="9525">
                <a:solidFill>
                  <a:schemeClr val="accent2"/>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CMC'!$D$49:$D$74</c:f>
              <c:numCache>
                <c:formatCode>General</c:formatCode>
                <c:ptCount val="26"/>
                <c:pt idx="0">
                  <c:v>0.96774193548387077</c:v>
                </c:pt>
                <c:pt idx="1">
                  <c:v>0.99278575683367509</c:v>
                </c:pt>
                <c:pt idx="2">
                  <c:v>1.019160211985324</c:v>
                </c:pt>
                <c:pt idx="3">
                  <c:v>1.046974244433587</c:v>
                </c:pt>
                <c:pt idx="4">
                  <c:v>1.076349024110218</c:v>
                </c:pt>
                <c:pt idx="5">
                  <c:v>1.1074197120708746</c:v>
                </c:pt>
                <c:pt idx="6">
                  <c:v>1.1403375399118139</c:v>
                </c:pt>
                <c:pt idx="7">
                  <c:v>1.1752722714095432</c:v>
                </c:pt>
                <c:pt idx="8">
                  <c:v>1.2124151309408342</c:v>
                </c:pt>
                <c:pt idx="9">
                  <c:v>1.2519823053167514</c:v>
                </c:pt>
                <c:pt idx="10">
                  <c:v>1.2942191544434858</c:v>
                </c:pt>
                <c:pt idx="11">
                  <c:v>1.3394053040450042</c:v>
                </c:pt>
                <c:pt idx="12">
                  <c:v>1.3878608438193931</c:v>
                </c:pt>
                <c:pt idx="13">
                  <c:v>1.439953921474513</c:v>
                </c:pt>
                <c:pt idx="14">
                  <c:v>1.4961101137043689</c:v>
                </c:pt>
                <c:pt idx="15">
                  <c:v>1.5568240788790868</c:v>
                </c:pt>
                <c:pt idx="16">
                  <c:v>1.6226741670272613</c:v>
                </c:pt>
                <c:pt idx="17">
                  <c:v>1.69434090138936</c:v>
                </c:pt>
                <c:pt idx="18">
                  <c:v>1.7726305837863396</c:v>
                </c:pt>
                <c:pt idx="19">
                  <c:v>1.8585057613678611</c:v>
                </c:pt>
                <c:pt idx="20">
                  <c:v>1.9531250000000009</c:v>
                </c:pt>
                <c:pt idx="21">
                  <c:v>2.0578954589106884</c:v>
                </c:pt>
                <c:pt idx="22">
                  <c:v>2.1745433458973626</c:v>
                </c:pt>
                <c:pt idx="23">
                  <c:v>2.3052097740894433</c:v>
                </c:pt>
                <c:pt idx="24">
                  <c:v>2.4525833878351877</c:v>
                </c:pt>
                <c:pt idx="25">
                  <c:v>2.6200873362445432</c:v>
                </c:pt>
              </c:numCache>
            </c:numRef>
          </c:yVal>
          <c:smooth val="0"/>
          <c:extLst>
            <c:ext xmlns:c16="http://schemas.microsoft.com/office/drawing/2014/chart" uri="{C3380CC4-5D6E-409C-BE32-E72D297353CC}">
              <c16:uniqueId val="{00000001-F7F6-46C9-95FE-EDED4FF58BB0}"/>
            </c:ext>
          </c:extLst>
        </c:ser>
        <c:ser>
          <c:idx val="2"/>
          <c:order val="2"/>
          <c:tx>
            <c:strRef>
              <c:f>'NonInv CMC'!$E$48</c:f>
              <c:strCache>
                <c:ptCount val="1"/>
                <c:pt idx="0">
                  <c:v>Vout</c:v>
                </c:pt>
              </c:strCache>
            </c:strRef>
          </c:tx>
          <c:spPr>
            <a:ln w="19050" cap="rnd">
              <a:noFill/>
              <a:round/>
            </a:ln>
            <a:effectLst/>
          </c:spPr>
          <c:marker>
            <c:symbol val="circle"/>
            <c:size val="5"/>
            <c:spPr>
              <a:solidFill>
                <a:schemeClr val="accent3"/>
              </a:solidFill>
              <a:ln w="9525">
                <a:solidFill>
                  <a:schemeClr val="accent3"/>
                </a:solidFill>
              </a:ln>
              <a:effectLst/>
            </c:spPr>
          </c:marker>
          <c:xVal>
            <c:numRef>
              <c:f>'NonInv CMC'!$B$49:$B$74</c:f>
              <c:numCache>
                <c:formatCode>General</c:formatCode>
                <c:ptCount val="26"/>
                <c:pt idx="0">
                  <c:v>2100</c:v>
                </c:pt>
                <c:pt idx="1">
                  <c:v>2021.8</c:v>
                </c:pt>
                <c:pt idx="2">
                  <c:v>1943.6</c:v>
                </c:pt>
                <c:pt idx="3">
                  <c:v>1865.3999999999999</c:v>
                </c:pt>
                <c:pt idx="4">
                  <c:v>1787.1999999999998</c:v>
                </c:pt>
                <c:pt idx="5">
                  <c:v>1708.9999999999998</c:v>
                </c:pt>
                <c:pt idx="6">
                  <c:v>1630.7999999999997</c:v>
                </c:pt>
                <c:pt idx="7">
                  <c:v>1552.5999999999997</c:v>
                </c:pt>
                <c:pt idx="8">
                  <c:v>1474.3999999999996</c:v>
                </c:pt>
                <c:pt idx="9">
                  <c:v>1396.1999999999996</c:v>
                </c:pt>
                <c:pt idx="10">
                  <c:v>1317.9999999999995</c:v>
                </c:pt>
                <c:pt idx="11">
                  <c:v>1239.7999999999995</c:v>
                </c:pt>
                <c:pt idx="12">
                  <c:v>1161.5999999999995</c:v>
                </c:pt>
                <c:pt idx="13">
                  <c:v>1083.3999999999994</c:v>
                </c:pt>
                <c:pt idx="14">
                  <c:v>1005.1999999999994</c:v>
                </c:pt>
                <c:pt idx="15">
                  <c:v>926.99999999999932</c:v>
                </c:pt>
                <c:pt idx="16">
                  <c:v>848.79999999999927</c:v>
                </c:pt>
                <c:pt idx="17">
                  <c:v>770.59999999999923</c:v>
                </c:pt>
                <c:pt idx="18">
                  <c:v>692.39999999999918</c:v>
                </c:pt>
                <c:pt idx="19">
                  <c:v>614.19999999999914</c:v>
                </c:pt>
                <c:pt idx="20">
                  <c:v>535.99999999999909</c:v>
                </c:pt>
                <c:pt idx="21">
                  <c:v>457.7999999999991</c:v>
                </c:pt>
                <c:pt idx="22">
                  <c:v>379.59999999999911</c:v>
                </c:pt>
                <c:pt idx="23">
                  <c:v>301.39999999999912</c:v>
                </c:pt>
                <c:pt idx="24">
                  <c:v>223.19999999999914</c:v>
                </c:pt>
                <c:pt idx="25">
                  <c:v>144.99999999999915</c:v>
                </c:pt>
              </c:numCache>
            </c:numRef>
          </c:xVal>
          <c:yVal>
            <c:numRef>
              <c:f>'NonInv CMC'!$E$49:$E$74</c:f>
              <c:numCache>
                <c:formatCode>General</c:formatCode>
                <c:ptCount val="26"/>
                <c:pt idx="0">
                  <c:v>0.96774193548387077</c:v>
                </c:pt>
                <c:pt idx="1">
                  <c:v>0.99278575683367509</c:v>
                </c:pt>
                <c:pt idx="2">
                  <c:v>1.019160211985324</c:v>
                </c:pt>
                <c:pt idx="3">
                  <c:v>1.046974244433587</c:v>
                </c:pt>
                <c:pt idx="4">
                  <c:v>1.076349024110218</c:v>
                </c:pt>
                <c:pt idx="5">
                  <c:v>1.1074197120708746</c:v>
                </c:pt>
                <c:pt idx="6">
                  <c:v>1.1403375399118139</c:v>
                </c:pt>
                <c:pt idx="7">
                  <c:v>1.1752722714095432</c:v>
                </c:pt>
                <c:pt idx="8">
                  <c:v>1.2124151309408342</c:v>
                </c:pt>
                <c:pt idx="9">
                  <c:v>1.2519823053167514</c:v>
                </c:pt>
                <c:pt idx="10">
                  <c:v>1.2942191544434858</c:v>
                </c:pt>
                <c:pt idx="11">
                  <c:v>1.3394053040450042</c:v>
                </c:pt>
                <c:pt idx="12">
                  <c:v>1.3878608438193931</c:v>
                </c:pt>
                <c:pt idx="13">
                  <c:v>1.439953921474513</c:v>
                </c:pt>
                <c:pt idx="14">
                  <c:v>1.4961101137043689</c:v>
                </c:pt>
                <c:pt idx="15">
                  <c:v>1.5568240788790868</c:v>
                </c:pt>
                <c:pt idx="16">
                  <c:v>1.6226741670272613</c:v>
                </c:pt>
                <c:pt idx="17">
                  <c:v>1.69434090138936</c:v>
                </c:pt>
                <c:pt idx="18">
                  <c:v>1.7726305837863396</c:v>
                </c:pt>
                <c:pt idx="19">
                  <c:v>1.8585057613678611</c:v>
                </c:pt>
                <c:pt idx="20">
                  <c:v>1.9531250000000009</c:v>
                </c:pt>
                <c:pt idx="21">
                  <c:v>2.0578954589106884</c:v>
                </c:pt>
                <c:pt idx="22">
                  <c:v>2.1745433458973626</c:v>
                </c:pt>
                <c:pt idx="23">
                  <c:v>2.3052097740894433</c:v>
                </c:pt>
                <c:pt idx="24">
                  <c:v>2.4525833878351877</c:v>
                </c:pt>
                <c:pt idx="25">
                  <c:v>2.6200873362445432</c:v>
                </c:pt>
              </c:numCache>
            </c:numRef>
          </c:yVal>
          <c:smooth val="0"/>
          <c:extLst>
            <c:ext xmlns:c16="http://schemas.microsoft.com/office/drawing/2014/chart" uri="{C3380CC4-5D6E-409C-BE32-E72D297353CC}">
              <c16:uniqueId val="{00000002-F7F6-46C9-95FE-EDED4FF58BB0}"/>
            </c:ext>
          </c:extLst>
        </c:ser>
        <c:dLbls>
          <c:showLegendKey val="0"/>
          <c:showVal val="0"/>
          <c:showCatName val="0"/>
          <c:showSerName val="0"/>
          <c:showPercent val="0"/>
          <c:showBubbleSize val="0"/>
        </c:dLbls>
        <c:axId val="419771760"/>
        <c:axId val="419777584"/>
      </c:scatterChart>
      <c:valAx>
        <c:axId val="419771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77584"/>
        <c:crosses val="autoZero"/>
        <c:crossBetween val="midCat"/>
      </c:valAx>
      <c:valAx>
        <c:axId val="419777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aseline="0"/>
                  <a:t>Volts (V)</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7717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Thermocouple'!$C$18</c:f>
              <c:strCache>
                <c:ptCount val="1"/>
                <c:pt idx="0">
                  <c:v>Vin(+)</c:v>
                </c:pt>
              </c:strCache>
            </c:strRef>
          </c:tx>
          <c:spPr>
            <a:ln>
              <a:solidFill>
                <a:schemeClr val="tx1"/>
              </a:solidFill>
            </a:ln>
          </c:spPr>
          <c:marker>
            <c:symbol val="none"/>
          </c:marker>
          <c:xVal>
            <c:numRef>
              <c:f>'NonInv Thermocouple'!$B$19:$B$44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Thermocouple'!$C$19:$C$44</c:f>
              <c:numCache>
                <c:formatCode>General</c:formatCode>
                <c:ptCount val="26"/>
                <c:pt idx="0">
                  <c:v>4.0549999999999999E-4</c:v>
                </c:pt>
                <c:pt idx="1">
                  <c:v>4.851171497758455E-4</c:v>
                </c:pt>
                <c:pt idx="2">
                  <c:v>5.639387913090614E-4</c:v>
                </c:pt>
                <c:pt idx="3">
                  <c:v>1.1488011710588631E-3</c:v>
                </c:pt>
                <c:pt idx="4">
                  <c:v>1.0502758820461232E-3</c:v>
                </c:pt>
                <c:pt idx="5">
                  <c:v>3.5894662061650493E-4</c:v>
                </c:pt>
                <c:pt idx="6">
                  <c:v>-2.8958167849983663E-4</c:v>
                </c:pt>
                <c:pt idx="7">
                  <c:v>-2.9905508793682216E-4</c:v>
                </c:pt>
                <c:pt idx="8">
                  <c:v>3.3923620125304654E-4</c:v>
                </c:pt>
                <c:pt idx="9">
                  <c:v>1.0384501214196998E-3</c:v>
                </c:pt>
                <c:pt idx="10">
                  <c:v>1.1557326189521192E-3</c:v>
                </c:pt>
                <c:pt idx="11">
                  <c:v>5.8325470649494746E-4</c:v>
                </c:pt>
                <c:pt idx="12">
                  <c:v>-1.5265006335585002E-4</c:v>
                </c:pt>
                <c:pt idx="13">
                  <c:v>-3.7539423899817567E-4</c:v>
                </c:pt>
                <c:pt idx="14">
                  <c:v>1.1981214741612912E-4</c:v>
                </c:pt>
                <c:pt idx="15">
                  <c:v>8.776786279790106E-4</c:v>
                </c:pt>
                <c:pt idx="16">
                  <c:v>1.2014262555412986E-3</c:v>
                </c:pt>
                <c:pt idx="17">
                  <c:v>7.9340295436090532E-4</c:v>
                </c:pt>
                <c:pt idx="18">
                  <c:v>2.8743465847223175E-5</c:v>
                </c:pt>
                <c:pt idx="19">
                  <c:v>-3.8952780266817295E-4</c:v>
                </c:pt>
                <c:pt idx="20">
                  <c:v>-7.685417586901158E-5</c:v>
                </c:pt>
                <c:pt idx="21">
                  <c:v>6.792936557338666E-4</c:v>
                </c:pt>
                <c:pt idx="22">
                  <c:v>1.1837168629191632E-3</c:v>
                </c:pt>
                <c:pt idx="23">
                  <c:v>9.7265107526752089E-4</c:v>
                </c:pt>
                <c:pt idx="24">
                  <c:v>2.4014920456610992E-4</c:v>
                </c:pt>
                <c:pt idx="25">
                  <c:v>-3.4032990736764478E-4</c:v>
                </c:pt>
              </c:numCache>
            </c:numRef>
          </c:yVal>
          <c:smooth val="1"/>
          <c:extLst>
            <c:ext xmlns:c16="http://schemas.microsoft.com/office/drawing/2014/chart" uri="{C3380CC4-5D6E-409C-BE32-E72D297353CC}">
              <c16:uniqueId val="{00000000-B8D4-40C5-99BA-3B60717E8A3C}"/>
            </c:ext>
          </c:extLst>
        </c:ser>
        <c:ser>
          <c:idx val="1"/>
          <c:order val="1"/>
          <c:tx>
            <c:strRef>
              <c:f>'NonInv Thermocouple'!$E$18</c:f>
              <c:strCache>
                <c:ptCount val="1"/>
                <c:pt idx="0">
                  <c:v>Vout</c:v>
                </c:pt>
              </c:strCache>
            </c:strRef>
          </c:tx>
          <c:spPr>
            <a:ln>
              <a:solidFill>
                <a:srgbClr val="C00000"/>
              </a:solidFill>
              <a:prstDash val="dash"/>
            </a:ln>
          </c:spPr>
          <c:marker>
            <c:symbol val="none"/>
          </c:marker>
          <c:xVal>
            <c:numRef>
              <c:f>'NonInv Thermocouple'!$B$19:$B$44</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 Thermocouple'!$E$19:$E$44</c:f>
              <c:numCache>
                <c:formatCode>General</c:formatCode>
                <c:ptCount val="26"/>
                <c:pt idx="0">
                  <c:v>0.95590549999999985</c:v>
                </c:pt>
                <c:pt idx="1">
                  <c:v>1.0356022669256213</c:v>
                </c:pt>
                <c:pt idx="2">
                  <c:v>1.1145027301003703</c:v>
                </c:pt>
                <c:pt idx="3">
                  <c:v>1.6999499722299221</c:v>
                </c:pt>
                <c:pt idx="4">
                  <c:v>1.6013261579281695</c:v>
                </c:pt>
                <c:pt idx="5">
                  <c:v>0.9093055672371213</c:v>
                </c:pt>
                <c:pt idx="6">
                  <c:v>0.26012873982166346</c:v>
                </c:pt>
                <c:pt idx="7">
                  <c:v>0.25064585697524094</c:v>
                </c:pt>
                <c:pt idx="8">
                  <c:v>0.88957543745429946</c:v>
                </c:pt>
                <c:pt idx="9">
                  <c:v>1.5894885715411196</c:v>
                </c:pt>
                <c:pt idx="10">
                  <c:v>1.7068883515710711</c:v>
                </c:pt>
                <c:pt idx="11">
                  <c:v>1.1338379612014422</c:v>
                </c:pt>
                <c:pt idx="12">
                  <c:v>0.39719728658079406</c:v>
                </c:pt>
                <c:pt idx="13">
                  <c:v>0.17423036676282611</c:v>
                </c:pt>
                <c:pt idx="14">
                  <c:v>0.66993195956354512</c:v>
                </c:pt>
                <c:pt idx="15">
                  <c:v>1.4285563066069895</c:v>
                </c:pt>
                <c:pt idx="16">
                  <c:v>1.7526276817968398</c:v>
                </c:pt>
                <c:pt idx="17">
                  <c:v>1.3441963573152662</c:v>
                </c:pt>
                <c:pt idx="18">
                  <c:v>0.57877220931307038</c:v>
                </c:pt>
                <c:pt idx="19">
                  <c:v>0.16008266952915884</c:v>
                </c:pt>
                <c:pt idx="20">
                  <c:v>0.47306896995511932</c:v>
                </c:pt>
                <c:pt idx="21">
                  <c:v>1.2299729493896003</c:v>
                </c:pt>
                <c:pt idx="22">
                  <c:v>1.7349005797820825</c:v>
                </c:pt>
                <c:pt idx="23">
                  <c:v>1.5236237263427883</c:v>
                </c:pt>
                <c:pt idx="24">
                  <c:v>0.79038935377067598</c:v>
                </c:pt>
                <c:pt idx="25">
                  <c:v>0.20932976272498749</c:v>
                </c:pt>
              </c:numCache>
            </c:numRef>
          </c:yVal>
          <c:smooth val="1"/>
          <c:extLst>
            <c:ext xmlns:c16="http://schemas.microsoft.com/office/drawing/2014/chart" uri="{C3380CC4-5D6E-409C-BE32-E72D297353CC}">
              <c16:uniqueId val="{00000001-B8D4-40C5-99BA-3B60717E8A3C}"/>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211133492034425"/>
          <c:y val="0.7130394988472637"/>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'NonInv Thermocouple'!$Y$5</c:f>
              <c:strCache>
                <c:ptCount val="1"/>
                <c:pt idx="0">
                  <c:v>mV</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4225721784776903E-2"/>
                  <c:y val="-4.208333333333333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'NonInv Thermocouple'!$X$6:$X$26</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'NonInv Thermocouple'!$Y$6:$Y$26</c:f>
              <c:numCache>
                <c:formatCode>General</c:formatCode>
                <c:ptCount val="21"/>
                <c:pt idx="0">
                  <c:v>-3.5539999999999998</c:v>
                </c:pt>
                <c:pt idx="1">
                  <c:v>-3.2429999999999999</c:v>
                </c:pt>
                <c:pt idx="2">
                  <c:v>-2.92</c:v>
                </c:pt>
                <c:pt idx="3">
                  <c:v>-2.5870000000000002</c:v>
                </c:pt>
                <c:pt idx="4">
                  <c:v>-2.2429999999999999</c:v>
                </c:pt>
                <c:pt idx="5">
                  <c:v>-1.889</c:v>
                </c:pt>
                <c:pt idx="6">
                  <c:v>-1.5269999999999999</c:v>
                </c:pt>
                <c:pt idx="7">
                  <c:v>-1.1559999999999999</c:v>
                </c:pt>
                <c:pt idx="8">
                  <c:v>-0.77800000000000002</c:v>
                </c:pt>
                <c:pt idx="9">
                  <c:v>-0.39200000000000002</c:v>
                </c:pt>
                <c:pt idx="10">
                  <c:v>0</c:v>
                </c:pt>
                <c:pt idx="11">
                  <c:v>0.39700000000000002</c:v>
                </c:pt>
                <c:pt idx="12">
                  <c:v>0.79800000000000004</c:v>
                </c:pt>
                <c:pt idx="13">
                  <c:v>1.2030000000000001</c:v>
                </c:pt>
                <c:pt idx="14">
                  <c:v>1.6120000000000001</c:v>
                </c:pt>
                <c:pt idx="15">
                  <c:v>2.0230000000000001</c:v>
                </c:pt>
                <c:pt idx="16">
                  <c:v>2.4359999999999999</c:v>
                </c:pt>
                <c:pt idx="17">
                  <c:v>2.851</c:v>
                </c:pt>
                <c:pt idx="18">
                  <c:v>3.2669999999999999</c:v>
                </c:pt>
                <c:pt idx="19">
                  <c:v>3.6819999999999999</c:v>
                </c:pt>
                <c:pt idx="20">
                  <c:v>4.0960000000000001</c:v>
                </c:pt>
              </c:numCache>
            </c:numRef>
          </c:yVal>
          <c:smooth val="0"/>
          <c:extLst>
            <c:ext xmlns:c16="http://schemas.microsoft.com/office/drawing/2014/chart" uri="{C3380CC4-5D6E-409C-BE32-E72D297353CC}">
              <c16:uniqueId val="{00000000-7EC4-44DF-9D8C-E290876AF42D}"/>
            </c:ext>
          </c:extLst>
        </c:ser>
        <c:ser>
          <c:idx val="1"/>
          <c:order val="1"/>
          <c:tx>
            <c:strRef>
              <c:f>'NonInv Thermocouple'!$Z$5</c:f>
              <c:strCache>
                <c:ptCount val="1"/>
                <c:pt idx="0">
                  <c:v>V</c:v>
                </c:pt>
              </c:strCache>
            </c:strRef>
          </c:tx>
          <c:spPr>
            <a:ln w="19050" cap="rnd">
              <a:noFill/>
              <a:round/>
            </a:ln>
            <a:effectLst/>
          </c:spPr>
          <c:marker>
            <c:symbol val="circle"/>
            <c:size val="5"/>
            <c:spPr>
              <a:solidFill>
                <a:schemeClr val="accent2"/>
              </a:solidFill>
              <a:ln w="9525">
                <a:solidFill>
                  <a:schemeClr val="accent2"/>
                </a:solidFill>
              </a:ln>
              <a:effectLst/>
            </c:spPr>
          </c:marker>
          <c:xVal>
            <c:numRef>
              <c:f>'NonInv Thermocouple'!$X$6:$X$26</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'NonInv Thermocouple'!$Z$6:$Z$26</c:f>
              <c:numCache>
                <c:formatCode>General</c:formatCode>
                <c:ptCount val="21"/>
                <c:pt idx="0">
                  <c:v>-3.5539999999999999E-3</c:v>
                </c:pt>
                <c:pt idx="1">
                  <c:v>-3.2429999999999998E-3</c:v>
                </c:pt>
                <c:pt idx="2">
                  <c:v>-2.9199999999999999E-3</c:v>
                </c:pt>
                <c:pt idx="3">
                  <c:v>-2.5870000000000003E-3</c:v>
                </c:pt>
                <c:pt idx="4">
                  <c:v>-2.2429999999999998E-3</c:v>
                </c:pt>
                <c:pt idx="5">
                  <c:v>-1.8890000000000001E-3</c:v>
                </c:pt>
                <c:pt idx="6">
                  <c:v>-1.5269999999999999E-3</c:v>
                </c:pt>
                <c:pt idx="7">
                  <c:v>-1.1559999999999999E-3</c:v>
                </c:pt>
                <c:pt idx="8">
                  <c:v>-7.7800000000000005E-4</c:v>
                </c:pt>
                <c:pt idx="9">
                  <c:v>-3.9200000000000004E-4</c:v>
                </c:pt>
                <c:pt idx="10">
                  <c:v>0</c:v>
                </c:pt>
                <c:pt idx="11">
                  <c:v>3.97E-4</c:v>
                </c:pt>
                <c:pt idx="12">
                  <c:v>7.9799999999999999E-4</c:v>
                </c:pt>
                <c:pt idx="13">
                  <c:v>1.2030000000000001E-3</c:v>
                </c:pt>
                <c:pt idx="14">
                  <c:v>1.6120000000000002E-3</c:v>
                </c:pt>
                <c:pt idx="15">
                  <c:v>2.0230000000000001E-3</c:v>
                </c:pt>
                <c:pt idx="16">
                  <c:v>2.4359999999999998E-3</c:v>
                </c:pt>
                <c:pt idx="17">
                  <c:v>2.8509999999999998E-3</c:v>
                </c:pt>
                <c:pt idx="18">
                  <c:v>3.2669999999999999E-3</c:v>
                </c:pt>
                <c:pt idx="19">
                  <c:v>3.6819999999999999E-3</c:v>
                </c:pt>
                <c:pt idx="20">
                  <c:v>4.0959999999999998E-3</c:v>
                </c:pt>
              </c:numCache>
            </c:numRef>
          </c:yVal>
          <c:smooth val="0"/>
          <c:extLst>
            <c:ext xmlns:c16="http://schemas.microsoft.com/office/drawing/2014/chart" uri="{C3380CC4-5D6E-409C-BE32-E72D297353CC}">
              <c16:uniqueId val="{00000001-7EC4-44DF-9D8C-E290876AF42D}"/>
            </c:ext>
          </c:extLst>
        </c:ser>
        <c:dLbls>
          <c:showLegendKey val="0"/>
          <c:showVal val="0"/>
          <c:showCatName val="0"/>
          <c:showSerName val="0"/>
          <c:showPercent val="0"/>
          <c:showBubbleSize val="0"/>
        </c:dLbls>
        <c:axId val="1618852736"/>
        <c:axId val="1618853216"/>
      </c:scatterChart>
      <c:valAx>
        <c:axId val="1618852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53216"/>
        <c:crosses val="autoZero"/>
        <c:crossBetween val="midCat"/>
      </c:valAx>
      <c:valAx>
        <c:axId val="161885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8527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LPF'!$C$17</c:f>
              <c:strCache>
                <c:ptCount val="1"/>
                <c:pt idx="0">
                  <c:v>Vin(+)</c:v>
                </c:pt>
              </c:strCache>
            </c:strRef>
          </c:tx>
          <c:spPr>
            <a:ln>
              <a:solidFill>
                <a:schemeClr val="tx1"/>
              </a:solidFill>
            </a:ln>
          </c:spPr>
          <c:marker>
            <c:symbol val="none"/>
          </c:marker>
          <c:xVal>
            <c:numRef>
              <c:f>'NonInv LPF'!$B$18:$B$43</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LPF'!$C$18:$C$43</c:f>
              <c:numCache>
                <c:formatCode>General</c:formatCode>
                <c:ptCount val="26"/>
                <c:pt idx="0">
                  <c:v>0</c:v>
                </c:pt>
                <c:pt idx="1">
                  <c:v>0.84432792550201508</c:v>
                </c:pt>
                <c:pt idx="2">
                  <c:v>0.90482705246601947</c:v>
                </c:pt>
                <c:pt idx="3">
                  <c:v>0.12533323356430365</c:v>
                </c:pt>
                <c:pt idx="4">
                  <c:v>-0.77051324277578936</c:v>
                </c:pt>
                <c:pt idx="5">
                  <c:v>-0.95105651629515364</c:v>
                </c:pt>
                <c:pt idx="6">
                  <c:v>-0.24868988716485449</c:v>
                </c:pt>
                <c:pt idx="7">
                  <c:v>0.68454710592868928</c:v>
                </c:pt>
                <c:pt idx="8">
                  <c:v>0.98228725072868861</c:v>
                </c:pt>
                <c:pt idx="9">
                  <c:v>0.36812455268467797</c:v>
                </c:pt>
                <c:pt idx="10">
                  <c:v>-0.5877852522924728</c:v>
                </c:pt>
                <c:pt idx="11">
                  <c:v>-0.99802672842827156</c:v>
                </c:pt>
                <c:pt idx="12">
                  <c:v>-0.48175367410171477</c:v>
                </c:pt>
                <c:pt idx="13">
                  <c:v>0.48175367410171543</c:v>
                </c:pt>
                <c:pt idx="14">
                  <c:v>0.99802672842827167</c:v>
                </c:pt>
                <c:pt idx="15">
                  <c:v>0.58778525229247214</c:v>
                </c:pt>
                <c:pt idx="16">
                  <c:v>-0.3681245526846787</c:v>
                </c:pt>
                <c:pt idx="17">
                  <c:v>-0.98228725072868905</c:v>
                </c:pt>
                <c:pt idx="18">
                  <c:v>-0.68454710592868862</c:v>
                </c:pt>
                <c:pt idx="19">
                  <c:v>0.24868988716485269</c:v>
                </c:pt>
                <c:pt idx="20">
                  <c:v>0.95105651629515331</c:v>
                </c:pt>
                <c:pt idx="21">
                  <c:v>0.77051324277578881</c:v>
                </c:pt>
                <c:pt idx="22">
                  <c:v>-0.12533323356430268</c:v>
                </c:pt>
                <c:pt idx="23">
                  <c:v>-0.90482705246601947</c:v>
                </c:pt>
                <c:pt idx="24">
                  <c:v>-0.84432792550201441</c:v>
                </c:pt>
                <c:pt idx="25">
                  <c:v>-9.8011876392689601E-16</c:v>
                </c:pt>
              </c:numCache>
            </c:numRef>
          </c:yVal>
          <c:smooth val="1"/>
          <c:extLst>
            <c:ext xmlns:c16="http://schemas.microsoft.com/office/drawing/2014/chart" uri="{C3380CC4-5D6E-409C-BE32-E72D297353CC}">
              <c16:uniqueId val="{00000000-80B3-433C-A104-CE80A1C21FC7}"/>
            </c:ext>
          </c:extLst>
        </c:ser>
        <c:ser>
          <c:idx val="1"/>
          <c:order val="1"/>
          <c:tx>
            <c:strRef>
              <c:f>'NonInv LPF'!$E$17</c:f>
              <c:strCache>
                <c:ptCount val="1"/>
                <c:pt idx="0">
                  <c:v>Vout</c:v>
                </c:pt>
              </c:strCache>
            </c:strRef>
          </c:tx>
          <c:spPr>
            <a:ln>
              <a:solidFill>
                <a:srgbClr val="C00000"/>
              </a:solidFill>
              <a:prstDash val="dash"/>
            </a:ln>
          </c:spPr>
          <c:marker>
            <c:symbol val="none"/>
          </c:marker>
          <c:xVal>
            <c:numRef>
              <c:f>'NonInv LPF'!$B$18:$B$43</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LPF'!$E$18:$E$43</c:f>
              <c:numCache>
                <c:formatCode>General</c:formatCode>
                <c:ptCount val="26"/>
                <c:pt idx="0">
                  <c:v>0</c:v>
                </c:pt>
                <c:pt idx="1">
                  <c:v>1.4298406616472996</c:v>
                </c:pt>
                <c:pt idx="2">
                  <c:v>1.5322938781222408</c:v>
                </c:pt>
                <c:pt idx="3">
                  <c:v>0.21224757371305467</c:v>
                </c:pt>
                <c:pt idx="4">
                  <c:v>-1.3048380037927714</c:v>
                </c:pt>
                <c:pt idx="5">
                  <c:v>-1.6105819047912007</c:v>
                </c:pt>
                <c:pt idx="6">
                  <c:v>-0.4211478763981012</c:v>
                </c:pt>
                <c:pt idx="7">
                  <c:v>1.1592572711459905</c:v>
                </c:pt>
                <c:pt idx="8">
                  <c:v>1.663470092706608</c:v>
                </c:pt>
                <c:pt idx="9">
                  <c:v>0.62340642549080294</c:v>
                </c:pt>
                <c:pt idx="10">
                  <c:v>-0.9953943588265084</c:v>
                </c:pt>
                <c:pt idx="11">
                  <c:v>-1.6901243635511662</c:v>
                </c:pt>
                <c:pt idx="12">
                  <c:v>-0.81583348284856583</c:v>
                </c:pt>
                <c:pt idx="13">
                  <c:v>0.81583348284856705</c:v>
                </c:pt>
                <c:pt idx="14">
                  <c:v>1.6901243635511665</c:v>
                </c:pt>
                <c:pt idx="15">
                  <c:v>0.99539435882650729</c:v>
                </c:pt>
                <c:pt idx="16">
                  <c:v>-0.62340642549080416</c:v>
                </c:pt>
                <c:pt idx="17">
                  <c:v>-1.6634700927066088</c:v>
                </c:pt>
                <c:pt idx="18">
                  <c:v>-1.1592572711459894</c:v>
                </c:pt>
                <c:pt idx="19">
                  <c:v>0.42114787639809814</c:v>
                </c:pt>
                <c:pt idx="20">
                  <c:v>1.6105819047912</c:v>
                </c:pt>
                <c:pt idx="21">
                  <c:v>1.3048380037927705</c:v>
                </c:pt>
                <c:pt idx="22">
                  <c:v>-0.21224757371305303</c:v>
                </c:pt>
                <c:pt idx="23">
                  <c:v>-1.5322938781222408</c:v>
                </c:pt>
                <c:pt idx="24">
                  <c:v>-1.4298406616472985</c:v>
                </c:pt>
                <c:pt idx="25">
                  <c:v>-1.6597978339670845E-15</c:v>
                </c:pt>
              </c:numCache>
            </c:numRef>
          </c:yVal>
          <c:smooth val="1"/>
          <c:extLst>
            <c:ext xmlns:c16="http://schemas.microsoft.com/office/drawing/2014/chart" uri="{C3380CC4-5D6E-409C-BE32-E72D297353CC}">
              <c16:uniqueId val="{00000001-80B3-433C-A104-CE80A1C21FC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Gain,dB (Xc)</c:v>
          </c:tx>
          <c:spPr>
            <a:ln w="19050" cap="rnd">
              <a:solidFill>
                <a:schemeClr val="accent2"/>
              </a:solidFill>
              <a:round/>
            </a:ln>
            <a:effectLst/>
          </c:spPr>
          <c:marker>
            <c:symbol val="none"/>
          </c:marker>
          <c:xVal>
            <c:numRef>
              <c:f>'NonInv LPF'!$B$48:$B$102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LPF'!$E$48:$E$102</c:f>
              <c:numCache>
                <c:formatCode>General</c:formatCode>
                <c:ptCount val="55"/>
                <c:pt idx="0">
                  <c:v>6.0205981987540715</c:v>
                </c:pt>
                <c:pt idx="1">
                  <c:v>6.0205930551814699</c:v>
                </c:pt>
                <c:pt idx="2">
                  <c:v>6.0205844825740087</c:v>
                </c:pt>
                <c:pt idx="3">
                  <c:v>6.0205724809519898</c:v>
                </c:pt>
                <c:pt idx="4">
                  <c:v>6.0205570503438448</c:v>
                </c:pt>
                <c:pt idx="5">
                  <c:v>6.0205381907861186</c:v>
                </c:pt>
                <c:pt idx="6">
                  <c:v>6.0205159023234858</c:v>
                </c:pt>
                <c:pt idx="7">
                  <c:v>6.0204901850087378</c:v>
                </c:pt>
                <c:pt idx="8">
                  <c:v>6.0204610389027904</c:v>
                </c:pt>
                <c:pt idx="9">
                  <c:v>6.0204284640746746</c:v>
                </c:pt>
                <c:pt idx="10">
                  <c:v>6.0199141570665446</c:v>
                </c:pt>
                <c:pt idx="11">
                  <c:v>6.0190571140433358</c:v>
                </c:pt>
                <c:pt idx="12">
                  <c:v>6.0178575378784256</c:v>
                </c:pt>
                <c:pt idx="13">
                  <c:v>6.016315712370476</c:v>
                </c:pt>
                <c:pt idx="14">
                  <c:v>6.0144320020197926</c:v>
                </c:pt>
                <c:pt idx="15">
                  <c:v>6.0122068517414604</c:v>
                </c:pt>
                <c:pt idx="16">
                  <c:v>6.0096407865156563</c:v>
                </c:pt>
                <c:pt idx="17">
                  <c:v>6.006734410975783</c:v>
                </c:pt>
                <c:pt idx="18">
                  <c:v>6.0034884089350413</c:v>
                </c:pt>
                <c:pt idx="19">
                  <c:v>5.9525547378051584</c:v>
                </c:pt>
                <c:pt idx="20">
                  <c:v>5.8689706460814692</c:v>
                </c:pt>
                <c:pt idx="21">
                  <c:v>5.7545912913828694</c:v>
                </c:pt>
                <c:pt idx="22">
                  <c:v>5.6118243053961017</c:v>
                </c:pt>
                <c:pt idx="23">
                  <c:v>5.4434737880416684</c:v>
                </c:pt>
                <c:pt idx="24">
                  <c:v>5.2525785630242394</c:v>
                </c:pt>
                <c:pt idx="25">
                  <c:v>5.0422613234634319</c:v>
                </c:pt>
                <c:pt idx="26">
                  <c:v>4.8156003381440184</c:v>
                </c:pt>
                <c:pt idx="27">
                  <c:v>4.5755297970743385</c:v>
                </c:pt>
                <c:pt idx="28">
                  <c:v>1.9058562930049148</c:v>
                </c:pt>
                <c:pt idx="29">
                  <c:v>-0.56243151715921436</c:v>
                </c:pt>
                <c:pt idx="30">
                  <c:v>-2.6224616455237775</c:v>
                </c:pt>
                <c:pt idx="31">
                  <c:v>-4.341537469119344</c:v>
                </c:pt>
                <c:pt idx="32">
                  <c:v>-5.8013290137645912</c:v>
                </c:pt>
                <c:pt idx="33">
                  <c:v>-7.063854204711701</c:v>
                </c:pt>
                <c:pt idx="34">
                  <c:v>-8.1733704494618475</c:v>
                </c:pt>
                <c:pt idx="35">
                  <c:v>-9.161579781507541</c:v>
                </c:pt>
                <c:pt idx="36">
                  <c:v>-10.051635352525896</c:v>
                </c:pt>
                <c:pt idx="37">
                  <c:v>-15.991012673110443</c:v>
                </c:pt>
                <c:pt idx="38">
                  <c:v>-19.497628499345527</c:v>
                </c:pt>
                <c:pt idx="39">
                  <c:v>-21.991067348560701</c:v>
                </c:pt>
                <c:pt idx="40">
                  <c:v>-23.926795635973551</c:v>
                </c:pt>
                <c:pt idx="41">
                  <c:v>-25.509077166934141</c:v>
                </c:pt>
                <c:pt idx="42">
                  <c:v>-26.8472027368848</c:v>
                </c:pt>
                <c:pt idx="43">
                  <c:v>-28.006515729867022</c:v>
                </c:pt>
                <c:pt idx="44">
                  <c:v>-29.029205554769518</c:v>
                </c:pt>
                <c:pt idx="45">
                  <c:v>-29.944097395353239</c:v>
                </c:pt>
                <c:pt idx="46">
                  <c:v>-35.963872378648212</c:v>
                </c:pt>
                <c:pt idx="47">
                  <c:v>-39.48554477775297</c:v>
                </c:pt>
                <c:pt idx="48">
                  <c:v>-41.984266034946046</c:v>
                </c:pt>
                <c:pt idx="49">
                  <c:v>-43.922441543611086</c:v>
                </c:pt>
                <c:pt idx="50">
                  <c:v>-45.506053019247325</c:v>
                </c:pt>
                <c:pt idx="51">
                  <c:v>-46.844980704737821</c:v>
                </c:pt>
                <c:pt idx="52">
                  <c:v>-48.004814382449624</c:v>
                </c:pt>
                <c:pt idx="53">
                  <c:v>-49.02786122389206</c:v>
                </c:pt>
                <c:pt idx="54">
                  <c:v>-49.94300845467648</c:v>
                </c:pt>
              </c:numCache>
            </c:numRef>
          </c:yVal>
          <c:smooth val="0"/>
          <c:extLst>
            <c:ext xmlns:c16="http://schemas.microsoft.com/office/drawing/2014/chart" uri="{C3380CC4-5D6E-409C-BE32-E72D297353CC}">
              <c16:uniqueId val="{00000000-CAE7-4297-A9D3-C36CB3885382}"/>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LPF (Unity)'!$C$16</c:f>
              <c:strCache>
                <c:ptCount val="1"/>
                <c:pt idx="0">
                  <c:v>Vin(+)</c:v>
                </c:pt>
              </c:strCache>
            </c:strRef>
          </c:tx>
          <c:spPr>
            <a:ln>
              <a:solidFill>
                <a:schemeClr val="tx1"/>
              </a:solidFill>
            </a:ln>
          </c:spPr>
          <c:marker>
            <c:symbol val="none"/>
          </c:marker>
          <c:xVal>
            <c:numRef>
              <c:f>'NonInv LPF (Unity)'!$B$17:$B$42</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 (Unity)'!$C$17:$C$42</c:f>
              <c:numCache>
                <c:formatCode>General</c:formatCode>
                <c:ptCount val="26"/>
                <c:pt idx="0">
                  <c:v>0</c:v>
                </c:pt>
                <c:pt idx="1">
                  <c:v>0.84432792550201508</c:v>
                </c:pt>
                <c:pt idx="2">
                  <c:v>0.90482705246601947</c:v>
                </c:pt>
                <c:pt idx="3">
                  <c:v>0.12533323356430365</c:v>
                </c:pt>
                <c:pt idx="4">
                  <c:v>-0.77051324277578936</c:v>
                </c:pt>
                <c:pt idx="5">
                  <c:v>-0.95105651629515364</c:v>
                </c:pt>
                <c:pt idx="6">
                  <c:v>-0.24868988716485449</c:v>
                </c:pt>
                <c:pt idx="7">
                  <c:v>0.68454710592868928</c:v>
                </c:pt>
                <c:pt idx="8">
                  <c:v>0.98228725072868861</c:v>
                </c:pt>
                <c:pt idx="9">
                  <c:v>0.36812455268467797</c:v>
                </c:pt>
                <c:pt idx="10">
                  <c:v>-0.5877852522924728</c:v>
                </c:pt>
                <c:pt idx="11">
                  <c:v>-0.99802672842827156</c:v>
                </c:pt>
                <c:pt idx="12">
                  <c:v>-0.48175367410171477</c:v>
                </c:pt>
                <c:pt idx="13">
                  <c:v>0.48175367410171543</c:v>
                </c:pt>
                <c:pt idx="14">
                  <c:v>0.99802672842827167</c:v>
                </c:pt>
                <c:pt idx="15">
                  <c:v>0.58778525229247214</c:v>
                </c:pt>
                <c:pt idx="16">
                  <c:v>-0.3681245526846787</c:v>
                </c:pt>
                <c:pt idx="17">
                  <c:v>-0.98228725072868905</c:v>
                </c:pt>
                <c:pt idx="18">
                  <c:v>-0.68454710592868862</c:v>
                </c:pt>
                <c:pt idx="19">
                  <c:v>0.24868988716485269</c:v>
                </c:pt>
                <c:pt idx="20">
                  <c:v>0.95105651629515331</c:v>
                </c:pt>
                <c:pt idx="21">
                  <c:v>0.77051324277578881</c:v>
                </c:pt>
                <c:pt idx="22">
                  <c:v>-0.12533323356430268</c:v>
                </c:pt>
                <c:pt idx="23">
                  <c:v>-0.90482705246601947</c:v>
                </c:pt>
                <c:pt idx="24">
                  <c:v>-0.84432792550201441</c:v>
                </c:pt>
                <c:pt idx="25">
                  <c:v>-9.8011876392689601E-16</c:v>
                </c:pt>
              </c:numCache>
            </c:numRef>
          </c:yVal>
          <c:smooth val="1"/>
          <c:extLst>
            <c:ext xmlns:c16="http://schemas.microsoft.com/office/drawing/2014/chart" uri="{C3380CC4-5D6E-409C-BE32-E72D297353CC}">
              <c16:uniqueId val="{00000000-E657-46BD-978F-CB64FBED033E}"/>
            </c:ext>
          </c:extLst>
        </c:ser>
        <c:ser>
          <c:idx val="1"/>
          <c:order val="1"/>
          <c:tx>
            <c:strRef>
              <c:f>'NonInv LPF (Unity)'!$E$16</c:f>
              <c:strCache>
                <c:ptCount val="1"/>
                <c:pt idx="0">
                  <c:v>Vout</c:v>
                </c:pt>
              </c:strCache>
            </c:strRef>
          </c:tx>
          <c:spPr>
            <a:ln>
              <a:solidFill>
                <a:srgbClr val="C00000"/>
              </a:solidFill>
              <a:prstDash val="dash"/>
            </a:ln>
          </c:spPr>
          <c:marker>
            <c:symbol val="none"/>
          </c:marker>
          <c:xVal>
            <c:numRef>
              <c:f>'NonInv LPF (Unity)'!$B$17:$B$42</c:f>
              <c:numCache>
                <c:formatCode>General</c:formatCode>
                <c:ptCount val="26"/>
                <c:pt idx="0">
                  <c:v>0</c:v>
                </c:pt>
                <c:pt idx="1">
                  <c:v>1.6000000000000001E-4</c:v>
                </c:pt>
                <c:pt idx="2">
                  <c:v>3.2000000000000003E-4</c:v>
                </c:pt>
                <c:pt idx="3">
                  <c:v>4.8000000000000007E-4</c:v>
                </c:pt>
                <c:pt idx="4">
                  <c:v>6.4000000000000005E-4</c:v>
                </c:pt>
                <c:pt idx="5">
                  <c:v>8.0000000000000004E-4</c:v>
                </c:pt>
                <c:pt idx="6">
                  <c:v>9.6000000000000002E-4</c:v>
                </c:pt>
                <c:pt idx="7">
                  <c:v>1.1200000000000001E-3</c:v>
                </c:pt>
                <c:pt idx="8">
                  <c:v>1.2800000000000001E-3</c:v>
                </c:pt>
                <c:pt idx="9">
                  <c:v>1.4400000000000001E-3</c:v>
                </c:pt>
                <c:pt idx="10">
                  <c:v>1.6000000000000001E-3</c:v>
                </c:pt>
                <c:pt idx="11">
                  <c:v>1.7600000000000001E-3</c:v>
                </c:pt>
                <c:pt idx="12">
                  <c:v>1.92E-3</c:v>
                </c:pt>
                <c:pt idx="13">
                  <c:v>2.0800000000000003E-3</c:v>
                </c:pt>
                <c:pt idx="14">
                  <c:v>2.2400000000000002E-3</c:v>
                </c:pt>
                <c:pt idx="15">
                  <c:v>2.4000000000000002E-3</c:v>
                </c:pt>
                <c:pt idx="16">
                  <c:v>2.5600000000000002E-3</c:v>
                </c:pt>
                <c:pt idx="17">
                  <c:v>2.7200000000000002E-3</c:v>
                </c:pt>
                <c:pt idx="18">
                  <c:v>2.8800000000000002E-3</c:v>
                </c:pt>
                <c:pt idx="19">
                  <c:v>3.0400000000000002E-3</c:v>
                </c:pt>
                <c:pt idx="20">
                  <c:v>3.2000000000000002E-3</c:v>
                </c:pt>
                <c:pt idx="21">
                  <c:v>3.3600000000000001E-3</c:v>
                </c:pt>
                <c:pt idx="22">
                  <c:v>3.5200000000000001E-3</c:v>
                </c:pt>
                <c:pt idx="23">
                  <c:v>3.6800000000000001E-3</c:v>
                </c:pt>
                <c:pt idx="24">
                  <c:v>3.8400000000000001E-3</c:v>
                </c:pt>
                <c:pt idx="25">
                  <c:v>4.0000000000000001E-3</c:v>
                </c:pt>
              </c:numCache>
            </c:numRef>
          </c:xVal>
          <c:yVal>
            <c:numRef>
              <c:f>'NonInv LPF (Unity)'!$E$17:$E$42</c:f>
              <c:numCache>
                <c:formatCode>General</c:formatCode>
                <c:ptCount val="26"/>
                <c:pt idx="0">
                  <c:v>0</c:v>
                </c:pt>
                <c:pt idx="1">
                  <c:v>1.3628554184795307</c:v>
                </c:pt>
                <c:pt idx="2">
                  <c:v>1.4605089018072923</c:v>
                </c:pt>
                <c:pt idx="3">
                  <c:v>0.20230418930785934</c:v>
                </c:pt>
                <c:pt idx="4">
                  <c:v>-1.2437088910719827</c:v>
                </c:pt>
                <c:pt idx="5">
                  <c:v>-1.5351292872878253</c:v>
                </c:pt>
                <c:pt idx="6">
                  <c:v>-0.40141792069967036</c:v>
                </c:pt>
                <c:pt idx="7">
                  <c:v>1.1049483314965507</c:v>
                </c:pt>
                <c:pt idx="8">
                  <c:v>1.5855397668660431</c:v>
                </c:pt>
                <c:pt idx="9">
                  <c:v>0.59420105168660509</c:v>
                </c:pt>
                <c:pt idx="10">
                  <c:v>-0.94876207666927725</c:v>
                </c:pt>
                <c:pt idx="11">
                  <c:v>-1.6109453371652374</c:v>
                </c:pt>
                <c:pt idx="12">
                  <c:v>-0.77761327712993789</c:v>
                </c:pt>
                <c:pt idx="13">
                  <c:v>0.777613277129939</c:v>
                </c:pt>
                <c:pt idx="14">
                  <c:v>1.6109453371652376</c:v>
                </c:pt>
                <c:pt idx="15">
                  <c:v>0.94876207666927614</c:v>
                </c:pt>
                <c:pt idx="16">
                  <c:v>-0.5942010516866062</c:v>
                </c:pt>
                <c:pt idx="17">
                  <c:v>-1.5855397668660438</c:v>
                </c:pt>
                <c:pt idx="18">
                  <c:v>-1.1049483314965496</c:v>
                </c:pt>
                <c:pt idx="19">
                  <c:v>0.40141792069966742</c:v>
                </c:pt>
                <c:pt idx="20">
                  <c:v>1.5351292872878246</c:v>
                </c:pt>
                <c:pt idx="21">
                  <c:v>1.2437088910719818</c:v>
                </c:pt>
                <c:pt idx="22">
                  <c:v>-0.20230418930785779</c:v>
                </c:pt>
                <c:pt idx="23">
                  <c:v>-1.4605089018072923</c:v>
                </c:pt>
                <c:pt idx="24">
                  <c:v>-1.3628554184795298</c:v>
                </c:pt>
                <c:pt idx="25">
                  <c:v>-1.5820395462782101E-15</c:v>
                </c:pt>
              </c:numCache>
            </c:numRef>
          </c:yVal>
          <c:smooth val="1"/>
          <c:extLst>
            <c:ext xmlns:c16="http://schemas.microsoft.com/office/drawing/2014/chart" uri="{C3380CC4-5D6E-409C-BE32-E72D297353CC}">
              <c16:uniqueId val="{00000001-E657-46BD-978F-CB64FBED033E}"/>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'NonInv LPF (Unity)'!$C$46</c:f>
              <c:strCache>
                <c:ptCount val="1"/>
                <c:pt idx="0">
                  <c:v>Gain,dB</c:v>
                </c:pt>
              </c:strCache>
            </c:strRef>
          </c:tx>
          <c:spPr>
            <a:ln w="19050" cap="rnd">
              <a:solidFill>
                <a:schemeClr val="accent1"/>
              </a:solidFill>
              <a:round/>
            </a:ln>
            <a:effectLst/>
          </c:spPr>
          <c:marker>
            <c:symbol val="none"/>
          </c:marker>
          <c:xVal>
            <c:numRef>
              <c:f>'NonInv LPF (Unity)'!$B$47:$B$101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 (Unity)'!$C$47:$C$101</c:f>
              <c:numCache>
                <c:formatCode>General</c:formatCode>
                <c:ptCount val="55"/>
                <c:pt idx="0">
                  <c:v>6.01787244583827</c:v>
                </c:pt>
                <c:pt idx="1">
                  <c:v>6.015147546419751</c:v>
                </c:pt>
                <c:pt idx="2">
                  <c:v>6.0124252112650272</c:v>
                </c:pt>
                <c:pt idx="3">
                  <c:v>6.0097054366226281</c:v>
                </c:pt>
                <c:pt idx="4">
                  <c:v>6.0069882187486474</c:v>
                </c:pt>
                <c:pt idx="5">
                  <c:v>6.0042735539067094</c:v>
                </c:pt>
                <c:pt idx="6">
                  <c:v>6.0015614383679514</c:v>
                </c:pt>
                <c:pt idx="7">
                  <c:v>5.9988518684110197</c:v>
                </c:pt>
                <c:pt idx="8">
                  <c:v>5.9961448403220272</c:v>
                </c:pt>
                <c:pt idx="9">
                  <c:v>5.9934403503945504</c:v>
                </c:pt>
                <c:pt idx="10">
                  <c:v>5.9665342398843322</c:v>
                </c:pt>
                <c:pt idx="11">
                  <c:v>5.939877923105545</c:v>
                </c:pt>
                <c:pt idx="12">
                  <c:v>5.9134678137400805</c:v>
                </c:pt>
                <c:pt idx="13">
                  <c:v>5.8873003959677108</c:v>
                </c:pt>
                <c:pt idx="14">
                  <c:v>5.8613722226950484</c:v>
                </c:pt>
                <c:pt idx="15">
                  <c:v>5.835679913838864</c:v>
                </c:pt>
                <c:pt idx="16">
                  <c:v>5.8102201546617804</c:v>
                </c:pt>
                <c:pt idx="17">
                  <c:v>5.784989694158452</c:v>
                </c:pt>
                <c:pt idx="18">
                  <c:v>5.7599853434904178</c:v>
                </c:pt>
                <c:pt idx="19">
                  <c:v>5.521717873824401</c:v>
                </c:pt>
                <c:pt idx="20">
                  <c:v>5.3029621273019014</c:v>
                </c:pt>
                <c:pt idx="21">
                  <c:v>5.1013540161093545</c:v>
                </c:pt>
                <c:pt idx="22">
                  <c:v>4.9149048671916953</c:v>
                </c:pt>
                <c:pt idx="23">
                  <c:v>4.7419283985307228</c:v>
                </c:pt>
                <c:pt idx="24">
                  <c:v>4.5809843557209726</c:v>
                </c:pt>
                <c:pt idx="25">
                  <c:v>4.4308344829214663</c:v>
                </c:pt>
                <c:pt idx="26">
                  <c:v>4.290407752752782</c:v>
                </c:pt>
                <c:pt idx="27">
                  <c:v>4.1587726344350662</c:v>
                </c:pt>
                <c:pt idx="28">
                  <c:v>3.1861528909074091</c:v>
                </c:pt>
                <c:pt idx="29">
                  <c:v>2.5849385275253942</c:v>
                </c:pt>
                <c:pt idx="30">
                  <c:v>2.1755935036000711</c:v>
                </c:pt>
                <c:pt idx="31">
                  <c:v>1.8786056951361265</c:v>
                </c:pt>
                <c:pt idx="32">
                  <c:v>1.6531767119320675</c:v>
                </c:pt>
                <c:pt idx="33">
                  <c:v>1.4761693395953992</c:v>
                </c:pt>
                <c:pt idx="34">
                  <c:v>1.3334678978352081</c:v>
                </c:pt>
                <c:pt idx="35">
                  <c:v>1.2159654193357992</c:v>
                </c:pt>
                <c:pt idx="36">
                  <c:v>1.1175203473329507</c:v>
                </c:pt>
                <c:pt idx="37">
                  <c:v>0.61775356733901976</c:v>
                </c:pt>
                <c:pt idx="38">
                  <c:v>0.42692028423466727</c:v>
                </c:pt>
                <c:pt idx="39">
                  <c:v>0.32617409720842205</c:v>
                </c:pt>
                <c:pt idx="40">
                  <c:v>0.26390136062066744</c:v>
                </c:pt>
                <c:pt idx="41">
                  <c:v>0.2215958561402839</c:v>
                </c:pt>
                <c:pt idx="42">
                  <c:v>0.19098066964903651</c:v>
                </c:pt>
                <c:pt idx="43">
                  <c:v>0.16779829643640715</c:v>
                </c:pt>
                <c:pt idx="44">
                  <c:v>0.14963486311016216</c:v>
                </c:pt>
                <c:pt idx="45">
                  <c:v>0.13501965396734042</c:v>
                </c:pt>
                <c:pt idx="46">
                  <c:v>6.8305137240857322E-2</c:v>
                </c:pt>
                <c:pt idx="47">
                  <c:v>4.5716382664338875E-2</c:v>
                </c:pt>
                <c:pt idx="48">
                  <c:v>3.4355060169784839E-2</c:v>
                </c:pt>
                <c:pt idx="49">
                  <c:v>2.7516686046060231E-2</c:v>
                </c:pt>
                <c:pt idx="50">
                  <c:v>2.2948741113821981E-2</c:v>
                </c:pt>
                <c:pt idx="51">
                  <c:v>1.9681489329398873E-2</c:v>
                </c:pt>
                <c:pt idx="52">
                  <c:v>1.7228621174402464E-2</c:v>
                </c:pt>
                <c:pt idx="53">
                  <c:v>1.5319393262828603E-2</c:v>
                </c:pt>
                <c:pt idx="54">
                  <c:v>1.3791101784364396E-2</c:v>
                </c:pt>
              </c:numCache>
            </c:numRef>
          </c:yVal>
          <c:smooth val="0"/>
          <c:extLst>
            <c:ext xmlns:c16="http://schemas.microsoft.com/office/drawing/2014/chart" uri="{C3380CC4-5D6E-409C-BE32-E72D297353CC}">
              <c16:uniqueId val="{00000000-4B5D-4584-BAF2-69CAC71E549E}"/>
            </c:ext>
          </c:extLst>
        </c:ser>
        <c:ser>
          <c:idx val="1"/>
          <c:order val="1"/>
          <c:tx>
            <c:v>Gain,dB (Xc)</c:v>
          </c:tx>
          <c:spPr>
            <a:ln w="19050" cap="rnd">
              <a:solidFill>
                <a:schemeClr val="accent2"/>
              </a:solidFill>
              <a:round/>
            </a:ln>
            <a:effectLst/>
          </c:spPr>
          <c:marker>
            <c:symbol val="none"/>
          </c:marker>
          <c:xVal>
            <c:numRef>
              <c:f>'NonInv LPF (Unity)'!$B$47:$B$101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LPF (Unity)'!$E$47:$E$101</c:f>
              <c:numCache>
                <c:formatCode>General</c:formatCode>
                <c:ptCount val="55"/>
                <c:pt idx="0">
                  <c:v>6.0178724458382691</c:v>
                </c:pt>
                <c:pt idx="1">
                  <c:v>6.0151475464197528</c:v>
                </c:pt>
                <c:pt idx="2">
                  <c:v>6.0124252112650254</c:v>
                </c:pt>
                <c:pt idx="3">
                  <c:v>6.009705436622629</c:v>
                </c:pt>
                <c:pt idx="4">
                  <c:v>6.0069882187486474</c:v>
                </c:pt>
                <c:pt idx="5">
                  <c:v>6.0042735539067085</c:v>
                </c:pt>
                <c:pt idx="6">
                  <c:v>6.0015614383679541</c:v>
                </c:pt>
                <c:pt idx="7">
                  <c:v>5.9988518684110197</c:v>
                </c:pt>
                <c:pt idx="8">
                  <c:v>5.9961448403220263</c:v>
                </c:pt>
                <c:pt idx="9">
                  <c:v>5.9934403503945504</c:v>
                </c:pt>
                <c:pt idx="10">
                  <c:v>5.9665342398843322</c:v>
                </c:pt>
                <c:pt idx="11">
                  <c:v>5.9398779231055441</c:v>
                </c:pt>
                <c:pt idx="12">
                  <c:v>5.9134678137400805</c:v>
                </c:pt>
                <c:pt idx="13">
                  <c:v>5.8873003959677108</c:v>
                </c:pt>
                <c:pt idx="14">
                  <c:v>5.8613722226950484</c:v>
                </c:pt>
                <c:pt idx="15">
                  <c:v>5.835679913838864</c:v>
                </c:pt>
                <c:pt idx="16">
                  <c:v>5.8102201546617804</c:v>
                </c:pt>
                <c:pt idx="17">
                  <c:v>5.7849896941584529</c:v>
                </c:pt>
                <c:pt idx="18">
                  <c:v>5.7599853434904178</c:v>
                </c:pt>
                <c:pt idx="19">
                  <c:v>5.521717873824401</c:v>
                </c:pt>
                <c:pt idx="20">
                  <c:v>5.3029621273019023</c:v>
                </c:pt>
                <c:pt idx="21">
                  <c:v>5.1013540161093545</c:v>
                </c:pt>
                <c:pt idx="22">
                  <c:v>4.9149048671916953</c:v>
                </c:pt>
                <c:pt idx="23">
                  <c:v>4.7419283985307228</c:v>
                </c:pt>
                <c:pt idx="24">
                  <c:v>4.5809843557209726</c:v>
                </c:pt>
                <c:pt idx="25">
                  <c:v>4.4308344829214663</c:v>
                </c:pt>
                <c:pt idx="26">
                  <c:v>4.2904077527527811</c:v>
                </c:pt>
                <c:pt idx="27">
                  <c:v>4.1587726344350662</c:v>
                </c:pt>
                <c:pt idx="28">
                  <c:v>3.1861528909074091</c:v>
                </c:pt>
                <c:pt idx="29">
                  <c:v>2.5849385275253942</c:v>
                </c:pt>
                <c:pt idx="30">
                  <c:v>2.1755935036000711</c:v>
                </c:pt>
                <c:pt idx="31">
                  <c:v>1.8786056951361265</c:v>
                </c:pt>
                <c:pt idx="32">
                  <c:v>1.6531767119320675</c:v>
                </c:pt>
                <c:pt idx="33">
                  <c:v>1.4761693395953992</c:v>
                </c:pt>
                <c:pt idx="34">
                  <c:v>1.3334678978352081</c:v>
                </c:pt>
                <c:pt idx="35">
                  <c:v>1.2159654193357992</c:v>
                </c:pt>
                <c:pt idx="36">
                  <c:v>1.1175203473329507</c:v>
                </c:pt>
                <c:pt idx="37">
                  <c:v>0.61775356733901976</c:v>
                </c:pt>
                <c:pt idx="38">
                  <c:v>0.42692028423466727</c:v>
                </c:pt>
                <c:pt idx="39">
                  <c:v>0.32617409720842205</c:v>
                </c:pt>
                <c:pt idx="40">
                  <c:v>0.26390136062066744</c:v>
                </c:pt>
                <c:pt idx="41">
                  <c:v>0.2215958561402839</c:v>
                </c:pt>
                <c:pt idx="42">
                  <c:v>0.19098066964903651</c:v>
                </c:pt>
                <c:pt idx="43">
                  <c:v>0.16779829643640715</c:v>
                </c:pt>
                <c:pt idx="44">
                  <c:v>0.14963486311016216</c:v>
                </c:pt>
                <c:pt idx="45">
                  <c:v>0.13501965396734042</c:v>
                </c:pt>
                <c:pt idx="46">
                  <c:v>6.8305137240857322E-2</c:v>
                </c:pt>
                <c:pt idx="47">
                  <c:v>4.5716382664338875E-2</c:v>
                </c:pt>
                <c:pt idx="48">
                  <c:v>3.4355060169784839E-2</c:v>
                </c:pt>
                <c:pt idx="49">
                  <c:v>2.7516686046060231E-2</c:v>
                </c:pt>
                <c:pt idx="50">
                  <c:v>2.2948741113821981E-2</c:v>
                </c:pt>
                <c:pt idx="51">
                  <c:v>1.9681489329398873E-2</c:v>
                </c:pt>
                <c:pt idx="52">
                  <c:v>1.7228621174402464E-2</c:v>
                </c:pt>
                <c:pt idx="53">
                  <c:v>1.5319393262828603E-2</c:v>
                </c:pt>
                <c:pt idx="54">
                  <c:v>1.3791101784364396E-2</c:v>
                </c:pt>
              </c:numCache>
            </c:numRef>
          </c:yVal>
          <c:smooth val="0"/>
          <c:extLst>
            <c:ext xmlns:c16="http://schemas.microsoft.com/office/drawing/2014/chart" uri="{C3380CC4-5D6E-409C-BE32-E72D297353CC}">
              <c16:uniqueId val="{00000000-C3C3-4546-859D-79F2BE0DB7CA}"/>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HPF1'!$C$17</c:f>
              <c:strCache>
                <c:ptCount val="1"/>
                <c:pt idx="0">
                  <c:v>Vin(+)</c:v>
                </c:pt>
              </c:strCache>
            </c:strRef>
          </c:tx>
          <c:spPr>
            <a:ln>
              <a:solidFill>
                <a:schemeClr val="tx1"/>
              </a:solidFill>
            </a:ln>
          </c:spPr>
          <c:marker>
            <c:symbol val="none"/>
          </c:marker>
          <c:xVal>
            <c:numRef>
              <c:f>'NonInv HPF1'!$B$18:$B$43</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'NonInv HPF1'!$C$18:$C$43</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-0.24868988716485535</c:v>
                </c:pt>
                <c:pt idx="7">
                  <c:v>0.68454710592868795</c:v>
                </c:pt>
                <c:pt idx="8">
                  <c:v>0.98228725072868861</c:v>
                </c:pt>
                <c:pt idx="9">
                  <c:v>0.36812455268467797</c:v>
                </c:pt>
                <c:pt idx="10">
                  <c:v>-0.5877852522924728</c:v>
                </c:pt>
                <c:pt idx="11">
                  <c:v>-0.99802672842827156</c:v>
                </c:pt>
                <c:pt idx="12">
                  <c:v>-0.48175367410171632</c:v>
                </c:pt>
                <c:pt idx="13">
                  <c:v>0.48175367410171543</c:v>
                </c:pt>
                <c:pt idx="14">
                  <c:v>0.99802672842827145</c:v>
                </c:pt>
                <c:pt idx="15">
                  <c:v>0.58778525229247358</c:v>
                </c:pt>
                <c:pt idx="16">
                  <c:v>-0.3681245526846787</c:v>
                </c:pt>
                <c:pt idx="17">
                  <c:v>-0.98228725072868839</c:v>
                </c:pt>
                <c:pt idx="18">
                  <c:v>-0.68454710592868862</c:v>
                </c:pt>
                <c:pt idx="19">
                  <c:v>0.24868988716485269</c:v>
                </c:pt>
                <c:pt idx="20">
                  <c:v>0.95105651629515331</c:v>
                </c:pt>
                <c:pt idx="21">
                  <c:v>0.77051324277578881</c:v>
                </c:pt>
                <c:pt idx="22">
                  <c:v>-0.12533323356430268</c:v>
                </c:pt>
                <c:pt idx="23">
                  <c:v>-0.90482705246601947</c:v>
                </c:pt>
                <c:pt idx="24">
                  <c:v>-0.8443279255020163</c:v>
                </c:pt>
                <c:pt idx="25">
                  <c:v>-9.8011876392689601E-16</c:v>
                </c:pt>
              </c:numCache>
            </c:numRef>
          </c:yVal>
          <c:smooth val="1"/>
          <c:extLst>
            <c:ext xmlns:c16="http://schemas.microsoft.com/office/drawing/2014/chart" uri="{C3380CC4-5D6E-409C-BE32-E72D297353CC}">
              <c16:uniqueId val="{00000000-53AB-475C-967E-170B52DF6EF7}"/>
            </c:ext>
          </c:extLst>
        </c:ser>
        <c:ser>
          <c:idx val="1"/>
          <c:order val="1"/>
          <c:tx>
            <c:strRef>
              <c:f>'NonInv HPF1'!$E$17</c:f>
              <c:strCache>
                <c:ptCount val="1"/>
                <c:pt idx="0">
                  <c:v>Vout</c:v>
                </c:pt>
              </c:strCache>
            </c:strRef>
          </c:tx>
          <c:spPr>
            <a:ln>
              <a:solidFill>
                <a:srgbClr val="C00000"/>
              </a:solidFill>
              <a:prstDash val="dash"/>
            </a:ln>
          </c:spPr>
          <c:marker>
            <c:symbol val="none"/>
          </c:marker>
          <c:xVal>
            <c:numRef>
              <c:f>'NonInv HPF1'!$B$18:$B$43</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'NonInv HPF1'!$E$18:$E$43</c:f>
              <c:numCache>
                <c:formatCode>General</c:formatCode>
                <c:ptCount val="26"/>
                <c:pt idx="0">
                  <c:v>0</c:v>
                </c:pt>
                <c:pt idx="1">
                  <c:v>1.1940598416867789</c:v>
                </c:pt>
                <c:pt idx="2">
                  <c:v>1.2796185159683096</c:v>
                </c:pt>
                <c:pt idx="3">
                  <c:v>0.17724793472738026</c:v>
                </c:pt>
                <c:pt idx="4">
                  <c:v>-1.0896701304050731</c:v>
                </c:pt>
                <c:pt idx="5">
                  <c:v>-1.344996841845971</c:v>
                </c:pt>
                <c:pt idx="6">
                  <c:v>-0.35170056364132585</c:v>
                </c:pt>
                <c:pt idx="7">
                  <c:v>0.96809567022949428</c:v>
                </c:pt>
                <c:pt idx="8">
                  <c:v>1.3891637640655532</c:v>
                </c:pt>
                <c:pt idx="9">
                  <c:v>0.52060666457091354</c:v>
                </c:pt>
                <c:pt idx="10">
                  <c:v>-0.83125376302207643</c:v>
                </c:pt>
                <c:pt idx="11">
                  <c:v>-1.4114227438796132</c:v>
                </c:pt>
                <c:pt idx="12">
                  <c:v>-0.68130248740487331</c:v>
                </c:pt>
                <c:pt idx="13">
                  <c:v>0.68130248740487209</c:v>
                </c:pt>
                <c:pt idx="14">
                  <c:v>1.411422743879613</c:v>
                </c:pt>
                <c:pt idx="15">
                  <c:v>0.83125376302207754</c:v>
                </c:pt>
                <c:pt idx="16">
                  <c:v>-0.52060666457091453</c:v>
                </c:pt>
                <c:pt idx="17">
                  <c:v>-1.3891637640655528</c:v>
                </c:pt>
                <c:pt idx="18">
                  <c:v>-0.96809567022949516</c:v>
                </c:pt>
                <c:pt idx="19">
                  <c:v>0.35170056364132207</c:v>
                </c:pt>
                <c:pt idx="20">
                  <c:v>1.3449968418459706</c:v>
                </c:pt>
                <c:pt idx="21">
                  <c:v>1.0896701304050724</c:v>
                </c:pt>
                <c:pt idx="22">
                  <c:v>-0.17724793472737763</c:v>
                </c:pt>
                <c:pt idx="23">
                  <c:v>-1.2796185159683096</c:v>
                </c:pt>
                <c:pt idx="24">
                  <c:v>-1.1940598416867805</c:v>
                </c:pt>
                <c:pt idx="25">
                  <c:v>-1.3860970610357928E-15</c:v>
                </c:pt>
              </c:numCache>
            </c:numRef>
          </c:yVal>
          <c:smooth val="1"/>
          <c:extLst>
            <c:ext xmlns:c16="http://schemas.microsoft.com/office/drawing/2014/chart" uri="{C3380CC4-5D6E-409C-BE32-E72D297353CC}">
              <c16:uniqueId val="{00000001-53AB-475C-967E-170B52DF6EF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Buffer!$C$9</c:f>
              <c:strCache>
                <c:ptCount val="1"/>
                <c:pt idx="0">
                  <c:v>Vin(+)</c:v>
                </c:pt>
              </c:strCache>
            </c:strRef>
          </c:tx>
          <c:spPr>
            <a:ln>
              <a:solidFill>
                <a:schemeClr val="tx1"/>
              </a:solidFill>
            </a:ln>
          </c:spPr>
          <c:marker>
            <c:symbol val="none"/>
          </c:marker>
          <c:xVal>
            <c:numRef>
              <c:f>Buffer!$B$10:$B$35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Buffer!$C$10:$C$35</c:f>
              <c:numCache>
                <c:formatCode>General</c:formatCode>
                <c:ptCount val="26"/>
                <c:pt idx="0">
                  <c:v>0</c:v>
                </c:pt>
                <c:pt idx="1">
                  <c:v>0.59900049988096893</c:v>
                </c:pt>
                <c:pt idx="2">
                  <c:v>1.1920159847703673</c:v>
                </c:pt>
                <c:pt idx="3">
                  <c:v>5.5922345158033577</c:v>
                </c:pt>
                <c:pt idx="4">
                  <c:v>4.8509784229175406</c:v>
                </c:pt>
                <c:pt idx="5">
                  <c:v>-0.35024486056548054</c:v>
                </c:pt>
                <c:pt idx="6">
                  <c:v>-5.2294546344815291</c:v>
                </c:pt>
                <c:pt idx="7">
                  <c:v>-5.3007279343209186</c:v>
                </c:pt>
                <c:pt idx="8">
                  <c:v>-0.49853641690497841</c:v>
                </c:pt>
                <c:pt idx="9">
                  <c:v>4.7620071830949184</c:v>
                </c:pt>
                <c:pt idx="10">
                  <c:v>5.6443833400786385</c:v>
                </c:pt>
                <c:pt idx="11">
                  <c:v>1.3373394846014859</c:v>
                </c:pt>
                <c:pt idx="12">
                  <c:v>-4.1992481255612537</c:v>
                </c:pt>
                <c:pt idx="13">
                  <c:v>-5.8750663749079042</c:v>
                </c:pt>
                <c:pt idx="14">
                  <c:v>-2.1493756934209722</c:v>
                </c:pt>
                <c:pt idx="15">
                  <c:v>3.5524410882433379</c:v>
                </c:pt>
                <c:pt idx="16">
                  <c:v>5.9881599162981702</c:v>
                </c:pt>
                <c:pt idx="17">
                  <c:v>2.918392133122798</c:v>
                </c:pt>
                <c:pt idx="18">
                  <c:v>-2.8345319183907969</c:v>
                </c:pt>
                <c:pt idx="19">
                  <c:v>-5.9814003962495761</c:v>
                </c:pt>
                <c:pt idx="20">
                  <c:v>-3.6289969344377049</c:v>
                </c:pt>
                <c:pt idx="21">
                  <c:v>2.0598895729193725</c:v>
                </c:pt>
                <c:pt idx="22">
                  <c:v>5.854923106601853</c:v>
                </c:pt>
                <c:pt idx="23">
                  <c:v>4.2669673374358945</c:v>
                </c:pt>
                <c:pt idx="24">
                  <c:v>-1.2440185236405528</c:v>
                </c:pt>
                <c:pt idx="25">
                  <c:v>-5.6112594911672335</c:v>
                </c:pt>
              </c:numCache>
            </c:numRef>
          </c:yVal>
          <c:smooth val="1"/>
          <c:extLst>
            <c:ext xmlns:c16="http://schemas.microsoft.com/office/drawing/2014/chart" uri="{C3380CC4-5D6E-409C-BE32-E72D297353CC}">
              <c16:uniqueId val="{00000000-6488-44F0-B5E9-12594E10FCC3}"/>
            </c:ext>
          </c:extLst>
        </c:ser>
        <c:ser>
          <c:idx val="1"/>
          <c:order val="1"/>
          <c:tx>
            <c:strRef>
              <c:f>Buffer!$E$9</c:f>
              <c:strCache>
                <c:ptCount val="1"/>
                <c:pt idx="0">
                  <c:v>Vout</c:v>
                </c:pt>
              </c:strCache>
            </c:strRef>
          </c:tx>
          <c:spPr>
            <a:ln>
              <a:solidFill>
                <a:srgbClr val="C00000"/>
              </a:solidFill>
              <a:prstDash val="dash"/>
            </a:ln>
          </c:spPr>
          <c:marker>
            <c:symbol val="none"/>
          </c:marker>
          <c:xVal>
            <c:numRef>
              <c:f>Buffer!$B$10:$B$35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Buffer!$E$10:$E$35</c:f>
              <c:numCache>
                <c:formatCode>General</c:formatCode>
                <c:ptCount val="26"/>
                <c:pt idx="0">
                  <c:v>1.3</c:v>
                </c:pt>
                <c:pt idx="1">
                  <c:v>1.3</c:v>
                </c:pt>
                <c:pt idx="2">
                  <c:v>1.3</c:v>
                </c:pt>
                <c:pt idx="3">
                  <c:v>5.3472441603686116</c:v>
                </c:pt>
                <c:pt idx="4">
                  <c:v>5.179256199893242</c:v>
                </c:pt>
                <c:pt idx="5">
                  <c:v>1.3</c:v>
                </c:pt>
                <c:pt idx="6">
                  <c:v>1.3</c:v>
                </c:pt>
                <c:pt idx="7">
                  <c:v>1.3</c:v>
                </c:pt>
                <c:pt idx="8">
                  <c:v>1.3</c:v>
                </c:pt>
                <c:pt idx="9">
                  <c:v>4.3738142407552587</c:v>
                </c:pt>
                <c:pt idx="10">
                  <c:v>5.8193388650705176</c:v>
                </c:pt>
                <c:pt idx="11">
                  <c:v>1.9145901740961127</c:v>
                </c:pt>
                <c:pt idx="12">
                  <c:v>1.3</c:v>
                </c:pt>
                <c:pt idx="13">
                  <c:v>1.3</c:v>
                </c:pt>
                <c:pt idx="14">
                  <c:v>1.3</c:v>
                </c:pt>
                <c:pt idx="15">
                  <c:v>3.0519687862342422</c:v>
                </c:pt>
                <c:pt idx="16">
                  <c:v>5.9958563324875058</c:v>
                </c:pt>
                <c:pt idx="17">
                  <c:v>3.4271812179599319</c:v>
                </c:pt>
                <c:pt idx="18">
                  <c:v>1.3</c:v>
                </c:pt>
                <c:pt idx="19">
                  <c:v>1.3</c:v>
                </c:pt>
                <c:pt idx="20">
                  <c:v>1.3</c:v>
                </c:pt>
                <c:pt idx="21">
                  <c:v>1.4870052478977382</c:v>
                </c:pt>
                <c:pt idx="22">
                  <c:v>5.6947473218873608</c:v>
                </c:pt>
                <c:pt idx="23">
                  <c:v>4.6667649708065699</c:v>
                </c:pt>
                <c:pt idx="24">
                  <c:v>1.3</c:v>
                </c:pt>
                <c:pt idx="25">
                  <c:v>1.3</c:v>
                </c:pt>
              </c:numCache>
            </c:numRef>
          </c:yVal>
          <c:smooth val="1"/>
          <c:extLst>
            <c:ext xmlns:c16="http://schemas.microsoft.com/office/drawing/2014/chart" uri="{C3380CC4-5D6E-409C-BE32-E72D297353CC}">
              <c16:uniqueId val="{00000001-6488-44F0-B5E9-12594E10FCC3}"/>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Gain,dB</c:v>
          </c:tx>
          <c:spPr>
            <a:ln w="19050" cap="rnd">
              <a:solidFill>
                <a:schemeClr val="accent1"/>
              </a:solidFill>
              <a:round/>
            </a:ln>
            <a:effectLst/>
          </c:spPr>
          <c:marker>
            <c:symbol val="none"/>
          </c:marker>
          <c:xVal>
            <c:numRef>
              <c:f>'NonInv HPF1'!$B$48:$B$102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HPF1'!$C$48:$C$102</c:f>
              <c:numCache>
                <c:formatCode>General</c:formatCode>
                <c:ptCount val="55"/>
                <c:pt idx="0">
                  <c:v>-58.015804434083627</c:v>
                </c:pt>
                <c:pt idx="1">
                  <c:v>-51.995209664376603</c:v>
                </c:pt>
                <c:pt idx="2">
                  <c:v>-48.473393055870446</c:v>
                </c:pt>
                <c:pt idx="3">
                  <c:v>-45.974630325326459</c:v>
                </c:pt>
                <c:pt idx="4">
                  <c:v>-44.036445495773478</c:v>
                </c:pt>
                <c:pt idx="5">
                  <c:v>-42.452839434378703</c:v>
                </c:pt>
                <c:pt idx="6">
                  <c:v>-41.113925930229072</c:v>
                </c:pt>
                <c:pt idx="7">
                  <c:v>-39.954112707990092</c:v>
                </c:pt>
                <c:pt idx="8">
                  <c:v>-38.931091405148415</c:v>
                </c:pt>
                <c:pt idx="9">
                  <c:v>-38.015974168763023</c:v>
                </c:pt>
                <c:pt idx="10">
                  <c:v>-31.995888562491533</c:v>
                </c:pt>
                <c:pt idx="11">
                  <c:v>-28.47492042440112</c:v>
                </c:pt>
                <c:pt idx="12">
                  <c:v>-25.977345268400029</c:v>
                </c:pt>
                <c:pt idx="13">
                  <c:v>-24.04068683374685</c:v>
                </c:pt>
                <c:pt idx="14">
                  <c:v>-22.458945623145038</c:v>
                </c:pt>
                <c:pt idx="15">
                  <c:v>-21.122234980811108</c:v>
                </c:pt>
                <c:pt idx="16">
                  <c:v>-19.964962106483174</c:v>
                </c:pt>
                <c:pt idx="17">
                  <c:v>-18.944818033075425</c:v>
                </c:pt>
                <c:pt idx="18">
                  <c:v>-18.032914223902658</c:v>
                </c:pt>
                <c:pt idx="19">
                  <c:v>-12.063247981752918</c:v>
                </c:pt>
                <c:pt idx="20">
                  <c:v>-8.6250068923629826</c:v>
                </c:pt>
                <c:pt idx="21">
                  <c:v>-6.2406115148955834</c:v>
                </c:pt>
                <c:pt idx="22">
                  <c:v>-4.4451782407212228</c:v>
                </c:pt>
                <c:pt idx="23">
                  <c:v>-3.0299038371231579</c:v>
                </c:pt>
                <c:pt idx="24">
                  <c:v>-1.8818632695283259</c:v>
                </c:pt>
                <c:pt idx="25">
                  <c:v>-0.93234156953539649</c:v>
                </c:pt>
                <c:pt idx="26">
                  <c:v>-0.13595210590718401</c:v>
                </c:pt>
                <c:pt idx="27">
                  <c:v>0.53912716423663665</c:v>
                </c:pt>
                <c:pt idx="28">
                  <c:v>3.8900535734468389</c:v>
                </c:pt>
                <c:pt idx="29">
                  <c:v>4.9435909443963331</c:v>
                </c:pt>
                <c:pt idx="30">
                  <c:v>5.382335548197771</c:v>
                </c:pt>
                <c:pt idx="31">
                  <c:v>5.6014599847633342</c:v>
                </c:pt>
                <c:pt idx="32">
                  <c:v>5.7252933610705803</c:v>
                </c:pt>
                <c:pt idx="33">
                  <c:v>5.8017039627357372</c:v>
                </c:pt>
                <c:pt idx="34">
                  <c:v>5.8520266575393247</c:v>
                </c:pt>
                <c:pt idx="35">
                  <c:v>5.8868677744412592</c:v>
                </c:pt>
                <c:pt idx="36">
                  <c:v>5.9119620146364067</c:v>
                </c:pt>
                <c:pt idx="37">
                  <c:v>5.9931846073314841</c:v>
                </c:pt>
                <c:pt idx="38">
                  <c:v>6.0083939622100218</c:v>
                </c:pt>
                <c:pt idx="39">
                  <c:v>6.0137298451608476</c:v>
                </c:pt>
                <c:pt idx="40">
                  <c:v>6.016201817909125</c:v>
                </c:pt>
                <c:pt idx="41">
                  <c:v>6.0175452079010352</c:v>
                </c:pt>
                <c:pt idx="42">
                  <c:v>6.0183554305626386</c:v>
                </c:pt>
                <c:pt idx="43">
                  <c:v>6.0188813771341501</c:v>
                </c:pt>
                <c:pt idx="44">
                  <c:v>6.0192420011792791</c:v>
                </c:pt>
                <c:pt idx="45">
                  <c:v>6.0194999718090632</c:v>
                </c:pt>
                <c:pt idx="46">
                  <c:v>6.0203249017937122</c:v>
                </c:pt>
                <c:pt idx="47">
                  <c:v>6.0204776838025769</c:v>
                </c:pt>
                <c:pt idx="48">
                  <c:v>6.0205311587754951</c:v>
                </c:pt>
                <c:pt idx="49">
                  <c:v>6.0205559102715895</c:v>
                </c:pt>
                <c:pt idx="50">
                  <c:v>6.0205693555878534</c:v>
                </c:pt>
                <c:pt idx="51">
                  <c:v>6.0205774627096131</c:v>
                </c:pt>
                <c:pt idx="52">
                  <c:v>6.0205827245515469</c:v>
                </c:pt>
                <c:pt idx="53">
                  <c:v>6.0205863320567365</c:v>
                </c:pt>
                <c:pt idx="54">
                  <c:v>6.0205889124858185</c:v>
                </c:pt>
              </c:numCache>
            </c:numRef>
          </c:yVal>
          <c:smooth val="0"/>
          <c:extLst>
            <c:ext xmlns:c16="http://schemas.microsoft.com/office/drawing/2014/chart" uri="{C3380CC4-5D6E-409C-BE32-E72D297353CC}">
              <c16:uniqueId val="{00000000-0622-487C-91D8-A6393340C89E}"/>
            </c:ext>
          </c:extLst>
        </c:ser>
        <c:ser>
          <c:idx val="1"/>
          <c:order val="1"/>
          <c:tx>
            <c:v>Gain,dB (Xc)</c:v>
          </c:tx>
          <c:spPr>
            <a:ln w="19050" cap="rnd">
              <a:solidFill>
                <a:schemeClr val="accent2"/>
              </a:solidFill>
              <a:round/>
            </a:ln>
            <a:effectLst/>
          </c:spPr>
          <c:marker>
            <c:symbol val="none"/>
          </c:marker>
          <c:xVal>
            <c:numRef>
              <c:f>'NonInv HPF1'!$B$48:$B$102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HPF1'!$E$48:$E$102</c:f>
              <c:numCache>
                <c:formatCode>General</c:formatCode>
                <c:ptCount val="55"/>
                <c:pt idx="0">
                  <c:v>-58.015804434083627</c:v>
                </c:pt>
                <c:pt idx="1">
                  <c:v>-51.995209664376603</c:v>
                </c:pt>
                <c:pt idx="2">
                  <c:v>-48.473393055870446</c:v>
                </c:pt>
                <c:pt idx="3">
                  <c:v>-45.974630325326459</c:v>
                </c:pt>
                <c:pt idx="4">
                  <c:v>-44.036445495773478</c:v>
                </c:pt>
                <c:pt idx="5">
                  <c:v>-42.452839434378703</c:v>
                </c:pt>
                <c:pt idx="6">
                  <c:v>-41.113925930229072</c:v>
                </c:pt>
                <c:pt idx="7">
                  <c:v>-39.954112707990092</c:v>
                </c:pt>
                <c:pt idx="8">
                  <c:v>-38.931091405148408</c:v>
                </c:pt>
                <c:pt idx="9">
                  <c:v>-38.015974168763023</c:v>
                </c:pt>
                <c:pt idx="10">
                  <c:v>-31.995888562491533</c:v>
                </c:pt>
                <c:pt idx="11">
                  <c:v>-28.474920424401112</c:v>
                </c:pt>
                <c:pt idx="12">
                  <c:v>-25.977345268400029</c:v>
                </c:pt>
                <c:pt idx="13">
                  <c:v>-24.04068683374685</c:v>
                </c:pt>
                <c:pt idx="14">
                  <c:v>-22.458945623145034</c:v>
                </c:pt>
                <c:pt idx="15">
                  <c:v>-21.122234980811104</c:v>
                </c:pt>
                <c:pt idx="16">
                  <c:v>-19.964962106483174</c:v>
                </c:pt>
                <c:pt idx="17">
                  <c:v>-18.944818033075418</c:v>
                </c:pt>
                <c:pt idx="18">
                  <c:v>-18.032914223902658</c:v>
                </c:pt>
                <c:pt idx="19">
                  <c:v>-12.063247981752916</c:v>
                </c:pt>
                <c:pt idx="20">
                  <c:v>-8.6250068923629808</c:v>
                </c:pt>
                <c:pt idx="21">
                  <c:v>-6.2406115148955807</c:v>
                </c:pt>
                <c:pt idx="22">
                  <c:v>-4.445178240721221</c:v>
                </c:pt>
                <c:pt idx="23">
                  <c:v>-3.0299038371231579</c:v>
                </c:pt>
                <c:pt idx="24">
                  <c:v>-1.8818632695283237</c:v>
                </c:pt>
                <c:pt idx="25">
                  <c:v>-0.93234156953539549</c:v>
                </c:pt>
                <c:pt idx="26">
                  <c:v>-0.13595210590718401</c:v>
                </c:pt>
                <c:pt idx="27">
                  <c:v>0.53912716423663842</c:v>
                </c:pt>
                <c:pt idx="28">
                  <c:v>3.8900535734468376</c:v>
                </c:pt>
                <c:pt idx="29">
                  <c:v>4.9435909443963348</c:v>
                </c:pt>
                <c:pt idx="30">
                  <c:v>5.3823355481977693</c:v>
                </c:pt>
                <c:pt idx="31">
                  <c:v>5.6014599847633342</c:v>
                </c:pt>
                <c:pt idx="32">
                  <c:v>5.7252933610705803</c:v>
                </c:pt>
                <c:pt idx="33">
                  <c:v>5.8017039627357363</c:v>
                </c:pt>
                <c:pt idx="34">
                  <c:v>5.8520266575393247</c:v>
                </c:pt>
                <c:pt idx="35">
                  <c:v>5.8868677744412592</c:v>
                </c:pt>
                <c:pt idx="36">
                  <c:v>5.9119620146364067</c:v>
                </c:pt>
                <c:pt idx="37">
                  <c:v>5.9931846073314841</c:v>
                </c:pt>
                <c:pt idx="38">
                  <c:v>6.0083939622100218</c:v>
                </c:pt>
                <c:pt idx="39">
                  <c:v>6.0137298451608476</c:v>
                </c:pt>
                <c:pt idx="40">
                  <c:v>6.016201817909125</c:v>
                </c:pt>
                <c:pt idx="41">
                  <c:v>6.0175452079010334</c:v>
                </c:pt>
                <c:pt idx="42">
                  <c:v>6.0183554305626386</c:v>
                </c:pt>
                <c:pt idx="43">
                  <c:v>6.0188813771341501</c:v>
                </c:pt>
                <c:pt idx="44">
                  <c:v>6.0192420011792782</c:v>
                </c:pt>
                <c:pt idx="45">
                  <c:v>6.0194999718090649</c:v>
                </c:pt>
                <c:pt idx="46">
                  <c:v>6.0203249017937113</c:v>
                </c:pt>
                <c:pt idx="47">
                  <c:v>6.0204776838025769</c:v>
                </c:pt>
                <c:pt idx="48">
                  <c:v>6.0205311587754959</c:v>
                </c:pt>
                <c:pt idx="49">
                  <c:v>6.0205559102715887</c:v>
                </c:pt>
                <c:pt idx="50">
                  <c:v>6.0205693555878526</c:v>
                </c:pt>
                <c:pt idx="51">
                  <c:v>6.020577462709614</c:v>
                </c:pt>
                <c:pt idx="52">
                  <c:v>6.0205827245515477</c:v>
                </c:pt>
                <c:pt idx="53">
                  <c:v>6.0205863320567374</c:v>
                </c:pt>
                <c:pt idx="54">
                  <c:v>6.0205889124858167</c:v>
                </c:pt>
              </c:numCache>
            </c:numRef>
          </c:yVal>
          <c:smooth val="0"/>
          <c:extLst>
            <c:ext xmlns:c16="http://schemas.microsoft.com/office/drawing/2014/chart" uri="{C3380CC4-5D6E-409C-BE32-E72D297353CC}">
              <c16:uniqueId val="{00000000-3DE1-4D52-AD8C-B1F47215A279}"/>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 HPF2'!$C$17</c:f>
              <c:strCache>
                <c:ptCount val="1"/>
                <c:pt idx="0">
                  <c:v>Vin(+)</c:v>
                </c:pt>
              </c:strCache>
            </c:strRef>
          </c:tx>
          <c:spPr>
            <a:ln>
              <a:solidFill>
                <a:schemeClr val="tx1"/>
              </a:solidFill>
            </a:ln>
          </c:spPr>
          <c:marker>
            <c:symbol val="none"/>
          </c:marker>
          <c:xVal>
            <c:numRef>
              <c:f>'NonInv HPF2'!$B$18:$B$43</c:f>
              <c:numCache>
                <c:formatCode>General</c:formatCode>
                <c:ptCount val="26"/>
                <c:pt idx="0">
                  <c:v>0</c:v>
                </c:pt>
                <c:pt idx="1">
                  <c:v>1.6000000000000001E-3</c:v>
                </c:pt>
                <c:pt idx="2">
                  <c:v>3.2000000000000002E-3</c:v>
                </c:pt>
                <c:pt idx="3">
                  <c:v>4.8000000000000004E-3</c:v>
                </c:pt>
                <c:pt idx="4">
                  <c:v>6.4000000000000003E-3</c:v>
                </c:pt>
                <c:pt idx="5">
                  <c:v>8.0000000000000002E-3</c:v>
                </c:pt>
                <c:pt idx="6">
                  <c:v>9.6000000000000009E-3</c:v>
                </c:pt>
                <c:pt idx="7">
                  <c:v>1.1200000000000002E-2</c:v>
                </c:pt>
                <c:pt idx="8">
                  <c:v>1.2800000000000002E-2</c:v>
                </c:pt>
                <c:pt idx="9">
                  <c:v>1.4400000000000003E-2</c:v>
                </c:pt>
                <c:pt idx="10">
                  <c:v>1.6000000000000004E-2</c:v>
                </c:pt>
                <c:pt idx="11">
                  <c:v>1.7600000000000005E-2</c:v>
                </c:pt>
                <c:pt idx="12">
                  <c:v>1.9200000000000005E-2</c:v>
                </c:pt>
                <c:pt idx="13">
                  <c:v>2.0800000000000006E-2</c:v>
                </c:pt>
                <c:pt idx="14">
                  <c:v>2.2400000000000007E-2</c:v>
                </c:pt>
                <c:pt idx="15">
                  <c:v>2.4000000000000007E-2</c:v>
                </c:pt>
                <c:pt idx="16">
                  <c:v>2.5600000000000008E-2</c:v>
                </c:pt>
                <c:pt idx="17">
                  <c:v>2.7200000000000009E-2</c:v>
                </c:pt>
                <c:pt idx="18">
                  <c:v>2.880000000000001E-2</c:v>
                </c:pt>
                <c:pt idx="19">
                  <c:v>3.040000000000001E-2</c:v>
                </c:pt>
                <c:pt idx="20">
                  <c:v>3.2000000000000008E-2</c:v>
                </c:pt>
                <c:pt idx="21">
                  <c:v>3.3600000000000005E-2</c:v>
                </c:pt>
                <c:pt idx="22">
                  <c:v>3.5200000000000002E-2</c:v>
                </c:pt>
                <c:pt idx="23">
                  <c:v>3.6799999999999999E-2</c:v>
                </c:pt>
                <c:pt idx="24">
                  <c:v>3.8399999999999997E-2</c:v>
                </c:pt>
                <c:pt idx="25">
                  <c:v>3.9999999999999994E-2</c:v>
                </c:pt>
              </c:numCache>
            </c:numRef>
          </c:xVal>
          <c:yVal>
            <c:numRef>
              <c:f>'NonInv HPF2'!$C$18:$C$43</c:f>
              <c:numCache>
                <c:formatCode>General</c:formatCode>
                <c:ptCount val="26"/>
                <c:pt idx="0">
                  <c:v>0</c:v>
                </c:pt>
                <c:pt idx="1">
                  <c:v>0.84432792550201508</c:v>
                </c:pt>
                <c:pt idx="2">
                  <c:v>0.90482705246601947</c:v>
                </c:pt>
                <c:pt idx="3">
                  <c:v>0.12533323356430409</c:v>
                </c:pt>
                <c:pt idx="4">
                  <c:v>-0.77051324277578936</c:v>
                </c:pt>
                <c:pt idx="5">
                  <c:v>-0.95105651629515364</c:v>
                </c:pt>
                <c:pt idx="6">
                  <c:v>-0.24868988716485449</c:v>
                </c:pt>
                <c:pt idx="7">
                  <c:v>0.68454710592868928</c:v>
                </c:pt>
                <c:pt idx="8">
                  <c:v>0.98228725072868861</c:v>
                </c:pt>
                <c:pt idx="9">
                  <c:v>0.36812455268467631</c:v>
                </c:pt>
                <c:pt idx="10">
                  <c:v>-0.58778525229247425</c:v>
                </c:pt>
                <c:pt idx="11">
                  <c:v>-0.99802672842827134</c:v>
                </c:pt>
                <c:pt idx="12">
                  <c:v>-0.48175367410171166</c:v>
                </c:pt>
                <c:pt idx="13">
                  <c:v>0.48175367410171699</c:v>
                </c:pt>
                <c:pt idx="14">
                  <c:v>0.99802672842827178</c:v>
                </c:pt>
                <c:pt idx="15">
                  <c:v>0.58778525229246925</c:v>
                </c:pt>
                <c:pt idx="16">
                  <c:v>-0.36812455268468203</c:v>
                </c:pt>
                <c:pt idx="17">
                  <c:v>-0.98228725072868972</c:v>
                </c:pt>
                <c:pt idx="18">
                  <c:v>-0.68454710592868606</c:v>
                </c:pt>
                <c:pt idx="19">
                  <c:v>0.24868988716485957</c:v>
                </c:pt>
                <c:pt idx="20">
                  <c:v>0.95105651629515442</c:v>
                </c:pt>
                <c:pt idx="21">
                  <c:v>0.77051324277578881</c:v>
                </c:pt>
                <c:pt idx="22">
                  <c:v>-0.12533323356430268</c:v>
                </c:pt>
                <c:pt idx="23">
                  <c:v>-0.90482705246601791</c:v>
                </c:pt>
                <c:pt idx="24">
                  <c:v>-0.8443279255020163</c:v>
                </c:pt>
                <c:pt idx="25">
                  <c:v>-4.5328324427273969E-15</c:v>
                </c:pt>
              </c:numCache>
            </c:numRef>
          </c:yVal>
          <c:smooth val="1"/>
          <c:extLst>
            <c:ext xmlns:c16="http://schemas.microsoft.com/office/drawing/2014/chart" uri="{C3380CC4-5D6E-409C-BE32-E72D297353CC}">
              <c16:uniqueId val="{00000000-9ED7-469C-ABE3-89B8BC626663}"/>
            </c:ext>
          </c:extLst>
        </c:ser>
        <c:ser>
          <c:idx val="1"/>
          <c:order val="1"/>
          <c:tx>
            <c:strRef>
              <c:f>'NonInv HPF2'!$E$17</c:f>
              <c:strCache>
                <c:ptCount val="1"/>
                <c:pt idx="0">
                  <c:v>Vout</c:v>
                </c:pt>
              </c:strCache>
            </c:strRef>
          </c:tx>
          <c:spPr>
            <a:ln>
              <a:solidFill>
                <a:srgbClr val="C00000"/>
              </a:solidFill>
              <a:prstDash val="dash"/>
            </a:ln>
          </c:spPr>
          <c:marker>
            <c:symbol val="none"/>
          </c:marker>
          <c:xVal>
            <c:numRef>
              <c:f>'NonInv HPF2'!$B$18:$B$43</c:f>
              <c:numCache>
                <c:formatCode>General</c:formatCode>
                <c:ptCount val="26"/>
                <c:pt idx="0">
                  <c:v>0</c:v>
                </c:pt>
                <c:pt idx="1">
                  <c:v>1.6000000000000001E-3</c:v>
                </c:pt>
                <c:pt idx="2">
                  <c:v>3.2000000000000002E-3</c:v>
                </c:pt>
                <c:pt idx="3">
                  <c:v>4.8000000000000004E-3</c:v>
                </c:pt>
                <c:pt idx="4">
                  <c:v>6.4000000000000003E-3</c:v>
                </c:pt>
                <c:pt idx="5">
                  <c:v>8.0000000000000002E-3</c:v>
                </c:pt>
                <c:pt idx="6">
                  <c:v>9.6000000000000009E-3</c:v>
                </c:pt>
                <c:pt idx="7">
                  <c:v>1.1200000000000002E-2</c:v>
                </c:pt>
                <c:pt idx="8">
                  <c:v>1.2800000000000002E-2</c:v>
                </c:pt>
                <c:pt idx="9">
                  <c:v>1.4400000000000003E-2</c:v>
                </c:pt>
                <c:pt idx="10">
                  <c:v>1.6000000000000004E-2</c:v>
                </c:pt>
                <c:pt idx="11">
                  <c:v>1.7600000000000005E-2</c:v>
                </c:pt>
                <c:pt idx="12">
                  <c:v>1.9200000000000005E-2</c:v>
                </c:pt>
                <c:pt idx="13">
                  <c:v>2.0800000000000006E-2</c:v>
                </c:pt>
                <c:pt idx="14">
                  <c:v>2.2400000000000007E-2</c:v>
                </c:pt>
                <c:pt idx="15">
                  <c:v>2.4000000000000007E-2</c:v>
                </c:pt>
                <c:pt idx="16">
                  <c:v>2.5600000000000008E-2</c:v>
                </c:pt>
                <c:pt idx="17">
                  <c:v>2.7200000000000009E-2</c:v>
                </c:pt>
                <c:pt idx="18">
                  <c:v>2.880000000000001E-2</c:v>
                </c:pt>
                <c:pt idx="19">
                  <c:v>3.040000000000001E-2</c:v>
                </c:pt>
                <c:pt idx="20">
                  <c:v>3.2000000000000008E-2</c:v>
                </c:pt>
                <c:pt idx="21">
                  <c:v>3.3600000000000005E-2</c:v>
                </c:pt>
                <c:pt idx="22">
                  <c:v>3.5200000000000002E-2</c:v>
                </c:pt>
                <c:pt idx="23">
                  <c:v>3.6799999999999999E-2</c:v>
                </c:pt>
                <c:pt idx="24">
                  <c:v>3.8399999999999997E-2</c:v>
                </c:pt>
                <c:pt idx="25">
                  <c:v>3.9999999999999994E-2</c:v>
                </c:pt>
              </c:numCache>
            </c:numRef>
          </c:xVal>
          <c:yVal>
            <c:numRef>
              <c:f>'NonInv HPF2'!$E$18:$E$43</c:f>
              <c:numCache>
                <c:formatCode>General</c:formatCode>
                <c:ptCount val="26"/>
                <c:pt idx="0">
                  <c:v>0</c:v>
                </c:pt>
                <c:pt idx="1">
                  <c:v>1.7417065391635871</c:v>
                </c:pt>
                <c:pt idx="2">
                  <c:v>1.8665060653479701</c:v>
                </c:pt>
                <c:pt idx="3">
                  <c:v>0.25854138644493363</c:v>
                </c:pt>
                <c:pt idx="4">
                  <c:v>-1.5894392604115402</c:v>
                </c:pt>
                <c:pt idx="5">
                  <c:v>-1.9618696758851384</c:v>
                </c:pt>
                <c:pt idx="6">
                  <c:v>-0.5130054207804926</c:v>
                </c:pt>
                <c:pt idx="7">
                  <c:v>1.4121055750378131</c:v>
                </c:pt>
                <c:pt idx="8">
                  <c:v>2.0262934296694604</c:v>
                </c:pt>
                <c:pt idx="9">
                  <c:v>0.75937905317575682</c:v>
                </c:pt>
                <c:pt idx="10">
                  <c:v>-1.2125021411947579</c:v>
                </c:pt>
                <c:pt idx="11">
                  <c:v>-2.0587613256188728</c:v>
                </c:pt>
                <c:pt idx="12">
                  <c:v>-0.99377682427137992</c:v>
                </c:pt>
                <c:pt idx="13">
                  <c:v>0.99377682427139091</c:v>
                </c:pt>
                <c:pt idx="14">
                  <c:v>2.0587613256188741</c:v>
                </c:pt>
                <c:pt idx="15">
                  <c:v>1.2125021411947474</c:v>
                </c:pt>
                <c:pt idx="16">
                  <c:v>-0.75937905317576859</c:v>
                </c:pt>
                <c:pt idx="17">
                  <c:v>-2.026293429669463</c:v>
                </c:pt>
                <c:pt idx="18">
                  <c:v>-1.4121055750378064</c:v>
                </c:pt>
                <c:pt idx="19">
                  <c:v>0.51300542078050315</c:v>
                </c:pt>
                <c:pt idx="20">
                  <c:v>1.9618696758851402</c:v>
                </c:pt>
                <c:pt idx="21">
                  <c:v>1.589439260411539</c:v>
                </c:pt>
                <c:pt idx="22">
                  <c:v>-0.25854138644493069</c:v>
                </c:pt>
                <c:pt idx="23">
                  <c:v>-1.8665060653479668</c:v>
                </c:pt>
                <c:pt idx="24">
                  <c:v>-1.7417065391635895</c:v>
                </c:pt>
                <c:pt idx="25">
                  <c:v>-9.3504711474953111E-15</c:v>
                </c:pt>
              </c:numCache>
            </c:numRef>
          </c:yVal>
          <c:smooth val="1"/>
          <c:extLst>
            <c:ext xmlns:c16="http://schemas.microsoft.com/office/drawing/2014/chart" uri="{C3380CC4-5D6E-409C-BE32-E72D297353CC}">
              <c16:uniqueId val="{00000001-9ED7-469C-ABE3-89B8BC626663}"/>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Non-Inverting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'NonInv HPF2'!$C$47</c:f>
              <c:strCache>
                <c:ptCount val="1"/>
                <c:pt idx="0">
                  <c:v>Gain,dB</c:v>
                </c:pt>
              </c:strCache>
            </c:strRef>
          </c:tx>
          <c:spPr>
            <a:ln w="19050" cap="rnd">
              <a:solidFill>
                <a:schemeClr val="accent2"/>
              </a:solidFill>
              <a:round/>
            </a:ln>
            <a:effectLst/>
          </c:spPr>
          <c:marker>
            <c:symbol val="none"/>
          </c:marker>
          <c:xVal>
            <c:numRef>
              <c:f>'NonInv HPF2'!$B$48:$B$102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HPF2'!$C$48:$C$102</c:f>
              <c:numCache>
                <c:formatCode>General</c:formatCode>
                <c:ptCount val="55"/>
                <c:pt idx="0">
                  <c:v>6.0233282374455861</c:v>
                </c:pt>
                <c:pt idx="1">
                  <c:v>6.0260557048869412</c:v>
                </c:pt>
                <c:pt idx="2">
                  <c:v>6.0287823161415597</c:v>
                </c:pt>
                <c:pt idx="3">
                  <c:v>6.0315080717468126</c:v>
                </c:pt>
                <c:pt idx="4">
                  <c:v>6.0342329722395593</c:v>
                </c:pt>
                <c:pt idx="5">
                  <c:v>6.0369570181561567</c:v>
                </c:pt>
                <c:pt idx="6">
                  <c:v>6.0396802100324578</c:v>
                </c:pt>
                <c:pt idx="7">
                  <c:v>6.0424025484038086</c:v>
                </c:pt>
                <c:pt idx="8">
                  <c:v>6.0451240338050525</c:v>
                </c:pt>
                <c:pt idx="9">
                  <c:v>6.047844666770537</c:v>
                </c:pt>
                <c:pt idx="10">
                  <c:v>6.0750042296556108</c:v>
                </c:pt>
                <c:pt idx="11">
                  <c:v>6.1020791330332749</c:v>
                </c:pt>
                <c:pt idx="12">
                  <c:v>6.1290699030509019</c:v>
                </c:pt>
                <c:pt idx="13">
                  <c:v>6.1559770609661442</c:v>
                </c:pt>
                <c:pt idx="14">
                  <c:v>6.182801123207355</c:v>
                </c:pt>
                <c:pt idx="15">
                  <c:v>6.2095426014330428</c:v>
                </c:pt>
                <c:pt idx="16">
                  <c:v>6.2362020025904439</c:v>
                </c:pt>
                <c:pt idx="17">
                  <c:v>6.2627798289731835</c:v>
                </c:pt>
                <c:pt idx="18">
                  <c:v>6.2892765782780575</c:v>
                </c:pt>
                <c:pt idx="19">
                  <c:v>6.5498911480672648</c:v>
                </c:pt>
                <c:pt idx="20">
                  <c:v>6.8029133940321493</c:v>
                </c:pt>
                <c:pt idx="21">
                  <c:v>7.048773187522487</c:v>
                </c:pt>
                <c:pt idx="22">
                  <c:v>7.2878648942710686</c:v>
                </c:pt>
                <c:pt idx="23">
                  <c:v>7.5205511800098712</c:v>
                </c:pt>
                <c:pt idx="24">
                  <c:v>7.747166319489974</c:v>
                </c:pt>
                <c:pt idx="25">
                  <c:v>7.9680190846927568</c:v>
                </c:pt>
                <c:pt idx="26">
                  <c:v>8.1833952748599934</c:v>
                </c:pt>
                <c:pt idx="27">
                  <c:v>8.3935599403589976</c:v>
                </c:pt>
                <c:pt idx="28">
                  <c:v>10.255387219203556</c:v>
                </c:pt>
                <c:pt idx="29">
                  <c:v>11.78772117731909</c:v>
                </c:pt>
                <c:pt idx="30">
                  <c:v>13.089834241575771</c:v>
                </c:pt>
                <c:pt idx="31">
                  <c:v>14.221953327483256</c:v>
                </c:pt>
                <c:pt idx="32">
                  <c:v>15.22338256307332</c:v>
                </c:pt>
                <c:pt idx="33">
                  <c:v>16.121196569219801</c:v>
                </c:pt>
                <c:pt idx="34">
                  <c:v>16.934840651255321</c:v>
                </c:pt>
                <c:pt idx="35">
                  <c:v>17.678752734778222</c:v>
                </c:pt>
                <c:pt idx="36">
                  <c:v>18.363947545626754</c:v>
                </c:pt>
                <c:pt idx="37">
                  <c:v>23.267027111573427</c:v>
                </c:pt>
                <c:pt idx="38">
                  <c:v>26.381936185831858</c:v>
                </c:pt>
                <c:pt idx="39">
                  <c:v>28.669873457514029</c:v>
                </c:pt>
                <c:pt idx="40">
                  <c:v>30.479070149445086</c:v>
                </c:pt>
                <c:pt idx="41">
                  <c:v>31.975615814876814</c:v>
                </c:pt>
                <c:pt idx="42">
                  <c:v>33.251813272880369</c:v>
                </c:pt>
                <c:pt idx="43">
                  <c:v>34.364299273585232</c:v>
                </c:pt>
                <c:pt idx="44">
                  <c:v>35.350340348865053</c:v>
                </c:pt>
                <c:pt idx="45">
                  <c:v>36.235768702104046</c:v>
                </c:pt>
                <c:pt idx="46">
                  <c:v>42.121348961416331</c:v>
                </c:pt>
                <c:pt idx="47">
                  <c:v>45.597697119316017</c:v>
                </c:pt>
                <c:pt idx="48">
                  <c:v>48.073643737455086</c:v>
                </c:pt>
                <c:pt idx="49">
                  <c:v>49.998118275274159</c:v>
                </c:pt>
                <c:pt idx="50">
                  <c:v>51.572580649931304</c:v>
                </c:pt>
                <c:pt idx="51">
                  <c:v>52.904965843992791</c:v>
                </c:pt>
                <c:pt idx="52">
                  <c:v>54.059888590564931</c:v>
                </c:pt>
                <c:pt idx="53">
                  <c:v>55.079113409191443</c:v>
                </c:pt>
                <c:pt idx="54">
                  <c:v>55.991201502507721</c:v>
                </c:pt>
              </c:numCache>
            </c:numRef>
          </c:yVal>
          <c:smooth val="0"/>
          <c:extLst>
            <c:ext xmlns:c16="http://schemas.microsoft.com/office/drawing/2014/chart" uri="{C3380CC4-5D6E-409C-BE32-E72D297353CC}">
              <c16:uniqueId val="{00000000-245B-46C9-85CF-A4EC00F8B285}"/>
            </c:ext>
          </c:extLst>
        </c:ser>
        <c:ser>
          <c:idx val="0"/>
          <c:order val="1"/>
          <c:tx>
            <c:strRef>
              <c:f>'NonInv HPF2'!$E$47</c:f>
              <c:strCache>
                <c:ptCount val="1"/>
                <c:pt idx="0">
                  <c:v>Gain,dB (Xc)</c:v>
                </c:pt>
              </c:strCache>
            </c:strRef>
          </c:tx>
          <c:spPr>
            <a:ln w="19050" cap="rnd">
              <a:solidFill>
                <a:srgbClr val="C00000"/>
              </a:solidFill>
              <a:round/>
            </a:ln>
            <a:effectLst/>
          </c:spPr>
          <c:marker>
            <c:symbol val="none"/>
          </c:marker>
          <c:xVal>
            <c:numRef>
              <c:f>'NonInv HPF2'!$B$48:$B$102</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'NonInv HPF2'!$E$48:$E$102</c:f>
              <c:numCache>
                <c:formatCode>General</c:formatCode>
                <c:ptCount val="55"/>
                <c:pt idx="0">
                  <c:v>6.0233282374455861</c:v>
                </c:pt>
                <c:pt idx="1">
                  <c:v>6.0260557048869394</c:v>
                </c:pt>
                <c:pt idx="2">
                  <c:v>6.0287823161415597</c:v>
                </c:pt>
                <c:pt idx="3">
                  <c:v>6.0315080717468126</c:v>
                </c:pt>
                <c:pt idx="4">
                  <c:v>6.0342329722395593</c:v>
                </c:pt>
                <c:pt idx="5">
                  <c:v>6.0369570181561567</c:v>
                </c:pt>
                <c:pt idx="6">
                  <c:v>6.0396802100324578</c:v>
                </c:pt>
                <c:pt idx="7">
                  <c:v>6.0424025484038086</c:v>
                </c:pt>
                <c:pt idx="8">
                  <c:v>6.0451240338050551</c:v>
                </c:pt>
                <c:pt idx="9">
                  <c:v>6.047844666770537</c:v>
                </c:pt>
                <c:pt idx="10">
                  <c:v>6.0750042296556108</c:v>
                </c:pt>
                <c:pt idx="11">
                  <c:v>6.1020791330332749</c:v>
                </c:pt>
                <c:pt idx="12">
                  <c:v>6.1290699030509019</c:v>
                </c:pt>
                <c:pt idx="13">
                  <c:v>6.1559770609661442</c:v>
                </c:pt>
                <c:pt idx="14">
                  <c:v>6.1828011232073541</c:v>
                </c:pt>
                <c:pt idx="15">
                  <c:v>6.2095426014330428</c:v>
                </c:pt>
                <c:pt idx="16">
                  <c:v>6.2362020025904439</c:v>
                </c:pt>
                <c:pt idx="17">
                  <c:v>6.2627798289731835</c:v>
                </c:pt>
                <c:pt idx="18">
                  <c:v>6.2892765782780566</c:v>
                </c:pt>
                <c:pt idx="19">
                  <c:v>6.5498911480672648</c:v>
                </c:pt>
                <c:pt idx="20">
                  <c:v>6.8029133940321493</c:v>
                </c:pt>
                <c:pt idx="21">
                  <c:v>7.048773187522487</c:v>
                </c:pt>
                <c:pt idx="22">
                  <c:v>7.2878648942710686</c:v>
                </c:pt>
                <c:pt idx="23">
                  <c:v>7.5205511800098721</c:v>
                </c:pt>
                <c:pt idx="24">
                  <c:v>7.747166319489974</c:v>
                </c:pt>
                <c:pt idx="25">
                  <c:v>7.9680190846927568</c:v>
                </c:pt>
                <c:pt idx="26">
                  <c:v>8.1833952748599952</c:v>
                </c:pt>
                <c:pt idx="27">
                  <c:v>8.3935599403589976</c:v>
                </c:pt>
                <c:pt idx="28">
                  <c:v>10.255387219203556</c:v>
                </c:pt>
                <c:pt idx="29">
                  <c:v>11.787721177319092</c:v>
                </c:pt>
                <c:pt idx="30">
                  <c:v>13.089834241575771</c:v>
                </c:pt>
                <c:pt idx="31">
                  <c:v>14.221953327483259</c:v>
                </c:pt>
                <c:pt idx="32">
                  <c:v>15.223382563073322</c:v>
                </c:pt>
                <c:pt idx="33">
                  <c:v>16.121196569219801</c:v>
                </c:pt>
                <c:pt idx="34">
                  <c:v>16.934840651255321</c:v>
                </c:pt>
                <c:pt idx="35">
                  <c:v>17.678752734778222</c:v>
                </c:pt>
                <c:pt idx="36">
                  <c:v>18.363947545626758</c:v>
                </c:pt>
                <c:pt idx="37">
                  <c:v>23.267027111573427</c:v>
                </c:pt>
                <c:pt idx="38">
                  <c:v>26.381936185831858</c:v>
                </c:pt>
                <c:pt idx="39">
                  <c:v>28.669873457514029</c:v>
                </c:pt>
                <c:pt idx="40">
                  <c:v>30.479070149445093</c:v>
                </c:pt>
                <c:pt idx="41">
                  <c:v>31.975615814876814</c:v>
                </c:pt>
                <c:pt idx="42">
                  <c:v>33.251813272880369</c:v>
                </c:pt>
                <c:pt idx="43">
                  <c:v>34.364299273585232</c:v>
                </c:pt>
                <c:pt idx="44">
                  <c:v>35.350340348865053</c:v>
                </c:pt>
                <c:pt idx="45">
                  <c:v>36.235768702104053</c:v>
                </c:pt>
                <c:pt idx="46">
                  <c:v>42.121348961416331</c:v>
                </c:pt>
                <c:pt idx="47">
                  <c:v>45.597697119316024</c:v>
                </c:pt>
                <c:pt idx="48">
                  <c:v>48.0736437374551</c:v>
                </c:pt>
                <c:pt idx="49">
                  <c:v>49.998118275274159</c:v>
                </c:pt>
                <c:pt idx="50">
                  <c:v>51.572580649931304</c:v>
                </c:pt>
                <c:pt idx="51">
                  <c:v>52.904965843992791</c:v>
                </c:pt>
                <c:pt idx="52">
                  <c:v>54.059888590564931</c:v>
                </c:pt>
                <c:pt idx="53">
                  <c:v>55.079113409191443</c:v>
                </c:pt>
                <c:pt idx="54">
                  <c:v>55.991201502507721</c:v>
                </c:pt>
              </c:numCache>
            </c:numRef>
          </c:yVal>
          <c:smooth val="0"/>
          <c:extLst>
            <c:ext xmlns:c16="http://schemas.microsoft.com/office/drawing/2014/chart" uri="{C3380CC4-5D6E-409C-BE32-E72D297353CC}">
              <c16:uniqueId val="{00000000-DB3C-42BE-9F16-B20398832BF1}"/>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'NonInv+Bias'!$C$9</c:f>
              <c:strCache>
                <c:ptCount val="1"/>
                <c:pt idx="0">
                  <c:v>Vin(+)</c:v>
                </c:pt>
              </c:strCache>
            </c:strRef>
          </c:tx>
          <c:spPr>
            <a:ln>
              <a:solidFill>
                <a:schemeClr val="tx1"/>
              </a:solidFill>
            </a:ln>
          </c:spPr>
          <c:marker>
            <c:symbol val="none"/>
          </c:marker>
          <c:xVal>
            <c:numRef>
              <c:f>'NonInv+Bias'!$B$10:$B$35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7A0F-4410-9CD6-61E2DEFE81A2}"/>
            </c:ext>
          </c:extLst>
        </c:ser>
        <c:ser>
          <c:idx val="1"/>
          <c:order val="1"/>
          <c:tx>
            <c:strRef>
              <c:f>'NonInv+Bias'!$E$9</c:f>
              <c:strCache>
                <c:ptCount val="1"/>
                <c:pt idx="0">
                  <c:v>Vout</c:v>
                </c:pt>
              </c:strCache>
            </c:strRef>
          </c:tx>
          <c:spPr>
            <a:ln>
              <a:solidFill>
                <a:srgbClr val="C00000"/>
              </a:solidFill>
              <a:prstDash val="dash"/>
            </a:ln>
          </c:spPr>
          <c:marker>
            <c:symbol val="none"/>
          </c:marker>
          <c:xVal>
            <c:numRef>
              <c:f>'NonInv+Bias'!$B$10:$B$35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'NonInv+Bias'!$E$10:$E$35</c:f>
              <c:numCache>
                <c:formatCode>General</c:formatCode>
                <c:ptCount val="26"/>
                <c:pt idx="0">
                  <c:v>1.5</c:v>
                </c:pt>
                <c:pt idx="1">
                  <c:v>1.8993336665873126</c:v>
                </c:pt>
                <c:pt idx="2">
                  <c:v>2.2946773231802449</c:v>
                </c:pt>
                <c:pt idx="3">
                  <c:v>3.6</c:v>
                </c:pt>
                <c:pt idx="4">
                  <c:v>3.6</c:v>
                </c:pt>
                <c:pt idx="5">
                  <c:v>1.2665034262896797</c:v>
                </c:pt>
                <c:pt idx="6">
                  <c:v>-1.9863030896543528</c:v>
                </c:pt>
                <c:pt idx="7">
                  <c:v>-2.0338186228806125</c:v>
                </c:pt>
                <c:pt idx="8">
                  <c:v>1.1676423887300145</c:v>
                </c:pt>
                <c:pt idx="9">
                  <c:v>3.6</c:v>
                </c:pt>
                <c:pt idx="10">
                  <c:v>3.6</c:v>
                </c:pt>
                <c:pt idx="11">
                  <c:v>2.3915596564009904</c:v>
                </c:pt>
                <c:pt idx="12">
                  <c:v>-1.2994987503741693</c:v>
                </c:pt>
                <c:pt idx="13">
                  <c:v>-2.4167109166052696</c:v>
                </c:pt>
                <c:pt idx="14">
                  <c:v>6.7082871052685178E-2</c:v>
                </c:pt>
                <c:pt idx="15">
                  <c:v>3.6</c:v>
                </c:pt>
                <c:pt idx="16">
                  <c:v>3.6</c:v>
                </c:pt>
                <c:pt idx="17">
                  <c:v>3.4455947554151987</c:v>
                </c:pt>
                <c:pt idx="18">
                  <c:v>-0.38968794559386466</c:v>
                </c:pt>
                <c:pt idx="19">
                  <c:v>-2.4876002641663844</c:v>
                </c:pt>
                <c:pt idx="20">
                  <c:v>-0.91933128962513644</c:v>
                </c:pt>
                <c:pt idx="21">
                  <c:v>2.8732597152795813</c:v>
                </c:pt>
                <c:pt idx="22">
                  <c:v>3.6</c:v>
                </c:pt>
                <c:pt idx="23">
                  <c:v>3.6</c:v>
                </c:pt>
                <c:pt idx="24">
                  <c:v>0.6706543175729649</c:v>
                </c:pt>
                <c:pt idx="25">
                  <c:v>-2.2408396607781556</c:v>
                </c:pt>
              </c:numCache>
            </c:numRef>
          </c:yVal>
          <c:smooth val="1"/>
          <c:extLst>
            <c:ext xmlns:c16="http://schemas.microsoft.com/office/drawing/2014/chart" uri="{C3380CC4-5D6E-409C-BE32-E72D297353CC}">
              <c16:uniqueId val="{00000001-7A0F-4410-9CD6-61E2DEFE81A2}"/>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4669474455227982"/>
          <c:y val="0.78105010201142488"/>
          <c:w val="0.34380907037783071"/>
          <c:h val="0.1730877988379015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'NonInv+Bias Vhalf'!$C$9</c:f>
              <c:strCache>
                <c:ptCount val="1"/>
                <c:pt idx="0">
                  <c:v>Vin(+)</c:v>
                </c:pt>
              </c:strCache>
            </c:strRef>
          </c:tx>
          <c:spPr>
            <a:ln>
              <a:solidFill>
                <a:schemeClr val="tx1"/>
              </a:solidFill>
            </a:ln>
          </c:spPr>
          <c:marker>
            <c:symbol val="none"/>
          </c:marker>
          <c:xVal>
            <c:numRef>
              <c:f>'NonInv+Bias Vhalf'!$B$10:$B$35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Vhalf'!$C$10:$C$35</c:f>
              <c:numCache>
                <c:formatCode>General</c:formatCode>
                <c:ptCount val="26"/>
                <c:pt idx="0">
                  <c:v>2.5</c:v>
                </c:pt>
                <c:pt idx="1">
                  <c:v>2.5099833416646828</c:v>
                </c:pt>
                <c:pt idx="2">
                  <c:v>2.519866933079506</c:v>
                </c:pt>
                <c:pt idx="3">
                  <c:v>2.5932039085967227</c:v>
                </c:pt>
                <c:pt idx="4">
                  <c:v>2.5808496403819592</c:v>
                </c:pt>
                <c:pt idx="5">
                  <c:v>2.494162585657242</c:v>
                </c:pt>
                <c:pt idx="6">
                  <c:v>2.4128424227586414</c:v>
                </c:pt>
                <c:pt idx="7">
                  <c:v>2.4116545344279845</c:v>
                </c:pt>
                <c:pt idx="8">
                  <c:v>2.4916910597182502</c:v>
                </c:pt>
                <c:pt idx="9">
                  <c:v>2.5793667863849152</c:v>
                </c:pt>
                <c:pt idx="10">
                  <c:v>2.5940730556679772</c:v>
                </c:pt>
                <c:pt idx="11">
                  <c:v>2.5222889914100248</c:v>
                </c:pt>
                <c:pt idx="12">
                  <c:v>2.4300125312406458</c:v>
                </c:pt>
                <c:pt idx="13">
                  <c:v>2.4020822270848683</c:v>
                </c:pt>
                <c:pt idx="14">
                  <c:v>2.4641770717763172</c:v>
                </c:pt>
                <c:pt idx="15">
                  <c:v>2.5592073514707221</c:v>
                </c:pt>
                <c:pt idx="16">
                  <c:v>2.5998026652716364</c:v>
                </c:pt>
                <c:pt idx="17">
                  <c:v>2.5486398688853802</c:v>
                </c:pt>
                <c:pt idx="18">
                  <c:v>2.4527578013601534</c:v>
                </c:pt>
                <c:pt idx="19">
                  <c:v>2.4003099933958403</c:v>
                </c:pt>
                <c:pt idx="20">
                  <c:v>2.4395167177593717</c:v>
                </c:pt>
                <c:pt idx="21">
                  <c:v>2.5343314928819893</c:v>
                </c:pt>
                <c:pt idx="22">
                  <c:v>2.5975820517766977</c:v>
                </c:pt>
                <c:pt idx="23">
                  <c:v>2.571116122290598</c:v>
                </c:pt>
                <c:pt idx="24">
                  <c:v>2.4792663579393239</c:v>
                </c:pt>
                <c:pt idx="25">
                  <c:v>2.4064790084805461</c:v>
                </c:pt>
              </c:numCache>
            </c:numRef>
          </c:yVal>
          <c:smooth val="1"/>
          <c:extLst>
            <c:ext xmlns:c16="http://schemas.microsoft.com/office/drawing/2014/chart" uri="{C3380CC4-5D6E-409C-BE32-E72D297353CC}">
              <c16:uniqueId val="{00000000-0129-4D49-8407-DC1AB709F362}"/>
            </c:ext>
          </c:extLst>
        </c:ser>
        <c:ser>
          <c:idx val="1"/>
          <c:order val="1"/>
          <c:tx>
            <c:strRef>
              <c:f>'NonInv+Bias Vhalf'!$E$9</c:f>
              <c:strCache>
                <c:ptCount val="1"/>
                <c:pt idx="0">
                  <c:v>Vout</c:v>
                </c:pt>
              </c:strCache>
            </c:strRef>
          </c:tx>
          <c:spPr>
            <a:ln>
              <a:solidFill>
                <a:srgbClr val="C00000"/>
              </a:solidFill>
              <a:prstDash val="dash"/>
            </a:ln>
          </c:spPr>
          <c:marker>
            <c:symbol val="none"/>
          </c:marker>
          <c:xVal>
            <c:numRef>
              <c:f>'NonInv+Bias Vhalf'!$B$10:$B$35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Vhalf'!$E$10:$E$35</c:f>
              <c:numCache>
                <c:formatCode>General</c:formatCode>
                <c:ptCount val="26"/>
                <c:pt idx="0">
                  <c:v>2.5</c:v>
                </c:pt>
                <c:pt idx="1">
                  <c:v>2.6098167583115113</c:v>
                </c:pt>
                <c:pt idx="2">
                  <c:v>2.7185362638745665</c:v>
                </c:pt>
                <c:pt idx="3">
                  <c:v>3.5252429945639494</c:v>
                </c:pt>
                <c:pt idx="4">
                  <c:v>3.3893460442015511</c:v>
                </c:pt>
                <c:pt idx="5">
                  <c:v>2.4357884422296623</c:v>
                </c:pt>
                <c:pt idx="6">
                  <c:v>1.5412666503450549</c:v>
                </c:pt>
                <c:pt idx="7">
                  <c:v>1.5281998787078295</c:v>
                </c:pt>
                <c:pt idx="8">
                  <c:v>2.4086016569007525</c:v>
                </c:pt>
                <c:pt idx="9">
                  <c:v>3.3730346502340676</c:v>
                </c:pt>
                <c:pt idx="10">
                  <c:v>3.5348036123477491</c:v>
                </c:pt>
                <c:pt idx="11">
                  <c:v>2.7451789055102731</c:v>
                </c:pt>
                <c:pt idx="12">
                  <c:v>1.7301378436471033</c:v>
                </c:pt>
                <c:pt idx="13">
                  <c:v>1.4229044979335512</c:v>
                </c:pt>
                <c:pt idx="14">
                  <c:v>2.1059477895394889</c:v>
                </c:pt>
                <c:pt idx="15">
                  <c:v>3.151280866177943</c:v>
                </c:pt>
                <c:pt idx="16">
                  <c:v>3.5978293179880003</c:v>
                </c:pt>
                <c:pt idx="17">
                  <c:v>3.0350385577391821</c:v>
                </c:pt>
                <c:pt idx="18">
                  <c:v>1.9803358149616876</c:v>
                </c:pt>
                <c:pt idx="19">
                  <c:v>1.4034099273542431</c:v>
                </c:pt>
                <c:pt idx="20">
                  <c:v>1.8346838953530891</c:v>
                </c:pt>
                <c:pt idx="21">
                  <c:v>2.8776464217018827</c:v>
                </c:pt>
                <c:pt idx="22">
                  <c:v>3.5734025695436742</c:v>
                </c:pt>
                <c:pt idx="23">
                  <c:v>3.2822773451965785</c:v>
                </c:pt>
                <c:pt idx="24">
                  <c:v>2.2719299373325632</c:v>
                </c:pt>
                <c:pt idx="25">
                  <c:v>1.4712690932860069</c:v>
                </c:pt>
              </c:numCache>
            </c:numRef>
          </c:yVal>
          <c:smooth val="1"/>
          <c:extLst>
            <c:ext xmlns:c16="http://schemas.microsoft.com/office/drawing/2014/chart" uri="{C3380CC4-5D6E-409C-BE32-E72D297353CC}">
              <c16:uniqueId val="{00000001-0129-4D49-8407-DC1AB709F362}"/>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75631739708957"/>
          <c:y val="0.63585960957098686"/>
          <c:w val="0.24804116988014055"/>
          <c:h val="0.2408431870415400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0.16194707839510597"/>
          <c:w val="0.83847659667541552"/>
          <c:h val="0.70541405278946423"/>
        </c:manualLayout>
      </c:layout>
      <c:scatterChart>
        <c:scatterStyle val="smoothMarker"/>
        <c:varyColors val="0"/>
        <c:ser>
          <c:idx val="0"/>
          <c:order val="0"/>
          <c:tx>
            <c:strRef>
              <c:f>'NonInv+Bias - Calculate R'!$C$9</c:f>
              <c:strCache>
                <c:ptCount val="1"/>
                <c:pt idx="0">
                  <c:v>Vin(+)</c:v>
                </c:pt>
              </c:strCache>
            </c:strRef>
          </c:tx>
          <c:spPr>
            <a:ln>
              <a:solidFill>
                <a:schemeClr val="tx1"/>
              </a:solidFill>
            </a:ln>
          </c:spPr>
          <c:marker>
            <c:symbol val="none"/>
          </c:marker>
          <c:xVal>
            <c:numRef>
              <c:f>'NonInv+Bias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 Calculate R'!$C$10:$C$35</c:f>
              <c:numCache>
                <c:formatCode>General</c:formatCode>
                <c:ptCount val="26"/>
                <c:pt idx="0">
                  <c:v>0</c:v>
                </c:pt>
                <c:pt idx="1">
                  <c:v>1.4975012497024223E-2</c:v>
                </c:pt>
                <c:pt idx="2">
                  <c:v>2.980039961925918E-2</c:v>
                </c:pt>
                <c:pt idx="3">
                  <c:v>0.13980586289508393</c:v>
                </c:pt>
                <c:pt idx="4">
                  <c:v>0.1212744605729385</c:v>
                </c:pt>
                <c:pt idx="5">
                  <c:v>-8.7561215141370129E-3</c:v>
                </c:pt>
                <c:pt idx="6">
                  <c:v>-0.13073636586203821</c:v>
                </c:pt>
                <c:pt idx="7">
                  <c:v>-0.13251819835802298</c:v>
                </c:pt>
                <c:pt idx="8">
                  <c:v>-1.2463410422624459E-2</c:v>
                </c:pt>
                <c:pt idx="9">
                  <c:v>0.11905017957737296</c:v>
                </c:pt>
                <c:pt idx="10">
                  <c:v>0.14110958350196595</c:v>
                </c:pt>
                <c:pt idx="11">
                  <c:v>3.3433487115037144E-2</c:v>
                </c:pt>
                <c:pt idx="12">
                  <c:v>-0.10498120313903135</c:v>
                </c:pt>
                <c:pt idx="13">
                  <c:v>-0.14687665937269762</c:v>
                </c:pt>
                <c:pt idx="14">
                  <c:v>-5.3734392335524302E-2</c:v>
                </c:pt>
                <c:pt idx="15">
                  <c:v>8.8811027206083457E-2</c:v>
                </c:pt>
                <c:pt idx="16">
                  <c:v>0.14970399790745426</c:v>
                </c:pt>
                <c:pt idx="17">
                  <c:v>7.295980332806995E-2</c:v>
                </c:pt>
                <c:pt idx="18">
                  <c:v>-7.0863297959769922E-2</c:v>
                </c:pt>
                <c:pt idx="19">
                  <c:v>-0.14953500990623941</c:v>
                </c:pt>
                <c:pt idx="20">
                  <c:v>-9.0724923360942608E-2</c:v>
                </c:pt>
                <c:pt idx="21">
                  <c:v>5.1497239322984306E-2</c:v>
                </c:pt>
                <c:pt idx="22">
                  <c:v>0.14637307766504631</c:v>
                </c:pt>
                <c:pt idx="23">
                  <c:v>0.10667418343589735</c:v>
                </c:pt>
                <c:pt idx="24">
                  <c:v>-3.1100463091013816E-2</c:v>
                </c:pt>
                <c:pt idx="25">
                  <c:v>-0.14028148727918083</c:v>
                </c:pt>
              </c:numCache>
            </c:numRef>
          </c:yVal>
          <c:smooth val="1"/>
          <c:extLst>
            <c:ext xmlns:c16="http://schemas.microsoft.com/office/drawing/2014/chart" uri="{C3380CC4-5D6E-409C-BE32-E72D297353CC}">
              <c16:uniqueId val="{00000000-8004-4F04-96E9-2DEB9E6BBA8F}"/>
            </c:ext>
          </c:extLst>
        </c:ser>
        <c:ser>
          <c:idx val="1"/>
          <c:order val="1"/>
          <c:tx>
            <c:strRef>
              <c:f>'NonInv+Bias - Calculate R'!$E$9</c:f>
              <c:strCache>
                <c:ptCount val="1"/>
                <c:pt idx="0">
                  <c:v>Vout</c:v>
                </c:pt>
              </c:strCache>
            </c:strRef>
          </c:tx>
          <c:spPr>
            <a:ln>
              <a:solidFill>
                <a:srgbClr val="C00000"/>
              </a:solidFill>
              <a:prstDash val="dash"/>
            </a:ln>
          </c:spPr>
          <c:marker>
            <c:symbol val="none"/>
          </c:marker>
          <c:xVal>
            <c:numRef>
              <c:f>'NonInv+Bias - Calculate 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'NonInv+Bias - Calculate R'!$E$10:$E$35</c:f>
              <c:numCache>
                <c:formatCode>General</c:formatCode>
                <c:ptCount val="26"/>
                <c:pt idx="0">
                  <c:v>2.25</c:v>
                </c:pt>
                <c:pt idx="1">
                  <c:v>2.3548250874791696</c:v>
                </c:pt>
                <c:pt idx="2">
                  <c:v>2.4586027973348141</c:v>
                </c:pt>
                <c:pt idx="3">
                  <c:v>3.2286410402655874</c:v>
                </c:pt>
                <c:pt idx="4">
                  <c:v>3.0989212240105695</c:v>
                </c:pt>
                <c:pt idx="5">
                  <c:v>2.1887071494010408</c:v>
                </c:pt>
                <c:pt idx="6">
                  <c:v>1.3348454389657327</c:v>
                </c:pt>
                <c:pt idx="7">
                  <c:v>1.3223726114938392</c:v>
                </c:pt>
                <c:pt idx="8">
                  <c:v>2.1627561270416287</c:v>
                </c:pt>
                <c:pt idx="9">
                  <c:v>3.0833512570416106</c:v>
                </c:pt>
                <c:pt idx="10">
                  <c:v>3.2377670845137616</c:v>
                </c:pt>
                <c:pt idx="11">
                  <c:v>2.4840344098052598</c:v>
                </c:pt>
                <c:pt idx="12">
                  <c:v>1.5151315780267807</c:v>
                </c:pt>
                <c:pt idx="13">
                  <c:v>1.2218633843911169</c:v>
                </c:pt>
                <c:pt idx="14">
                  <c:v>1.8738592536513299</c:v>
                </c:pt>
                <c:pt idx="15">
                  <c:v>2.871677190442584</c:v>
                </c:pt>
                <c:pt idx="16">
                  <c:v>3.2979279853521799</c:v>
                </c:pt>
                <c:pt idx="17">
                  <c:v>2.7607186232964898</c:v>
                </c:pt>
                <c:pt idx="18">
                  <c:v>1.7539569142816105</c:v>
                </c:pt>
                <c:pt idx="19">
                  <c:v>1.2032549306563243</c:v>
                </c:pt>
                <c:pt idx="20">
                  <c:v>1.6149255364734019</c:v>
                </c:pt>
                <c:pt idx="21">
                  <c:v>2.6104806752608902</c:v>
                </c:pt>
                <c:pt idx="22">
                  <c:v>3.274611543655324</c:v>
                </c:pt>
                <c:pt idx="23">
                  <c:v>2.9967192840512813</c:v>
                </c:pt>
                <c:pt idx="24">
                  <c:v>2.0322967583629032</c:v>
                </c:pt>
                <c:pt idx="25">
                  <c:v>1.2680295890457343</c:v>
                </c:pt>
              </c:numCache>
            </c:numRef>
          </c:yVal>
          <c:smooth val="1"/>
          <c:extLst>
            <c:ext xmlns:c16="http://schemas.microsoft.com/office/drawing/2014/chart" uri="{C3380CC4-5D6E-409C-BE32-E72D297353CC}">
              <c16:uniqueId val="{00000001-8004-4F04-96E9-2DEB9E6BBA8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8147734794020309"/>
          <c:y val="5.1610708953697078E-2"/>
          <c:w val="0.26554809996576517"/>
          <c:h val="0.13494720190162496"/>
        </c:manualLayout>
      </c:layout>
      <c:overlay val="1"/>
      <c:spPr>
        <a:solidFill>
          <a:schemeClr val="bg1"/>
        </a:solidFill>
      </c:spPr>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Diff!$C$11</c:f>
              <c:strCache>
                <c:ptCount val="1"/>
                <c:pt idx="0">
                  <c:v>Vin,1</c:v>
                </c:pt>
              </c:strCache>
            </c:strRef>
          </c:tx>
          <c:spPr>
            <a:ln>
              <a:solidFill>
                <a:schemeClr val="tx1"/>
              </a:solidFill>
            </a:ln>
          </c:spPr>
          <c:marker>
            <c:symbol val="none"/>
          </c:marker>
          <c:xVal>
            <c:numRef>
              <c:f>Diff!$B$12:$B$37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Diff!$C$12:$C$37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C260-41F0-878D-6BE97CE62524}"/>
            </c:ext>
          </c:extLst>
        </c:ser>
        <c:ser>
          <c:idx val="1"/>
          <c:order val="1"/>
          <c:tx>
            <c:strRef>
              <c:f>Diff!$E$11</c:f>
              <c:strCache>
                <c:ptCount val="1"/>
                <c:pt idx="0">
                  <c:v>Vout</c:v>
                </c:pt>
              </c:strCache>
            </c:strRef>
          </c:tx>
          <c:spPr>
            <a:ln>
              <a:solidFill>
                <a:srgbClr val="C00000"/>
              </a:solidFill>
              <a:prstDash val="dash"/>
            </a:ln>
          </c:spPr>
          <c:marker>
            <c:symbol val="none"/>
          </c:marker>
          <c:xVal>
            <c:numRef>
              <c:f>Diff!$B$12:$B$37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Diff!$E$12:$E$37</c:f>
              <c:numCache>
                <c:formatCode>General</c:formatCode>
                <c:ptCount val="26"/>
                <c:pt idx="0">
                  <c:v>1</c:v>
                </c:pt>
                <c:pt idx="1">
                  <c:v>0.90016658335317179</c:v>
                </c:pt>
                <c:pt idx="2">
                  <c:v>0.80133066920493878</c:v>
                </c:pt>
                <c:pt idx="3">
                  <c:v>6.7960914032773712E-2</c:v>
                </c:pt>
                <c:pt idx="4">
                  <c:v>0.19150359618040991</c:v>
                </c:pt>
                <c:pt idx="5">
                  <c:v>1.0583741434275802</c:v>
                </c:pt>
                <c:pt idx="6">
                  <c:v>1.8715757724135882</c:v>
                </c:pt>
                <c:pt idx="7">
                  <c:v>1.8834546557201532</c:v>
                </c:pt>
                <c:pt idx="8">
                  <c:v>1.0830894028174964</c:v>
                </c:pt>
                <c:pt idx="9">
                  <c:v>0.20633213615084689</c:v>
                </c:pt>
                <c:pt idx="10">
                  <c:v>5.9269443320226878E-2</c:v>
                </c:pt>
                <c:pt idx="11">
                  <c:v>0.77711008589975239</c:v>
                </c:pt>
                <c:pt idx="12">
                  <c:v>1.6998746875935424</c:v>
                </c:pt>
                <c:pt idx="13">
                  <c:v>1.9791777291513175</c:v>
                </c:pt>
                <c:pt idx="14">
                  <c:v>1.3582292822368287</c:v>
                </c:pt>
                <c:pt idx="15">
                  <c:v>0.40792648529277697</c:v>
                </c:pt>
                <c:pt idx="16">
                  <c:v>1.9733472836382937E-3</c:v>
                </c:pt>
                <c:pt idx="17">
                  <c:v>0.51360131114620033</c:v>
                </c:pt>
                <c:pt idx="18">
                  <c:v>1.4724219863984662</c:v>
                </c:pt>
                <c:pt idx="19">
                  <c:v>1.9969000660415961</c:v>
                </c:pt>
                <c:pt idx="20">
                  <c:v>1.604832822406284</c:v>
                </c:pt>
                <c:pt idx="21">
                  <c:v>0.65668507118010466</c:v>
                </c:pt>
                <c:pt idx="22">
                  <c:v>2.4179482233024463E-2</c:v>
                </c:pt>
                <c:pt idx="23">
                  <c:v>0.28883877709401762</c:v>
                </c:pt>
                <c:pt idx="24">
                  <c:v>1.2073364206067587</c:v>
                </c:pt>
                <c:pt idx="25">
                  <c:v>1.9352099151945388</c:v>
                </c:pt>
              </c:numCache>
            </c:numRef>
          </c:yVal>
          <c:smooth val="1"/>
          <c:extLst>
            <c:ext xmlns:c16="http://schemas.microsoft.com/office/drawing/2014/chart" uri="{C3380CC4-5D6E-409C-BE32-E72D297353CC}">
              <c16:uniqueId val="{00000001-C260-41F0-878D-6BE97CE62524}"/>
            </c:ext>
          </c:extLst>
        </c:ser>
        <c:ser>
          <c:idx val="2"/>
          <c:order val="2"/>
          <c:tx>
            <c:v>Vin,2</c:v>
          </c:tx>
          <c:marker>
            <c:symbol val="none"/>
          </c:marker>
          <c:xVal>
            <c:numRef>
              <c:f>Diff!$B$42:$B$43</c:f>
              <c:numCache>
                <c:formatCode>General</c:formatCode>
                <c:ptCount val="2"/>
                <c:pt idx="0">
                  <c:v>0</c:v>
                </c:pt>
                <c:pt idx="1">
                  <c:v>23.2</c:v>
                </c:pt>
              </c:numCache>
            </c:numRef>
          </c:xVal>
          <c:yVal>
            <c:numRef>
              <c:f>Diff!$C$42:$C$43</c:f>
              <c:numCache>
                <c:formatCode>General</c:formatCode>
                <c:ptCount val="2"/>
                <c:pt idx="0">
                  <c:v>1</c:v>
                </c:pt>
                <c:pt idx="1">
                  <c:v>1</c:v>
                </c:pt>
              </c:numCache>
            </c:numRef>
          </c:yVal>
          <c:smooth val="1"/>
          <c:extLst>
            <c:ext xmlns:c16="http://schemas.microsoft.com/office/drawing/2014/chart" uri="{C3380CC4-5D6E-409C-BE32-E72D297353CC}">
              <c16:uniqueId val="{00000002-C260-41F0-878D-6BE97CE62524}"/>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0638466703289984"/>
          <c:y val="0.75798538605067778"/>
          <c:w val="0.37190990661051088"/>
          <c:h val="0.205111068412126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Inv'!$C$11</c:f>
              <c:strCache>
                <c:ptCount val="1"/>
                <c:pt idx="0">
                  <c:v>Vin,1</c:v>
                </c:pt>
              </c:strCache>
            </c:strRef>
          </c:tx>
          <c:spPr>
            <a:ln>
              <a:solidFill>
                <a:schemeClr val="tx1"/>
              </a:solidFill>
            </a:ln>
          </c:spPr>
          <c:marker>
            <c:symbol val="none"/>
          </c:marker>
          <c:xVal>
            <c:numRef>
              <c:f>'Sum Inv'!$B$12:$B$37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88AD-45CF-9E8A-4D93D85CBDD5}"/>
            </c:ext>
          </c:extLst>
        </c:ser>
        <c:ser>
          <c:idx val="1"/>
          <c:order val="1"/>
          <c:tx>
            <c:strRef>
              <c:f>'Sum Inv'!$E$11</c:f>
              <c:strCache>
                <c:ptCount val="1"/>
                <c:pt idx="0">
                  <c:v>Vout</c:v>
                </c:pt>
              </c:strCache>
            </c:strRef>
          </c:tx>
          <c:spPr>
            <a:ln>
              <a:solidFill>
                <a:srgbClr val="C00000"/>
              </a:solidFill>
              <a:prstDash val="dash"/>
            </a:ln>
          </c:spPr>
          <c:marker>
            <c:symbol val="none"/>
          </c:marker>
          <c:xVal>
            <c:numRef>
              <c:f>'Sum Inv'!$B$12:$B$37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Inv'!$E$12:$E$37</c:f>
              <c:numCache>
                <c:formatCode>General</c:formatCode>
                <c:ptCount val="26"/>
                <c:pt idx="0">
                  <c:v>-6</c:v>
                </c:pt>
                <c:pt idx="1">
                  <c:v>-6.2995002499404844</c:v>
                </c:pt>
                <c:pt idx="2">
                  <c:v>-6.596007992385184</c:v>
                </c:pt>
                <c:pt idx="3">
                  <c:v>-8.1</c:v>
                </c:pt>
                <c:pt idx="4">
                  <c:v>-8.1</c:v>
                </c:pt>
                <c:pt idx="5">
                  <c:v>-5.824877569717259</c:v>
                </c:pt>
                <c:pt idx="6">
                  <c:v>-3.3852726827592354</c:v>
                </c:pt>
                <c:pt idx="7">
                  <c:v>-3.3496360328395403</c:v>
                </c:pt>
                <c:pt idx="8">
                  <c:v>-5.7507317915475102</c:v>
                </c:pt>
                <c:pt idx="9">
                  <c:v>-8.1</c:v>
                </c:pt>
                <c:pt idx="10">
                  <c:v>-8.1</c:v>
                </c:pt>
                <c:pt idx="11">
                  <c:v>-6.6686697423007431</c:v>
                </c:pt>
                <c:pt idx="12">
                  <c:v>-3.9003759372193727</c:v>
                </c:pt>
                <c:pt idx="13">
                  <c:v>-3.0624668125460475</c:v>
                </c:pt>
                <c:pt idx="14">
                  <c:v>-4.9253121532895143</c:v>
                </c:pt>
                <c:pt idx="15">
                  <c:v>-7.776220544121669</c:v>
                </c:pt>
                <c:pt idx="16">
                  <c:v>-8.1</c:v>
                </c:pt>
                <c:pt idx="17">
                  <c:v>-7.4591960665613986</c:v>
                </c:pt>
                <c:pt idx="18">
                  <c:v>-4.5827340408046009</c:v>
                </c:pt>
                <c:pt idx="19">
                  <c:v>-3.009299801875212</c:v>
                </c:pt>
                <c:pt idx="20">
                  <c:v>-4.1855015327811476</c:v>
                </c:pt>
                <c:pt idx="21">
                  <c:v>-7.0299447864596871</c:v>
                </c:pt>
                <c:pt idx="22">
                  <c:v>-8.1</c:v>
                </c:pt>
                <c:pt idx="23">
                  <c:v>-8.1</c:v>
                </c:pt>
                <c:pt idx="24">
                  <c:v>-5.3779907381797241</c:v>
                </c:pt>
                <c:pt idx="25">
                  <c:v>-3.1943702544163837</c:v>
                </c:pt>
              </c:numCache>
            </c:numRef>
          </c:yVal>
          <c:smooth val="1"/>
          <c:extLst>
            <c:ext xmlns:c16="http://schemas.microsoft.com/office/drawing/2014/chart" uri="{C3380CC4-5D6E-409C-BE32-E72D297353CC}">
              <c16:uniqueId val="{00000001-88AD-45CF-9E8A-4D93D85CBDD5}"/>
            </c:ext>
          </c:extLst>
        </c:ser>
        <c:ser>
          <c:idx val="2"/>
          <c:order val="2"/>
          <c:tx>
            <c:v>Vin,2</c:v>
          </c:tx>
          <c:marker>
            <c:symbol val="none"/>
          </c:marker>
          <c:xVal>
            <c:numRef>
              <c:f>'Sum Inv'!$B$42:$B$43</c:f>
              <c:numCache>
                <c:formatCode>General</c:formatCode>
                <c:ptCount val="2"/>
                <c:pt idx="0">
                  <c:v>0</c:v>
                </c:pt>
                <c:pt idx="1">
                  <c:v>23.2</c:v>
                </c:pt>
              </c:numCache>
            </c:numRef>
          </c:xVal>
          <c:yVal>
            <c:numRef>
              <c:f>'Sum Inv'!$C$42:$C$43</c:f>
              <c:numCache>
                <c:formatCode>General</c:formatCode>
                <c:ptCount val="2"/>
                <c:pt idx="0">
                  <c:v>2</c:v>
                </c:pt>
                <c:pt idx="1">
                  <c:v>2</c:v>
                </c:pt>
              </c:numCache>
            </c:numRef>
          </c:yVal>
          <c:smooth val="1"/>
          <c:extLst>
            <c:ext xmlns:c16="http://schemas.microsoft.com/office/drawing/2014/chart" uri="{C3380CC4-5D6E-409C-BE32-E72D297353CC}">
              <c16:uniqueId val="{00000002-88AD-45CF-9E8A-4D93D85CBDD5}"/>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60638466703289984"/>
          <c:y val="0.73492067008993056"/>
          <c:w val="0.37190990661051088"/>
          <c:h val="0.2051110684121269"/>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Inv - 3 inputs'!$C$11</c:f>
              <c:strCache>
                <c:ptCount val="1"/>
                <c:pt idx="0">
                  <c:v>Vin,1</c:v>
                </c:pt>
              </c:strCache>
            </c:strRef>
          </c:tx>
          <c:spPr>
            <a:ln>
              <a:solidFill>
                <a:schemeClr val="tx1"/>
              </a:solidFill>
            </a:ln>
          </c:spPr>
          <c:marker>
            <c:symbol val="none"/>
          </c:marker>
          <c:xVal>
            <c:numRef>
              <c:f>'Sum Inv - 3 inputs'!$B$12:$B$37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 - 3 inputs'!$C$12:$C$37</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D9F6-4822-A5D0-A3E6462F2424}"/>
            </c:ext>
          </c:extLst>
        </c:ser>
        <c:ser>
          <c:idx val="1"/>
          <c:order val="1"/>
          <c:tx>
            <c:strRef>
              <c:f>'Sum Inv - 3 inputs'!$E$11</c:f>
              <c:strCache>
                <c:ptCount val="1"/>
                <c:pt idx="0">
                  <c:v>Vout</c:v>
                </c:pt>
              </c:strCache>
            </c:strRef>
          </c:tx>
          <c:spPr>
            <a:ln>
              <a:solidFill>
                <a:srgbClr val="C00000"/>
              </a:solidFill>
              <a:prstDash val="dash"/>
            </a:ln>
          </c:spPr>
          <c:marker>
            <c:symbol val="none"/>
          </c:marker>
          <c:xVal>
            <c:numRef>
              <c:f>'Sum Inv - 3 inputs'!$B$12:$B$37</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Inv - 3 inputs'!$E$12:$E$37</c:f>
              <c:numCache>
                <c:formatCode>General</c:formatCode>
                <c:ptCount val="26"/>
                <c:pt idx="0">
                  <c:v>-0.60000000000000009</c:v>
                </c:pt>
                <c:pt idx="1">
                  <c:v>-0.69983341664682819</c:v>
                </c:pt>
                <c:pt idx="2">
                  <c:v>-0.79866933079506119</c:v>
                </c:pt>
                <c:pt idx="3">
                  <c:v>-1.5320390859672264</c:v>
                </c:pt>
                <c:pt idx="4">
                  <c:v>-1.4084964038195902</c:v>
                </c:pt>
                <c:pt idx="5">
                  <c:v>-0.54162585657241991</c:v>
                </c:pt>
                <c:pt idx="6">
                  <c:v>0.27157577241358821</c:v>
                </c:pt>
                <c:pt idx="7">
                  <c:v>0.28345465572015305</c:v>
                </c:pt>
                <c:pt idx="8">
                  <c:v>-0.51691059718250365</c:v>
                </c:pt>
                <c:pt idx="9">
                  <c:v>-1.3936678638491533</c:v>
                </c:pt>
                <c:pt idx="10">
                  <c:v>-1.5407305566797733</c:v>
                </c:pt>
                <c:pt idx="11">
                  <c:v>-0.8228899141002477</c:v>
                </c:pt>
                <c:pt idx="12">
                  <c:v>9.9874687593542288E-2</c:v>
                </c:pt>
                <c:pt idx="13">
                  <c:v>0.37917772915131731</c:v>
                </c:pt>
                <c:pt idx="14">
                  <c:v>-0.24177071776317133</c:v>
                </c:pt>
                <c:pt idx="15">
                  <c:v>-1.1920735147072232</c:v>
                </c:pt>
                <c:pt idx="16">
                  <c:v>-1.5980266527163618</c:v>
                </c:pt>
                <c:pt idx="17">
                  <c:v>-1.0863986888537998</c:v>
                </c:pt>
                <c:pt idx="18">
                  <c:v>-0.12757801360153387</c:v>
                </c:pt>
                <c:pt idx="19">
                  <c:v>0.39690006604159611</c:v>
                </c:pt>
                <c:pt idx="20">
                  <c:v>4.8328224062840763E-3</c:v>
                </c:pt>
                <c:pt idx="21">
                  <c:v>-0.94331492881989543</c:v>
                </c:pt>
                <c:pt idx="22">
                  <c:v>-1.5758205177669757</c:v>
                </c:pt>
                <c:pt idx="23">
                  <c:v>-1.3111612229059824</c:v>
                </c:pt>
                <c:pt idx="24">
                  <c:v>-0.39266357939324126</c:v>
                </c:pt>
                <c:pt idx="25">
                  <c:v>0.3352099151945388</c:v>
                </c:pt>
              </c:numCache>
            </c:numRef>
          </c:yVal>
          <c:smooth val="1"/>
          <c:extLst>
            <c:ext xmlns:c16="http://schemas.microsoft.com/office/drawing/2014/chart" uri="{C3380CC4-5D6E-409C-BE32-E72D297353CC}">
              <c16:uniqueId val="{00000001-D9F6-4822-A5D0-A3E6462F2424}"/>
            </c:ext>
          </c:extLst>
        </c:ser>
        <c:ser>
          <c:idx val="2"/>
          <c:order val="2"/>
          <c:tx>
            <c:v>Vin,2</c:v>
          </c:tx>
          <c:marker>
            <c:symbol val="none"/>
          </c:marker>
          <c:xVal>
            <c:numRef>
              <c:f>'Sum Inv - 3 inputs'!$B$42:$B$43</c:f>
              <c:numCache>
                <c:formatCode>General</c:formatCode>
                <c:ptCount val="2"/>
                <c:pt idx="0">
                  <c:v>0</c:v>
                </c:pt>
                <c:pt idx="1">
                  <c:v>23.2</c:v>
                </c:pt>
              </c:numCache>
            </c:numRef>
          </c:xVal>
          <c:yVal>
            <c:numRef>
              <c:f>'Sum Inv - 3 inputs'!$C$42:$C$43</c:f>
              <c:numCache>
                <c:formatCode>General</c:formatCode>
                <c:ptCount val="2"/>
                <c:pt idx="0">
                  <c:v>0.2</c:v>
                </c:pt>
                <c:pt idx="1">
                  <c:v>0.2</c:v>
                </c:pt>
              </c:numCache>
            </c:numRef>
          </c:yVal>
          <c:smooth val="1"/>
          <c:extLst>
            <c:ext xmlns:c16="http://schemas.microsoft.com/office/drawing/2014/chart" uri="{C3380CC4-5D6E-409C-BE32-E72D297353CC}">
              <c16:uniqueId val="{00000002-D9F6-4822-A5D0-A3E6462F2424}"/>
            </c:ext>
          </c:extLst>
        </c:ser>
        <c:ser>
          <c:idx val="3"/>
          <c:order val="3"/>
          <c:tx>
            <c:strRef>
              <c:f>'Sum Inv - 3 inputs'!$D$41</c:f>
              <c:strCache>
                <c:ptCount val="1"/>
                <c:pt idx="0">
                  <c:v>Vin,3</c:v>
                </c:pt>
              </c:strCache>
            </c:strRef>
          </c:tx>
          <c:marker>
            <c:symbol val="none"/>
          </c:marker>
          <c:xVal>
            <c:numRef>
              <c:f>'Sum Inv - 3 inputs'!$B$42:$B$43</c:f>
              <c:numCache>
                <c:formatCode>General</c:formatCode>
                <c:ptCount val="2"/>
                <c:pt idx="0">
                  <c:v>0</c:v>
                </c:pt>
                <c:pt idx="1">
                  <c:v>23.2</c:v>
                </c:pt>
              </c:numCache>
            </c:numRef>
          </c:xVal>
          <c:yVal>
            <c:numRef>
              <c:f>'Sum Inv - 3 inputs'!$D$42:$D$43</c:f>
              <c:numCache>
                <c:formatCode>General</c:formatCode>
                <c:ptCount val="2"/>
                <c:pt idx="0">
                  <c:v>0.4</c:v>
                </c:pt>
                <c:pt idx="1">
                  <c:v>0.4</c:v>
                </c:pt>
              </c:numCache>
            </c:numRef>
          </c:yVal>
          <c:smooth val="1"/>
          <c:extLst>
            <c:ext xmlns:c16="http://schemas.microsoft.com/office/drawing/2014/chart" uri="{C3380CC4-5D6E-409C-BE32-E72D297353CC}">
              <c16:uniqueId val="{00000001-CD35-4CAE-B964-6281195DC875}"/>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4902032594762857"/>
          <c:y val="0.65650063582339035"/>
          <c:w val="0.19362827321003478"/>
          <c:h val="0.34349936417660965"/>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Non-Inv'!$C$10</c:f>
              <c:strCache>
                <c:ptCount val="1"/>
                <c:pt idx="0">
                  <c:v>Vin</c:v>
                </c:pt>
              </c:strCache>
            </c:strRef>
          </c:tx>
          <c:spPr>
            <a:ln>
              <a:solidFill>
                <a:schemeClr val="tx1"/>
              </a:solidFill>
            </a:ln>
          </c:spPr>
          <c:marker>
            <c:symbol val="none"/>
          </c:marker>
          <c:xVal>
            <c:numRef>
              <c:f>'Sum Non-Inv'!$B$11:$B$36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Non-Inv'!$C$11:$C$36</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34DC-460D-BFC5-842C460B9837}"/>
            </c:ext>
          </c:extLst>
        </c:ser>
        <c:ser>
          <c:idx val="1"/>
          <c:order val="1"/>
          <c:tx>
            <c:strRef>
              <c:f>'Sum Non-Inv'!$E$10</c:f>
              <c:strCache>
                <c:ptCount val="1"/>
                <c:pt idx="0">
                  <c:v>Vout</c:v>
                </c:pt>
              </c:strCache>
            </c:strRef>
          </c:tx>
          <c:spPr>
            <a:ln>
              <a:solidFill>
                <a:srgbClr val="C00000"/>
              </a:solidFill>
              <a:prstDash val="dash"/>
            </a:ln>
          </c:spPr>
          <c:marker>
            <c:symbol val="none"/>
          </c:marker>
          <c:xVal>
            <c:numRef>
              <c:f>'Sum Non-Inv'!$B$11:$B$36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Non-Inv'!$E$11:$E$36</c:f>
              <c:numCache>
                <c:formatCode>General</c:formatCode>
                <c:ptCount val="26"/>
                <c:pt idx="0">
                  <c:v>1.65</c:v>
                </c:pt>
                <c:pt idx="1">
                  <c:v>1.9794502749345331</c:v>
                </c:pt>
                <c:pt idx="2">
                  <c:v>2.305608791623702</c:v>
                </c:pt>
                <c:pt idx="3">
                  <c:v>3.7</c:v>
                </c:pt>
                <c:pt idx="4">
                  <c:v>3.7</c:v>
                </c:pt>
                <c:pt idx="5">
                  <c:v>1.4573653266889857</c:v>
                </c:pt>
                <c:pt idx="6">
                  <c:v>-1.226200048964841</c:v>
                </c:pt>
                <c:pt idx="7">
                  <c:v>-1.2654003638765052</c:v>
                </c:pt>
                <c:pt idx="8">
                  <c:v>1.3758049707022619</c:v>
                </c:pt>
                <c:pt idx="9">
                  <c:v>3.7</c:v>
                </c:pt>
                <c:pt idx="10">
                  <c:v>3.7</c:v>
                </c:pt>
                <c:pt idx="11">
                  <c:v>2.385536716530817</c:v>
                </c:pt>
                <c:pt idx="12">
                  <c:v>-0.65958646905868967</c:v>
                </c:pt>
                <c:pt idx="13">
                  <c:v>-1.5812865061993473</c:v>
                </c:pt>
                <c:pt idx="14">
                  <c:v>0.46784336861846526</c:v>
                </c:pt>
                <c:pt idx="15">
                  <c:v>3.603842598533836</c:v>
                </c:pt>
                <c:pt idx="16">
                  <c:v>3.7</c:v>
                </c:pt>
                <c:pt idx="17">
                  <c:v>3.2551156732175386</c:v>
                </c:pt>
                <c:pt idx="18">
                  <c:v>9.1007444885061656E-2</c:v>
                </c:pt>
                <c:pt idx="19">
                  <c:v>-1.6397702179372671</c:v>
                </c:pt>
                <c:pt idx="20">
                  <c:v>-0.34594831394073755</c:v>
                </c:pt>
                <c:pt idx="21">
                  <c:v>2.7829392651056546</c:v>
                </c:pt>
                <c:pt idx="22">
                  <c:v>3.7</c:v>
                </c:pt>
                <c:pt idx="23">
                  <c:v>3.7</c:v>
                </c:pt>
                <c:pt idx="24">
                  <c:v>0.96578981199769598</c:v>
                </c:pt>
                <c:pt idx="25">
                  <c:v>-1.4361927201419782</c:v>
                </c:pt>
              </c:numCache>
            </c:numRef>
          </c:yVal>
          <c:smooth val="1"/>
          <c:extLst>
            <c:ext xmlns:c16="http://schemas.microsoft.com/office/drawing/2014/chart" uri="{C3380CC4-5D6E-409C-BE32-E72D297353CC}">
              <c16:uniqueId val="{00000001-34DC-460D-BFC5-842C460B9837}"/>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Attenuator!$C$9</c:f>
              <c:strCache>
                <c:ptCount val="1"/>
                <c:pt idx="0">
                  <c:v>Vin(+)</c:v>
                </c:pt>
              </c:strCache>
            </c:strRef>
          </c:tx>
          <c:spPr>
            <a:ln>
              <a:solidFill>
                <a:schemeClr val="tx1"/>
              </a:solidFill>
            </a:ln>
          </c:spPr>
          <c:marker>
            <c:symbol val="none"/>
          </c:marker>
          <c:xVal>
            <c:numRef>
              <c:f>Attenuator!$B$10:$B$35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Attenuator!$C$10:$C$35</c:f>
              <c:numCache>
                <c:formatCode>General</c:formatCode>
                <c:ptCount val="26"/>
                <c:pt idx="0">
                  <c:v>0</c:v>
                </c:pt>
                <c:pt idx="1">
                  <c:v>1.1980009997619379</c:v>
                </c:pt>
                <c:pt idx="2">
                  <c:v>2.3840319695407346</c:v>
                </c:pt>
                <c:pt idx="3">
                  <c:v>11.184469031606715</c:v>
                </c:pt>
                <c:pt idx="4">
                  <c:v>9.7019568458350811</c:v>
                </c:pt>
                <c:pt idx="5">
                  <c:v>-0.70048972113096108</c:v>
                </c:pt>
                <c:pt idx="6">
                  <c:v>-10.458909268963058</c:v>
                </c:pt>
                <c:pt idx="7">
                  <c:v>-10.601455868641837</c:v>
                </c:pt>
                <c:pt idx="8">
                  <c:v>-0.99707283380995682</c:v>
                </c:pt>
                <c:pt idx="9">
                  <c:v>9.5240143661898369</c:v>
                </c:pt>
                <c:pt idx="10">
                  <c:v>11.288766680157277</c:v>
                </c:pt>
                <c:pt idx="11">
                  <c:v>2.6746789692029718</c:v>
                </c:pt>
                <c:pt idx="12">
                  <c:v>-8.3984962511225074</c:v>
                </c:pt>
                <c:pt idx="13">
                  <c:v>-11.750132749815808</c:v>
                </c:pt>
                <c:pt idx="14">
                  <c:v>-4.2987513868419445</c:v>
                </c:pt>
                <c:pt idx="15">
                  <c:v>7.1048821764866759</c:v>
                </c:pt>
                <c:pt idx="16">
                  <c:v>11.97631983259634</c:v>
                </c:pt>
                <c:pt idx="17">
                  <c:v>5.836784266245596</c:v>
                </c:pt>
                <c:pt idx="18">
                  <c:v>-5.6690638367815938</c:v>
                </c:pt>
                <c:pt idx="19">
                  <c:v>-11.962800792499152</c:v>
                </c:pt>
                <c:pt idx="20">
                  <c:v>-7.2579938688754098</c:v>
                </c:pt>
                <c:pt idx="21">
                  <c:v>4.1197791458387449</c:v>
                </c:pt>
                <c:pt idx="22">
                  <c:v>11.709846213203706</c:v>
                </c:pt>
                <c:pt idx="23">
                  <c:v>8.533934674871789</c:v>
                </c:pt>
                <c:pt idx="24">
                  <c:v>-2.4880370472811055</c:v>
                </c:pt>
                <c:pt idx="25">
                  <c:v>-11.222518982334467</c:v>
                </c:pt>
              </c:numCache>
            </c:numRef>
          </c:yVal>
          <c:smooth val="1"/>
          <c:extLst>
            <c:ext xmlns:c16="http://schemas.microsoft.com/office/drawing/2014/chart" uri="{C3380CC4-5D6E-409C-BE32-E72D297353CC}">
              <c16:uniqueId val="{00000000-7F57-4523-B3F4-CA039ED32BF1}"/>
            </c:ext>
          </c:extLst>
        </c:ser>
        <c:ser>
          <c:idx val="1"/>
          <c:order val="1"/>
          <c:tx>
            <c:strRef>
              <c:f>Attenuator!$E$9</c:f>
              <c:strCache>
                <c:ptCount val="1"/>
                <c:pt idx="0">
                  <c:v>Vout</c:v>
                </c:pt>
              </c:strCache>
            </c:strRef>
          </c:tx>
          <c:spPr>
            <a:ln>
              <a:solidFill>
                <a:srgbClr val="C00000"/>
              </a:solidFill>
              <a:prstDash val="dash"/>
            </a:ln>
          </c:spPr>
          <c:marker>
            <c:symbol val="none"/>
          </c:marker>
          <c:xVal>
            <c:numRef>
              <c:f>Attenuator!$B$10:$B$35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Attenuator!$E$10:$E$35</c:f>
              <c:numCache>
                <c:formatCode>General</c:formatCode>
                <c:ptCount val="26"/>
                <c:pt idx="0">
                  <c:v>1.3</c:v>
                </c:pt>
                <c:pt idx="1">
                  <c:v>1.3</c:v>
                </c:pt>
                <c:pt idx="2">
                  <c:v>1.3</c:v>
                </c:pt>
                <c:pt idx="3">
                  <c:v>1.8640781719344526</c:v>
                </c:pt>
                <c:pt idx="4">
                  <c:v>1.6169928076391802</c:v>
                </c:pt>
                <c:pt idx="5">
                  <c:v>1.3</c:v>
                </c:pt>
                <c:pt idx="6">
                  <c:v>1.3</c:v>
                </c:pt>
                <c:pt idx="7">
                  <c:v>1.3</c:v>
                </c:pt>
                <c:pt idx="8">
                  <c:v>1.3</c:v>
                </c:pt>
                <c:pt idx="9">
                  <c:v>1.587335727698306</c:v>
                </c:pt>
                <c:pt idx="10">
                  <c:v>1.881461113359546</c:v>
                </c:pt>
                <c:pt idx="11">
                  <c:v>1.3</c:v>
                </c:pt>
                <c:pt idx="12">
                  <c:v>1.3</c:v>
                </c:pt>
                <c:pt idx="13">
                  <c:v>1.3</c:v>
                </c:pt>
                <c:pt idx="14">
                  <c:v>1.3</c:v>
                </c:pt>
                <c:pt idx="15">
                  <c:v>1.3</c:v>
                </c:pt>
                <c:pt idx="16">
                  <c:v>1.9960533054327234</c:v>
                </c:pt>
                <c:pt idx="17">
                  <c:v>1.3</c:v>
                </c:pt>
                <c:pt idx="18">
                  <c:v>1.3</c:v>
                </c:pt>
                <c:pt idx="19">
                  <c:v>1.3</c:v>
                </c:pt>
                <c:pt idx="20">
                  <c:v>1.3</c:v>
                </c:pt>
                <c:pt idx="21">
                  <c:v>1.3</c:v>
                </c:pt>
                <c:pt idx="22">
                  <c:v>1.9516410355339509</c:v>
                </c:pt>
                <c:pt idx="23">
                  <c:v>1.4223224458119648</c:v>
                </c:pt>
                <c:pt idx="24">
                  <c:v>1.3</c:v>
                </c:pt>
                <c:pt idx="25">
                  <c:v>1.3</c:v>
                </c:pt>
              </c:numCache>
            </c:numRef>
          </c:yVal>
          <c:smooth val="1"/>
          <c:extLst>
            <c:ext xmlns:c16="http://schemas.microsoft.com/office/drawing/2014/chart" uri="{C3380CC4-5D6E-409C-BE32-E72D297353CC}">
              <c16:uniqueId val="{00000001-7F57-4523-B3F4-CA039ED32BF1}"/>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'Sum Non-Inv - Calculate R'!$C$10</c:f>
              <c:strCache>
                <c:ptCount val="1"/>
                <c:pt idx="0">
                  <c:v>Vin</c:v>
                </c:pt>
              </c:strCache>
            </c:strRef>
          </c:tx>
          <c:spPr>
            <a:ln>
              <a:solidFill>
                <a:schemeClr val="tx1"/>
              </a:solidFill>
            </a:ln>
          </c:spPr>
          <c:marker>
            <c:symbol val="none"/>
          </c:marker>
          <c:xVal>
            <c:numRef>
              <c:f>'Sum Non-Inv - Calculate 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 - Calculate R'!$C$11:$C$36</c:f>
              <c:numCache>
                <c:formatCode>General</c:formatCode>
                <c:ptCount val="26"/>
                <c:pt idx="0">
                  <c:v>0</c:v>
                </c:pt>
                <c:pt idx="1">
                  <c:v>4.9916708323414077E-2</c:v>
                </c:pt>
                <c:pt idx="2">
                  <c:v>9.9334665397530608E-2</c:v>
                </c:pt>
                <c:pt idx="3">
                  <c:v>0.46601954298361314</c:v>
                </c:pt>
                <c:pt idx="4">
                  <c:v>0.40424820190979505</c:v>
                </c:pt>
                <c:pt idx="5">
                  <c:v>-2.9187071713790043E-2</c:v>
                </c:pt>
                <c:pt idx="6">
                  <c:v>-0.4357878862067941</c:v>
                </c:pt>
                <c:pt idx="7">
                  <c:v>-0.44172732786007657</c:v>
                </c:pt>
                <c:pt idx="8">
                  <c:v>-4.1544701408748198E-2</c:v>
                </c:pt>
                <c:pt idx="9">
                  <c:v>0.39683393192457656</c:v>
                </c:pt>
                <c:pt idx="10">
                  <c:v>0.47036527833988656</c:v>
                </c:pt>
                <c:pt idx="11">
                  <c:v>0.11144495705012382</c:v>
                </c:pt>
                <c:pt idx="12">
                  <c:v>-0.34993734379677116</c:v>
                </c:pt>
                <c:pt idx="13">
                  <c:v>-0.4895888645756587</c:v>
                </c:pt>
                <c:pt idx="14">
                  <c:v>-0.17911464111841435</c:v>
                </c:pt>
                <c:pt idx="15">
                  <c:v>0.29603675735361151</c:v>
                </c:pt>
                <c:pt idx="16">
                  <c:v>0.49901332635818085</c:v>
                </c:pt>
                <c:pt idx="17">
                  <c:v>0.24319934442689983</c:v>
                </c:pt>
                <c:pt idx="18">
                  <c:v>-0.23621099319923308</c:v>
                </c:pt>
                <c:pt idx="19">
                  <c:v>-0.49845003302079804</c:v>
                </c:pt>
                <c:pt idx="20">
                  <c:v>-0.30241641120314205</c:v>
                </c:pt>
                <c:pt idx="21">
                  <c:v>0.1716574644099477</c:v>
                </c:pt>
                <c:pt idx="22">
                  <c:v>0.48791025888348777</c:v>
                </c:pt>
                <c:pt idx="23">
                  <c:v>0.35558061145299119</c:v>
                </c:pt>
                <c:pt idx="24">
                  <c:v>-0.10366821030337939</c:v>
                </c:pt>
                <c:pt idx="25">
                  <c:v>-0.46760495759726944</c:v>
                </c:pt>
              </c:numCache>
            </c:numRef>
          </c:yVal>
          <c:smooth val="1"/>
          <c:extLst>
            <c:ext xmlns:c16="http://schemas.microsoft.com/office/drawing/2014/chart" uri="{C3380CC4-5D6E-409C-BE32-E72D297353CC}">
              <c16:uniqueId val="{00000000-981F-4E1F-A641-885C349E5C49}"/>
            </c:ext>
          </c:extLst>
        </c:ser>
        <c:ser>
          <c:idx val="1"/>
          <c:order val="1"/>
          <c:tx>
            <c:strRef>
              <c:f>'Sum Non-Inv - Calculate R'!$E$10</c:f>
              <c:strCache>
                <c:ptCount val="1"/>
                <c:pt idx="0">
                  <c:v>Vout</c:v>
                </c:pt>
              </c:strCache>
            </c:strRef>
          </c:tx>
          <c:spPr>
            <a:ln>
              <a:solidFill>
                <a:srgbClr val="C00000"/>
              </a:solidFill>
              <a:prstDash val="dash"/>
            </a:ln>
          </c:spPr>
          <c:marker>
            <c:symbol val="none"/>
          </c:marker>
          <c:xVal>
            <c:numRef>
              <c:f>'Sum Non-Inv - Calculate R'!$B$11:$B$36</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'Sum Non-Inv - Calculate R'!$E$11:$E$36</c:f>
              <c:numCache>
                <c:formatCode>General</c:formatCode>
                <c:ptCount val="26"/>
                <c:pt idx="0">
                  <c:v>1.65</c:v>
                </c:pt>
                <c:pt idx="1">
                  <c:v>1.8147251374672664</c:v>
                </c:pt>
                <c:pt idx="2">
                  <c:v>1.9778043958118512</c:v>
                </c:pt>
                <c:pt idx="3">
                  <c:v>3.1878644918459234</c:v>
                </c:pt>
                <c:pt idx="4">
                  <c:v>2.9840190663023236</c:v>
                </c:pt>
                <c:pt idx="5">
                  <c:v>1.5536826633444929</c:v>
                </c:pt>
                <c:pt idx="6">
                  <c:v>1.2</c:v>
                </c:pt>
                <c:pt idx="7">
                  <c:v>1.2</c:v>
                </c:pt>
                <c:pt idx="8">
                  <c:v>1.5129024853511308</c:v>
                </c:pt>
                <c:pt idx="9">
                  <c:v>2.9595519753511028</c:v>
                </c:pt>
                <c:pt idx="10">
                  <c:v>3.2022054185216255</c:v>
                </c:pt>
                <c:pt idx="11">
                  <c:v>2.0177683582654082</c:v>
                </c:pt>
                <c:pt idx="12">
                  <c:v>1.2</c:v>
                </c:pt>
                <c:pt idx="13">
                  <c:v>1.2</c:v>
                </c:pt>
                <c:pt idx="14">
                  <c:v>1.2</c:v>
                </c:pt>
                <c:pt idx="15">
                  <c:v>2.6269212992669182</c:v>
                </c:pt>
                <c:pt idx="16">
                  <c:v>3.2967439769819968</c:v>
                </c:pt>
                <c:pt idx="17">
                  <c:v>2.4525578366087695</c:v>
                </c:pt>
                <c:pt idx="18">
                  <c:v>1.2</c:v>
                </c:pt>
                <c:pt idx="19">
                  <c:v>1.2</c:v>
                </c:pt>
                <c:pt idx="20">
                  <c:v>1.2</c:v>
                </c:pt>
                <c:pt idx="21">
                  <c:v>2.216469632552827</c:v>
                </c:pt>
                <c:pt idx="22">
                  <c:v>3.2601038543155099</c:v>
                </c:pt>
                <c:pt idx="23">
                  <c:v>2.8234160177948704</c:v>
                </c:pt>
                <c:pt idx="24">
                  <c:v>1.3078949059988481</c:v>
                </c:pt>
                <c:pt idx="25">
                  <c:v>1.2</c:v>
                </c:pt>
              </c:numCache>
            </c:numRef>
          </c:yVal>
          <c:smooth val="1"/>
          <c:extLst>
            <c:ext xmlns:c16="http://schemas.microsoft.com/office/drawing/2014/chart" uri="{C3380CC4-5D6E-409C-BE32-E72D297353CC}">
              <c16:uniqueId val="{00000001-981F-4E1F-A641-885C349E5C49}"/>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16950497466887"/>
          <c:y val="5.7060291167521392E-2"/>
          <c:w val="0.7392519074650552"/>
          <c:h val="0.81030074365704285"/>
        </c:manualLayout>
      </c:layout>
      <c:scatterChart>
        <c:scatterStyle val="smoothMarker"/>
        <c:varyColors val="0"/>
        <c:ser>
          <c:idx val="0"/>
          <c:order val="0"/>
          <c:tx>
            <c:strRef>
              <c:f>Transimpedance!$C$9</c:f>
              <c:strCache>
                <c:ptCount val="1"/>
                <c:pt idx="0">
                  <c:v>Iin(+) µA</c:v>
                </c:pt>
              </c:strCache>
            </c:strRef>
          </c:tx>
          <c:spPr>
            <a:ln>
              <a:solidFill>
                <a:schemeClr val="tx1"/>
              </a:solidFill>
            </a:ln>
          </c:spPr>
          <c:marker>
            <c:symbol val="none"/>
          </c:marker>
          <c:xVal>
            <c:numRef>
              <c:f>Transimpedance!$B$10:$B$35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Transimpedance!$C$10:$C$35</c:f>
              <c:numCache>
                <c:formatCode>General</c:formatCode>
                <c:ptCount val="26"/>
                <c:pt idx="0">
                  <c:v>1</c:v>
                </c:pt>
                <c:pt idx="1">
                  <c:v>1.0998334166468282</c:v>
                </c:pt>
                <c:pt idx="2">
                  <c:v>1.1986693307950613</c:v>
                </c:pt>
                <c:pt idx="3">
                  <c:v>1.9320390859672263</c:v>
                </c:pt>
                <c:pt idx="4">
                  <c:v>1.8084964038195901</c:v>
                </c:pt>
                <c:pt idx="5">
                  <c:v>0.94162585657241993</c:v>
                </c:pt>
                <c:pt idx="6">
                  <c:v>0.12842422758641181</c:v>
                </c:pt>
                <c:pt idx="7">
                  <c:v>0.11654534427984686</c:v>
                </c:pt>
                <c:pt idx="8">
                  <c:v>0.91691059718250356</c:v>
                </c:pt>
                <c:pt idx="9">
                  <c:v>1.7936678638491532</c:v>
                </c:pt>
                <c:pt idx="10">
                  <c:v>1.9407305566797732</c:v>
                </c:pt>
                <c:pt idx="11">
                  <c:v>1.2228899141002476</c:v>
                </c:pt>
                <c:pt idx="12">
                  <c:v>0.30012531240645768</c:v>
                </c:pt>
                <c:pt idx="13">
                  <c:v>2.08222708486826E-2</c:v>
                </c:pt>
                <c:pt idx="14">
                  <c:v>0.64177071776317129</c:v>
                </c:pt>
                <c:pt idx="15">
                  <c:v>1.5920735147072231</c:v>
                </c:pt>
                <c:pt idx="16">
                  <c:v>1.9980266527163617</c:v>
                </c:pt>
                <c:pt idx="17">
                  <c:v>1.4863986888537997</c:v>
                </c:pt>
                <c:pt idx="18">
                  <c:v>0.52757801360153378</c:v>
                </c:pt>
                <c:pt idx="19">
                  <c:v>3.0999339584039109E-3</c:v>
                </c:pt>
                <c:pt idx="20">
                  <c:v>0.39516717759371589</c:v>
                </c:pt>
                <c:pt idx="21">
                  <c:v>1.3433149288198953</c:v>
                </c:pt>
                <c:pt idx="22">
                  <c:v>1.9758205177669756</c:v>
                </c:pt>
                <c:pt idx="23">
                  <c:v>1.7111612229059823</c:v>
                </c:pt>
                <c:pt idx="24">
                  <c:v>0.79266357939324128</c:v>
                </c:pt>
                <c:pt idx="25">
                  <c:v>6.4790084805461112E-2</c:v>
                </c:pt>
              </c:numCache>
            </c:numRef>
          </c:yVal>
          <c:smooth val="1"/>
          <c:extLst>
            <c:ext xmlns:c16="http://schemas.microsoft.com/office/drawing/2014/chart" uri="{C3380CC4-5D6E-409C-BE32-E72D297353CC}">
              <c16:uniqueId val="{00000000-A637-4610-A33E-8248D6ABF8CD}"/>
            </c:ext>
          </c:extLst>
        </c:ser>
        <c:dLbls>
          <c:showLegendKey val="0"/>
          <c:showVal val="0"/>
          <c:showCatName val="0"/>
          <c:showSerName val="0"/>
          <c:showPercent val="0"/>
          <c:showBubbleSize val="0"/>
        </c:dLbls>
        <c:axId val="251368192"/>
        <c:axId val="251370112"/>
      </c:scatterChart>
      <c:scatterChart>
        <c:scatterStyle val="smoothMarker"/>
        <c:varyColors val="0"/>
        <c:ser>
          <c:idx val="1"/>
          <c:order val="1"/>
          <c:tx>
            <c:strRef>
              <c:f>Transimpedance!$E$9</c:f>
              <c:strCache>
                <c:ptCount val="1"/>
                <c:pt idx="0">
                  <c:v>Vout</c:v>
                </c:pt>
              </c:strCache>
            </c:strRef>
          </c:tx>
          <c:spPr>
            <a:ln>
              <a:solidFill>
                <a:srgbClr val="C00000"/>
              </a:solidFill>
              <a:prstDash val="dash"/>
            </a:ln>
          </c:spPr>
          <c:marker>
            <c:symbol val="none"/>
          </c:marker>
          <c:xVal>
            <c:numRef>
              <c:f>Transimpedance!$B$10:$B$35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Transimpedance!$E$10:$E$35</c:f>
              <c:numCache>
                <c:formatCode>General</c:formatCode>
                <c:ptCount val="26"/>
                <c:pt idx="0">
                  <c:v>2</c:v>
                </c:pt>
                <c:pt idx="1">
                  <c:v>2.1996668332936564</c:v>
                </c:pt>
                <c:pt idx="2">
                  <c:v>2.3973386615901227</c:v>
                </c:pt>
                <c:pt idx="3">
                  <c:v>3.8640781719344526</c:v>
                </c:pt>
                <c:pt idx="4">
                  <c:v>3.6169928076391802</c:v>
                </c:pt>
                <c:pt idx="5">
                  <c:v>1.8832517131448399</c:v>
                </c:pt>
                <c:pt idx="6">
                  <c:v>0.25684845517282362</c:v>
                </c:pt>
                <c:pt idx="7">
                  <c:v>0.23309068855969373</c:v>
                </c:pt>
                <c:pt idx="8">
                  <c:v>1.8338211943650071</c:v>
                </c:pt>
                <c:pt idx="9">
                  <c:v>3.5873357276983064</c:v>
                </c:pt>
                <c:pt idx="10">
                  <c:v>3.8814611133595465</c:v>
                </c:pt>
                <c:pt idx="11">
                  <c:v>2.4457798282004952</c:v>
                </c:pt>
                <c:pt idx="12">
                  <c:v>0.60025062481291536</c:v>
                </c:pt>
                <c:pt idx="13">
                  <c:v>4.1644541697365201E-2</c:v>
                </c:pt>
                <c:pt idx="14">
                  <c:v>1.2835414355263426</c:v>
                </c:pt>
                <c:pt idx="15">
                  <c:v>3.1841470294144463</c:v>
                </c:pt>
                <c:pt idx="16">
                  <c:v>3.9960533054327239</c:v>
                </c:pt>
                <c:pt idx="17">
                  <c:v>2.9727973777075993</c:v>
                </c:pt>
                <c:pt idx="18">
                  <c:v>1.0551560272030676</c:v>
                </c:pt>
                <c:pt idx="19">
                  <c:v>6.1998679168078219E-3</c:v>
                </c:pt>
                <c:pt idx="20">
                  <c:v>0.79033435518743178</c:v>
                </c:pt>
                <c:pt idx="21">
                  <c:v>2.6866298576397907</c:v>
                </c:pt>
                <c:pt idx="22">
                  <c:v>3.9516410355339513</c:v>
                </c:pt>
                <c:pt idx="23">
                  <c:v>3.4223224458119645</c:v>
                </c:pt>
                <c:pt idx="24">
                  <c:v>1.5853271587864826</c:v>
                </c:pt>
                <c:pt idx="25">
                  <c:v>0.12958016961092222</c:v>
                </c:pt>
              </c:numCache>
            </c:numRef>
          </c:yVal>
          <c:smooth val="1"/>
          <c:extLst>
            <c:ext xmlns:c16="http://schemas.microsoft.com/office/drawing/2014/chart" uri="{C3380CC4-5D6E-409C-BE32-E72D297353CC}">
              <c16:uniqueId val="{00000001-A637-4610-A33E-8248D6ABF8CD}"/>
            </c:ext>
          </c:extLst>
        </c:ser>
        <c:dLbls>
          <c:showLegendKey val="0"/>
          <c:showVal val="0"/>
          <c:showCatName val="0"/>
          <c:showSerName val="0"/>
          <c:showPercent val="0"/>
          <c:showBubbleSize val="0"/>
        </c:dLbls>
        <c:axId val="1743768432"/>
        <c:axId val="174376595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max val="20"/>
        </c:scaling>
        <c:delete val="0"/>
        <c:axPos val="l"/>
        <c:title>
          <c:tx>
            <c:rich>
              <a:bodyPr rot="-5400000" vert="horz"/>
              <a:lstStyle/>
              <a:p>
                <a:pPr>
                  <a:defRPr sz="1200"/>
                </a:pPr>
                <a:r>
                  <a:rPr lang="en-US" sz="1200"/>
                  <a:t>µA (Iin)</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valAx>
        <c:axId val="1743765952"/>
        <c:scaling>
          <c:orientation val="minMax"/>
        </c:scaling>
        <c:delete val="0"/>
        <c:axPos val="r"/>
        <c:title>
          <c:tx>
            <c:rich>
              <a:bodyPr/>
              <a:lstStyle/>
              <a:p>
                <a:pPr>
                  <a:defRPr sz="1100">
                    <a:solidFill>
                      <a:srgbClr val="C00000"/>
                    </a:solidFill>
                  </a:defRPr>
                </a:pPr>
                <a:r>
                  <a:rPr lang="en-CA" sz="1100">
                    <a:solidFill>
                      <a:srgbClr val="C00000"/>
                    </a:solidFill>
                  </a:rPr>
                  <a:t>Volts</a:t>
                </a:r>
                <a:r>
                  <a:rPr lang="en-CA" sz="1100" baseline="0">
                    <a:solidFill>
                      <a:srgbClr val="C00000"/>
                    </a:solidFill>
                  </a:rPr>
                  <a:t> (Vout)</a:t>
                </a:r>
              </a:p>
            </c:rich>
          </c:tx>
          <c:layout>
            <c:manualLayout>
              <c:xMode val="edge"/>
              <c:yMode val="edge"/>
              <c:x val="0.94665104071293427"/>
              <c:y val="0.3288734284665088"/>
            </c:manualLayout>
          </c:layout>
          <c:overlay val="0"/>
        </c:title>
        <c:numFmt formatCode="General" sourceLinked="1"/>
        <c:majorTickMark val="out"/>
        <c:minorTickMark val="none"/>
        <c:tickLblPos val="nextTo"/>
        <c:spPr>
          <a:ln w="12700">
            <a:solidFill>
              <a:schemeClr val="tx1"/>
            </a:solidFill>
          </a:ln>
        </c:spPr>
        <c:crossAx val="1743768432"/>
        <c:crosses val="max"/>
        <c:crossBetween val="midCat"/>
      </c:valAx>
      <c:valAx>
        <c:axId val="1743768432"/>
        <c:scaling>
          <c:orientation val="minMax"/>
        </c:scaling>
        <c:delete val="1"/>
        <c:axPos val="b"/>
        <c:numFmt formatCode="General" sourceLinked="1"/>
        <c:majorTickMark val="out"/>
        <c:minorTickMark val="none"/>
        <c:tickLblPos val="nextTo"/>
        <c:crossAx val="1743765952"/>
        <c:crosses val="autoZero"/>
        <c:crossBetween val="midCat"/>
      </c:valAx>
    </c:plotArea>
    <c:legend>
      <c:legendPos val="r"/>
      <c:layout>
        <c:manualLayout>
          <c:xMode val="edge"/>
          <c:yMode val="edge"/>
          <c:x val="0.59398156625770615"/>
          <c:y val="1.0688588922470954E-2"/>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16950497466887"/>
          <c:y val="5.7060291167521392E-2"/>
          <c:w val="0.7392519074650552"/>
          <c:h val="0.81030074365704285"/>
        </c:manualLayout>
      </c:layout>
      <c:scatterChart>
        <c:scatterStyle val="smoothMarker"/>
        <c:varyColors val="0"/>
        <c:ser>
          <c:idx val="0"/>
          <c:order val="0"/>
          <c:tx>
            <c:strRef>
              <c:f>'Transimpedance + Bias'!$C$9</c:f>
              <c:strCache>
                <c:ptCount val="1"/>
                <c:pt idx="0">
                  <c:v>Iin(+) µA</c:v>
                </c:pt>
              </c:strCache>
            </c:strRef>
          </c:tx>
          <c:spPr>
            <a:ln>
              <a:solidFill>
                <a:schemeClr val="tx1"/>
              </a:solidFill>
            </a:ln>
          </c:spPr>
          <c:marker>
            <c:symbol val="none"/>
          </c:marker>
          <c:xVal>
            <c:numRef>
              <c:f>'Transimpedance + 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 + Bias'!$C$10:$C$35</c:f>
              <c:numCache>
                <c:formatCode>General</c:formatCode>
                <c:ptCount val="26"/>
                <c:pt idx="0">
                  <c:v>5</c:v>
                </c:pt>
                <c:pt idx="1">
                  <c:v>5.4991670832341413</c:v>
                </c:pt>
                <c:pt idx="2">
                  <c:v>5.9933466539753066</c:v>
                </c:pt>
                <c:pt idx="3">
                  <c:v>9.660195429836131</c:v>
                </c:pt>
                <c:pt idx="4">
                  <c:v>9.0424820190979496</c:v>
                </c:pt>
                <c:pt idx="5">
                  <c:v>4.7081292828620995</c:v>
                </c:pt>
                <c:pt idx="6">
                  <c:v>0.64212113793205905</c:v>
                </c:pt>
                <c:pt idx="7">
                  <c:v>0.58272672139923432</c:v>
                </c:pt>
                <c:pt idx="8">
                  <c:v>4.5845529859125183</c:v>
                </c:pt>
                <c:pt idx="9">
                  <c:v>8.9683393192457661</c:v>
                </c:pt>
                <c:pt idx="10">
                  <c:v>9.7036527833988657</c:v>
                </c:pt>
                <c:pt idx="11">
                  <c:v>6.1144495705012378</c:v>
                </c:pt>
                <c:pt idx="12">
                  <c:v>1.5006265620322883</c:v>
                </c:pt>
                <c:pt idx="13">
                  <c:v>0.104111354243413</c:v>
                </c:pt>
                <c:pt idx="14">
                  <c:v>3.2088535888158565</c:v>
                </c:pt>
                <c:pt idx="15">
                  <c:v>7.9603675735361161</c:v>
                </c:pt>
                <c:pt idx="16">
                  <c:v>9.990133263581809</c:v>
                </c:pt>
                <c:pt idx="17">
                  <c:v>7.4319934442689988</c:v>
                </c:pt>
                <c:pt idx="18">
                  <c:v>2.6378900680076689</c:v>
                </c:pt>
                <c:pt idx="19">
                  <c:v>1.5499669792019555E-2</c:v>
                </c:pt>
                <c:pt idx="20">
                  <c:v>1.9758358879685796</c:v>
                </c:pt>
                <c:pt idx="21">
                  <c:v>6.7165746440994765</c:v>
                </c:pt>
                <c:pt idx="22">
                  <c:v>9.8791025888348791</c:v>
                </c:pt>
                <c:pt idx="23">
                  <c:v>8.5558061145299114</c:v>
                </c:pt>
                <c:pt idx="24">
                  <c:v>3.9633178969662062</c:v>
                </c:pt>
                <c:pt idx="25">
                  <c:v>0.32395042402730556</c:v>
                </c:pt>
              </c:numCache>
            </c:numRef>
          </c:yVal>
          <c:smooth val="1"/>
          <c:extLst>
            <c:ext xmlns:c16="http://schemas.microsoft.com/office/drawing/2014/chart" uri="{C3380CC4-5D6E-409C-BE32-E72D297353CC}">
              <c16:uniqueId val="{00000000-E3BB-4126-9512-2F0B6C51F9EE}"/>
            </c:ext>
          </c:extLst>
        </c:ser>
        <c:dLbls>
          <c:showLegendKey val="0"/>
          <c:showVal val="0"/>
          <c:showCatName val="0"/>
          <c:showSerName val="0"/>
          <c:showPercent val="0"/>
          <c:showBubbleSize val="0"/>
        </c:dLbls>
        <c:axId val="251368192"/>
        <c:axId val="251370112"/>
      </c:scatterChart>
      <c:scatterChart>
        <c:scatterStyle val="smoothMarker"/>
        <c:varyColors val="0"/>
        <c:ser>
          <c:idx val="1"/>
          <c:order val="1"/>
          <c:tx>
            <c:strRef>
              <c:f>'Transimpedance + Bias'!$E$9</c:f>
              <c:strCache>
                <c:ptCount val="1"/>
                <c:pt idx="0">
                  <c:v>Vout</c:v>
                </c:pt>
              </c:strCache>
            </c:strRef>
          </c:tx>
          <c:spPr>
            <a:ln>
              <a:solidFill>
                <a:srgbClr val="C00000"/>
              </a:solidFill>
              <a:prstDash val="dash"/>
            </a:ln>
          </c:spPr>
          <c:marker>
            <c:symbol val="none"/>
          </c:marker>
          <c:xVal>
            <c:numRef>
              <c:f>'Transimpedance + Bias'!$B$10:$B$35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'Transimpedance + Bias'!$E$10:$E$35</c:f>
              <c:numCache>
                <c:formatCode>General</c:formatCode>
                <c:ptCount val="26"/>
                <c:pt idx="0">
                  <c:v>4.875</c:v>
                </c:pt>
                <c:pt idx="1">
                  <c:v>4.9124375312425608</c:v>
                </c:pt>
                <c:pt idx="2">
                  <c:v>4.9495009990481478</c:v>
                </c:pt>
                <c:pt idx="3">
                  <c:v>5.2245146572377097</c:v>
                </c:pt>
                <c:pt idx="4">
                  <c:v>5.178186151432346</c:v>
                </c:pt>
                <c:pt idx="5">
                  <c:v>4.8531096962146574</c:v>
                </c:pt>
                <c:pt idx="6">
                  <c:v>4.5481590853449045</c:v>
                </c:pt>
                <c:pt idx="7">
                  <c:v>4.5437045041049426</c:v>
                </c:pt>
                <c:pt idx="8">
                  <c:v>4.8438414739434386</c:v>
                </c:pt>
                <c:pt idx="9">
                  <c:v>5.1726254489434327</c:v>
                </c:pt>
                <c:pt idx="10">
                  <c:v>5.2277739587549146</c:v>
                </c:pt>
                <c:pt idx="11">
                  <c:v>4.9585837177875929</c:v>
                </c:pt>
                <c:pt idx="12">
                  <c:v>4.6125469921524216</c:v>
                </c:pt>
                <c:pt idx="13">
                  <c:v>4.5078083515682561</c:v>
                </c:pt>
                <c:pt idx="14">
                  <c:v>4.7406640191611888</c:v>
                </c:pt>
                <c:pt idx="15">
                  <c:v>5.0970275680152088</c:v>
                </c:pt>
                <c:pt idx="16">
                  <c:v>5.2492599947686358</c:v>
                </c:pt>
                <c:pt idx="17">
                  <c:v>5.0573995083201746</c:v>
                </c:pt>
                <c:pt idx="18">
                  <c:v>4.6978417551005753</c:v>
                </c:pt>
                <c:pt idx="19">
                  <c:v>4.5011624752344011</c:v>
                </c:pt>
                <c:pt idx="20">
                  <c:v>4.6481876915976432</c:v>
                </c:pt>
                <c:pt idx="21">
                  <c:v>5.0037430983074609</c:v>
                </c:pt>
                <c:pt idx="22">
                  <c:v>5.2409326941626162</c:v>
                </c:pt>
                <c:pt idx="23">
                  <c:v>5.1416854585897429</c:v>
                </c:pt>
                <c:pt idx="24">
                  <c:v>4.7972488422724657</c:v>
                </c:pt>
                <c:pt idx="25">
                  <c:v>4.524296281802048</c:v>
                </c:pt>
              </c:numCache>
            </c:numRef>
          </c:yVal>
          <c:smooth val="1"/>
          <c:extLst>
            <c:ext xmlns:c16="http://schemas.microsoft.com/office/drawing/2014/chart" uri="{C3380CC4-5D6E-409C-BE32-E72D297353CC}">
              <c16:uniqueId val="{00000001-E3BB-4126-9512-2F0B6C51F9EE}"/>
            </c:ext>
          </c:extLst>
        </c:ser>
        <c:dLbls>
          <c:showLegendKey val="0"/>
          <c:showVal val="0"/>
          <c:showCatName val="0"/>
          <c:showSerName val="0"/>
          <c:showPercent val="0"/>
          <c:showBubbleSize val="0"/>
        </c:dLbls>
        <c:axId val="1743768432"/>
        <c:axId val="174376595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max val="20"/>
        </c:scaling>
        <c:delete val="0"/>
        <c:axPos val="l"/>
        <c:title>
          <c:tx>
            <c:rich>
              <a:bodyPr rot="-5400000" vert="horz"/>
              <a:lstStyle/>
              <a:p>
                <a:pPr>
                  <a:defRPr sz="1200"/>
                </a:pPr>
                <a:r>
                  <a:rPr lang="en-US" sz="1200"/>
                  <a:t>µA (Iin)</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valAx>
        <c:axId val="1743765952"/>
        <c:scaling>
          <c:orientation val="minMax"/>
        </c:scaling>
        <c:delete val="0"/>
        <c:axPos val="r"/>
        <c:title>
          <c:tx>
            <c:rich>
              <a:bodyPr/>
              <a:lstStyle/>
              <a:p>
                <a:pPr>
                  <a:defRPr sz="1100">
                    <a:solidFill>
                      <a:srgbClr val="C00000"/>
                    </a:solidFill>
                  </a:defRPr>
                </a:pPr>
                <a:r>
                  <a:rPr lang="en-CA" sz="1100">
                    <a:solidFill>
                      <a:srgbClr val="C00000"/>
                    </a:solidFill>
                  </a:rPr>
                  <a:t>Volts</a:t>
                </a:r>
                <a:r>
                  <a:rPr lang="en-CA" sz="1100" baseline="0">
                    <a:solidFill>
                      <a:srgbClr val="C00000"/>
                    </a:solidFill>
                  </a:rPr>
                  <a:t> (Vout)</a:t>
                </a:r>
              </a:p>
            </c:rich>
          </c:tx>
          <c:layout>
            <c:manualLayout>
              <c:xMode val="edge"/>
              <c:yMode val="edge"/>
              <c:x val="0.94665104071293427"/>
              <c:y val="0.3288734284665088"/>
            </c:manualLayout>
          </c:layout>
          <c:overlay val="0"/>
        </c:title>
        <c:numFmt formatCode="General" sourceLinked="1"/>
        <c:majorTickMark val="out"/>
        <c:minorTickMark val="none"/>
        <c:tickLblPos val="nextTo"/>
        <c:spPr>
          <a:ln w="12700">
            <a:solidFill>
              <a:schemeClr val="tx1"/>
            </a:solidFill>
          </a:ln>
        </c:spPr>
        <c:crossAx val="1743768432"/>
        <c:crosses val="max"/>
        <c:crossBetween val="midCat"/>
      </c:valAx>
      <c:valAx>
        <c:axId val="1743768432"/>
        <c:scaling>
          <c:orientation val="minMax"/>
        </c:scaling>
        <c:delete val="1"/>
        <c:axPos val="b"/>
        <c:numFmt formatCode="General" sourceLinked="1"/>
        <c:majorTickMark val="out"/>
        <c:minorTickMark val="none"/>
        <c:tickLblPos val="nextTo"/>
        <c:crossAx val="1743765952"/>
        <c:crosses val="autoZero"/>
        <c:crossBetween val="midCat"/>
      </c:valAx>
    </c:plotArea>
    <c:legend>
      <c:legendPos val="r"/>
      <c:layout>
        <c:manualLayout>
          <c:xMode val="edge"/>
          <c:yMode val="edge"/>
          <c:x val="0.59398156625770615"/>
          <c:y val="1.0688588922470954E-2"/>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'Unity LPF'!$C$16</c:f>
              <c:strCache>
                <c:ptCount val="1"/>
                <c:pt idx="0">
                  <c:v>Vin(+)</c:v>
                </c:pt>
              </c:strCache>
            </c:strRef>
          </c:tx>
          <c:spPr>
            <a:ln>
              <a:solidFill>
                <a:schemeClr val="tx1"/>
              </a:solidFill>
            </a:ln>
          </c:spPr>
          <c:marker>
            <c:symbol val="none"/>
          </c:marker>
          <c:xVal>
            <c:numRef>
              <c:f>'Unity LPF'!$B$17:$B$42</c:f>
              <c:numCache>
                <c:formatCode>General</c:formatCode>
                <c:ptCount val="26"/>
                <c:pt idx="0">
                  <c:v>0</c:v>
                </c:pt>
                <c:pt idx="1">
                  <c:v>1.0053096491487337E-5</c:v>
                </c:pt>
                <c:pt idx="2">
                  <c:v>2.0106192982974673E-5</c:v>
                </c:pt>
                <c:pt idx="3">
                  <c:v>3.015928947446201E-5</c:v>
                </c:pt>
                <c:pt idx="4">
                  <c:v>4.0212385965949346E-5</c:v>
                </c:pt>
                <c:pt idx="5">
                  <c:v>5.026548245743668E-5</c:v>
                </c:pt>
                <c:pt idx="6">
                  <c:v>6.0318578948924013E-5</c:v>
                </c:pt>
                <c:pt idx="7">
                  <c:v>7.0371675440411346E-5</c:v>
                </c:pt>
                <c:pt idx="8">
                  <c:v>8.0424771931898679E-5</c:v>
                </c:pt>
                <c:pt idx="9">
                  <c:v>9.0477868423386013E-5</c:v>
                </c:pt>
                <c:pt idx="10">
                  <c:v>1.0053096491487335E-4</c:v>
                </c:pt>
                <c:pt idx="11">
                  <c:v>1.1058406140636068E-4</c:v>
                </c:pt>
                <c:pt idx="12">
                  <c:v>1.2063715789784801E-4</c:v>
                </c:pt>
                <c:pt idx="13">
                  <c:v>1.3069025438933535E-4</c:v>
                </c:pt>
                <c:pt idx="14">
                  <c:v>1.4074335088082269E-4</c:v>
                </c:pt>
                <c:pt idx="15">
                  <c:v>1.5079644737231004E-4</c:v>
                </c:pt>
                <c:pt idx="16">
                  <c:v>1.6084954386379739E-4</c:v>
                </c:pt>
                <c:pt idx="17">
                  <c:v>1.7090264035528473E-4</c:v>
                </c:pt>
                <c:pt idx="18">
                  <c:v>1.8095573684677208E-4</c:v>
                </c:pt>
                <c:pt idx="19">
                  <c:v>1.9100883333825943E-4</c:v>
                </c:pt>
                <c:pt idx="20">
                  <c:v>2.0106192982974677E-4</c:v>
                </c:pt>
                <c:pt idx="21">
                  <c:v>2.1111502632123412E-4</c:v>
                </c:pt>
                <c:pt idx="22">
                  <c:v>2.2116812281272147E-4</c:v>
                </c:pt>
                <c:pt idx="23">
                  <c:v>2.3122121930420881E-4</c:v>
                </c:pt>
                <c:pt idx="24">
                  <c:v>2.4127431579569616E-4</c:v>
                </c:pt>
                <c:pt idx="25">
                  <c:v>2.5132741228718348E-4</c:v>
                </c:pt>
              </c:numCache>
            </c:numRef>
          </c:xVal>
          <c:yVal>
            <c:numRef>
              <c:f>'Unity LPF'!$C$17:$C$42</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-0.24868988716485621</c:v>
                </c:pt>
                <c:pt idx="7">
                  <c:v>0.68454710592868795</c:v>
                </c:pt>
                <c:pt idx="8">
                  <c:v>0.98228725072868894</c:v>
                </c:pt>
                <c:pt idx="9">
                  <c:v>0.36812455268467958</c:v>
                </c:pt>
                <c:pt idx="10">
                  <c:v>-0.58778525229247136</c:v>
                </c:pt>
                <c:pt idx="11">
                  <c:v>-0.99802672842827167</c:v>
                </c:pt>
                <c:pt idx="12">
                  <c:v>-0.48175367410171788</c:v>
                </c:pt>
                <c:pt idx="13">
                  <c:v>0.48175367410171233</c:v>
                </c:pt>
                <c:pt idx="14">
                  <c:v>0.99802672842827145</c:v>
                </c:pt>
                <c:pt idx="15">
                  <c:v>0.58778525229247358</c:v>
                </c:pt>
                <c:pt idx="16">
                  <c:v>-0.3681245526846787</c:v>
                </c:pt>
                <c:pt idx="17">
                  <c:v>-0.98228725072868905</c:v>
                </c:pt>
                <c:pt idx="18">
                  <c:v>-0.68454710592868862</c:v>
                </c:pt>
                <c:pt idx="19">
                  <c:v>0.24868988716485613</c:v>
                </c:pt>
                <c:pt idx="20">
                  <c:v>0.95105651629515442</c:v>
                </c:pt>
                <c:pt idx="21">
                  <c:v>0.77051324277578659</c:v>
                </c:pt>
                <c:pt idx="22">
                  <c:v>-0.12533323356430973</c:v>
                </c:pt>
                <c:pt idx="23">
                  <c:v>-0.90482705246602246</c:v>
                </c:pt>
                <c:pt idx="24">
                  <c:v>-0.84432792550201063</c:v>
                </c:pt>
                <c:pt idx="25">
                  <c:v>6.1253085936741059E-15</c:v>
                </c:pt>
              </c:numCache>
            </c:numRef>
          </c:yVal>
          <c:smooth val="1"/>
          <c:extLst>
            <c:ext xmlns:c16="http://schemas.microsoft.com/office/drawing/2014/chart" uri="{C3380CC4-5D6E-409C-BE32-E72D297353CC}">
              <c16:uniqueId val="{00000000-3DB0-4E3E-8965-FAA15109E43F}"/>
            </c:ext>
          </c:extLst>
        </c:ser>
        <c:ser>
          <c:idx val="1"/>
          <c:order val="1"/>
          <c:tx>
            <c:strRef>
              <c:f>'Unity LPF'!$E$16</c:f>
              <c:strCache>
                <c:ptCount val="1"/>
                <c:pt idx="0">
                  <c:v>Vout</c:v>
                </c:pt>
              </c:strCache>
            </c:strRef>
          </c:tx>
          <c:spPr>
            <a:ln>
              <a:solidFill>
                <a:srgbClr val="C00000"/>
              </a:solidFill>
              <a:prstDash val="dash"/>
            </a:ln>
          </c:spPr>
          <c:marker>
            <c:symbol val="none"/>
          </c:marker>
          <c:xVal>
            <c:numRef>
              <c:f>'Unity LPF'!$B$17:$B$42</c:f>
              <c:numCache>
                <c:formatCode>General</c:formatCode>
                <c:ptCount val="26"/>
                <c:pt idx="0">
                  <c:v>0</c:v>
                </c:pt>
                <c:pt idx="1">
                  <c:v>1.0053096491487337E-5</c:v>
                </c:pt>
                <c:pt idx="2">
                  <c:v>2.0106192982974673E-5</c:v>
                </c:pt>
                <c:pt idx="3">
                  <c:v>3.015928947446201E-5</c:v>
                </c:pt>
                <c:pt idx="4">
                  <c:v>4.0212385965949346E-5</c:v>
                </c:pt>
                <c:pt idx="5">
                  <c:v>5.026548245743668E-5</c:v>
                </c:pt>
                <c:pt idx="6">
                  <c:v>6.0318578948924013E-5</c:v>
                </c:pt>
                <c:pt idx="7">
                  <c:v>7.0371675440411346E-5</c:v>
                </c:pt>
                <c:pt idx="8">
                  <c:v>8.0424771931898679E-5</c:v>
                </c:pt>
                <c:pt idx="9">
                  <c:v>9.0477868423386013E-5</c:v>
                </c:pt>
                <c:pt idx="10">
                  <c:v>1.0053096491487335E-4</c:v>
                </c:pt>
                <c:pt idx="11">
                  <c:v>1.1058406140636068E-4</c:v>
                </c:pt>
                <c:pt idx="12">
                  <c:v>1.2063715789784801E-4</c:v>
                </c:pt>
                <c:pt idx="13">
                  <c:v>1.3069025438933535E-4</c:v>
                </c:pt>
                <c:pt idx="14">
                  <c:v>1.4074335088082269E-4</c:v>
                </c:pt>
                <c:pt idx="15">
                  <c:v>1.5079644737231004E-4</c:v>
                </c:pt>
                <c:pt idx="16">
                  <c:v>1.6084954386379739E-4</c:v>
                </c:pt>
                <c:pt idx="17">
                  <c:v>1.7090264035528473E-4</c:v>
                </c:pt>
                <c:pt idx="18">
                  <c:v>1.8095573684677208E-4</c:v>
                </c:pt>
                <c:pt idx="19">
                  <c:v>1.9100883333825943E-4</c:v>
                </c:pt>
                <c:pt idx="20">
                  <c:v>2.0106192982974677E-4</c:v>
                </c:pt>
                <c:pt idx="21">
                  <c:v>2.1111502632123412E-4</c:v>
                </c:pt>
                <c:pt idx="22">
                  <c:v>2.2116812281272147E-4</c:v>
                </c:pt>
                <c:pt idx="23">
                  <c:v>2.3122121930420881E-4</c:v>
                </c:pt>
                <c:pt idx="24">
                  <c:v>2.4127431579569616E-4</c:v>
                </c:pt>
                <c:pt idx="25">
                  <c:v>2.5132741228718348E-4</c:v>
                </c:pt>
              </c:numCache>
            </c:numRef>
          </c:xVal>
          <c:yVal>
            <c:numRef>
              <c:f>'Unity LPF'!$E$17:$E$42</c:f>
              <c:numCache>
                <c:formatCode>General</c:formatCode>
                <c:ptCount val="26"/>
                <c:pt idx="0">
                  <c:v>0</c:v>
                </c:pt>
                <c:pt idx="1">
                  <c:v>8.4013768660735413E-2</c:v>
                </c:pt>
                <c:pt idx="2">
                  <c:v>9.0033656791177447E-2</c:v>
                </c:pt>
                <c:pt idx="3">
                  <c:v>1.2471122856575789E-2</c:v>
                </c:pt>
                <c:pt idx="4">
                  <c:v>-7.6668933211120865E-2</c:v>
                </c:pt>
                <c:pt idx="5">
                  <c:v>-9.4633660370523051E-2</c:v>
                </c:pt>
                <c:pt idx="6">
                  <c:v>-2.4745568655815776E-2</c:v>
                </c:pt>
                <c:pt idx="7">
                  <c:v>6.8114982884966147E-2</c:v>
                </c:pt>
                <c:pt idx="8">
                  <c:v>9.774123459441697E-2</c:v>
                </c:pt>
                <c:pt idx="9">
                  <c:v>3.6629762055067266E-2</c:v>
                </c:pt>
                <c:pt idx="10">
                  <c:v>-5.8486818588797028E-2</c:v>
                </c:pt>
                <c:pt idx="11">
                  <c:v>-9.9307371160973532E-2</c:v>
                </c:pt>
                <c:pt idx="12">
                  <c:v>-4.7936282225151221E-2</c:v>
                </c:pt>
                <c:pt idx="13">
                  <c:v>4.7936282225150666E-2</c:v>
                </c:pt>
                <c:pt idx="14">
                  <c:v>9.9307371160973518E-2</c:v>
                </c:pt>
                <c:pt idx="15">
                  <c:v>5.848681858879725E-2</c:v>
                </c:pt>
                <c:pt idx="16">
                  <c:v>-3.6629762055067183E-2</c:v>
                </c:pt>
                <c:pt idx="17">
                  <c:v>-9.7741234594416984E-2</c:v>
                </c:pt>
                <c:pt idx="18">
                  <c:v>-6.8114982884966216E-2</c:v>
                </c:pt>
                <c:pt idx="19">
                  <c:v>2.4745568655815769E-2</c:v>
                </c:pt>
                <c:pt idx="20">
                  <c:v>9.4633660370523121E-2</c:v>
                </c:pt>
                <c:pt idx="21">
                  <c:v>7.6668933211120588E-2</c:v>
                </c:pt>
                <c:pt idx="22">
                  <c:v>-1.2471122856576306E-2</c:v>
                </c:pt>
                <c:pt idx="23">
                  <c:v>-9.0033656791177738E-2</c:v>
                </c:pt>
                <c:pt idx="24">
                  <c:v>-8.4013768660734969E-2</c:v>
                </c:pt>
                <c:pt idx="25">
                  <c:v>6.0949098522185824E-16</c:v>
                </c:pt>
              </c:numCache>
            </c:numRef>
          </c:yVal>
          <c:smooth val="1"/>
          <c:extLst>
            <c:ext xmlns:c16="http://schemas.microsoft.com/office/drawing/2014/chart" uri="{C3380CC4-5D6E-409C-BE32-E72D297353CC}">
              <c16:uniqueId val="{00000001-3DB0-4E3E-8965-FAA15109E43F}"/>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Unity Gain LPF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'Unity LPF'!$D$46</c:f>
              <c:strCache>
                <c:ptCount val="1"/>
                <c:pt idx="0">
                  <c:v>Gain,dB</c:v>
                </c:pt>
              </c:strCache>
            </c:strRef>
          </c:tx>
          <c:spPr>
            <a:ln w="19050" cap="rnd">
              <a:solidFill>
                <a:srgbClr val="C00000"/>
              </a:solidFill>
              <a:round/>
            </a:ln>
            <a:effectLst/>
          </c:spPr>
          <c:marker>
            <c:symbol val="none"/>
          </c:marker>
          <c:xVal>
            <c:numRef>
              <c:f>'Unity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LPF'!$D$47:$D$101</c:f>
              <c:numCache>
                <c:formatCode>General</c:formatCode>
                <c:ptCount val="55"/>
                <c:pt idx="0">
                  <c:v>-1.7145255528834613E-6</c:v>
                </c:pt>
                <c:pt idx="1">
                  <c:v>-6.8580981524042927E-6</c:v>
                </c:pt>
                <c:pt idx="2">
                  <c:v>-1.5430705615359815E-5</c:v>
                </c:pt>
                <c:pt idx="3">
                  <c:v>-2.7432327633425711E-5</c:v>
                </c:pt>
                <c:pt idx="4">
                  <c:v>-4.2862935778801728E-5</c:v>
                </c:pt>
                <c:pt idx="5">
                  <c:v>-6.1722493504979615E-5</c:v>
                </c:pt>
                <c:pt idx="6">
                  <c:v>-8.4010956137811616E-5</c:v>
                </c:pt>
                <c:pt idx="7">
                  <c:v>-1.0972827088484521E-4</c:v>
                </c:pt>
                <c:pt idx="8">
                  <c:v>-1.3887437683302977E-4</c:v>
                </c:pt>
                <c:pt idx="9">
                  <c:v>-1.714492049482957E-4</c:v>
                </c:pt>
                <c:pt idx="10">
                  <c:v>-6.8575621307809048E-4</c:v>
                </c:pt>
                <c:pt idx="11">
                  <c:v>-1.5427992362874524E-3</c:v>
                </c:pt>
                <c:pt idx="12">
                  <c:v>-2.7423754011977773E-3</c:v>
                </c:pt>
                <c:pt idx="13">
                  <c:v>-4.2842009091494443E-3</c:v>
                </c:pt>
                <c:pt idx="14">
                  <c:v>-6.1679112598320984E-3</c:v>
                </c:pt>
                <c:pt idx="15">
                  <c:v>-8.393061538164364E-3</c:v>
                </c:pt>
                <c:pt idx="16">
                  <c:v>-1.0959126763966653E-2</c:v>
                </c:pt>
                <c:pt idx="17">
                  <c:v>-1.386550230384258E-2</c:v>
                </c:pt>
                <c:pt idx="18">
                  <c:v>-1.7111504344582869E-2</c:v>
                </c:pt>
                <c:pt idx="19">
                  <c:v>-6.8045175474465092E-2</c:v>
                </c:pt>
                <c:pt idx="20">
                  <c:v>-0.15162926719815317</c:v>
                </c:pt>
                <c:pt idx="21">
                  <c:v>-0.26600862189675395</c:v>
                </c:pt>
                <c:pt idx="22">
                  <c:v>-0.40877560788352241</c:v>
                </c:pt>
                <c:pt idx="23">
                  <c:v>-0.57712612523795315</c:v>
                </c:pt>
                <c:pt idx="24">
                  <c:v>-0.76802135025538609</c:v>
                </c:pt>
                <c:pt idx="25">
                  <c:v>-0.97833858981619204</c:v>
                </c:pt>
                <c:pt idx="26">
                  <c:v>-1.2049995751356051</c:v>
                </c:pt>
                <c:pt idx="27">
                  <c:v>-1.4450701162052859</c:v>
                </c:pt>
                <c:pt idx="28">
                  <c:v>-4.1147436202747096</c:v>
                </c:pt>
                <c:pt idx="29">
                  <c:v>-6.5830314304388384</c:v>
                </c:pt>
                <c:pt idx="30">
                  <c:v>-8.6430615588033994</c:v>
                </c:pt>
                <c:pt idx="31">
                  <c:v>-10.362137382398966</c:v>
                </c:pt>
                <c:pt idx="32">
                  <c:v>-11.821928927044215</c:v>
                </c:pt>
                <c:pt idx="33">
                  <c:v>-13.084454117991323</c:v>
                </c:pt>
                <c:pt idx="34">
                  <c:v>-14.193970362741471</c:v>
                </c:pt>
                <c:pt idx="35">
                  <c:v>-15.182179694787161</c:v>
                </c:pt>
                <c:pt idx="36">
                  <c:v>-16.072235265805517</c:v>
                </c:pt>
                <c:pt idx="37">
                  <c:v>-22.011612586390061</c:v>
                </c:pt>
                <c:pt idx="38">
                  <c:v>-25.518228412625149</c:v>
                </c:pt>
                <c:pt idx="39">
                  <c:v>-28.011667261840323</c:v>
                </c:pt>
                <c:pt idx="40">
                  <c:v>-29.947395549253173</c:v>
                </c:pt>
                <c:pt idx="41">
                  <c:v>-31.529677080213759</c:v>
                </c:pt>
                <c:pt idx="42">
                  <c:v>-32.867802650164421</c:v>
                </c:pt>
                <c:pt idx="43">
                  <c:v>-34.027115643146644</c:v>
                </c:pt>
                <c:pt idx="44">
                  <c:v>-35.049805468049144</c:v>
                </c:pt>
                <c:pt idx="45">
                  <c:v>-35.964697308632857</c:v>
                </c:pt>
                <c:pt idx="46">
                  <c:v>-41.984472291927837</c:v>
                </c:pt>
                <c:pt idx="47">
                  <c:v>-45.506144691032596</c:v>
                </c:pt>
                <c:pt idx="48">
                  <c:v>-48.004865948225671</c:v>
                </c:pt>
                <c:pt idx="49">
                  <c:v>-49.943041456890711</c:v>
                </c:pt>
                <c:pt idx="50">
                  <c:v>-51.526652932526943</c:v>
                </c:pt>
                <c:pt idx="51">
                  <c:v>-52.865580618017447</c:v>
                </c:pt>
                <c:pt idx="52">
                  <c:v>-54.025414295729249</c:v>
                </c:pt>
                <c:pt idx="53">
                  <c:v>-55.048461137171685</c:v>
                </c:pt>
                <c:pt idx="54">
                  <c:v>-55.963608367956105</c:v>
                </c:pt>
              </c:numCache>
            </c:numRef>
          </c:yVal>
          <c:smooth val="0"/>
          <c:extLst>
            <c:ext xmlns:c16="http://schemas.microsoft.com/office/drawing/2014/chart" uri="{C3380CC4-5D6E-409C-BE32-E72D297353CC}">
              <c16:uniqueId val="{00000000-77E2-48A2-9551-C4B89B31A93F}"/>
            </c:ext>
          </c:extLst>
        </c:ser>
        <c:ser>
          <c:idx val="1"/>
          <c:order val="1"/>
          <c:spPr>
            <a:ln w="19050" cap="rnd">
              <a:solidFill>
                <a:schemeClr val="accent2"/>
              </a:solidFill>
              <a:round/>
            </a:ln>
            <a:effectLst/>
          </c:spPr>
          <c:marker>
            <c:symbol val="none"/>
          </c:marker>
          <c:xVal>
            <c:numRef>
              <c:f>'Unity LPF'!$B$47:$B$101</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LPF'!$E$47:$E$101</c:f>
              <c:numCache>
                <c:formatCode>General</c:formatCode>
                <c:ptCount val="55"/>
                <c:pt idx="0">
                  <c:v>-1.7145255528834613E-6</c:v>
                </c:pt>
                <c:pt idx="1">
                  <c:v>-6.8580981533686203E-6</c:v>
                </c:pt>
                <c:pt idx="2">
                  <c:v>-1.5430705615359815E-5</c:v>
                </c:pt>
                <c:pt idx="3">
                  <c:v>-2.7432327633425711E-5</c:v>
                </c:pt>
                <c:pt idx="4">
                  <c:v>-4.2862935779766058E-5</c:v>
                </c:pt>
                <c:pt idx="5">
                  <c:v>-6.1722493504979615E-5</c:v>
                </c:pt>
                <c:pt idx="6">
                  <c:v>-8.4010956137811616E-5</c:v>
                </c:pt>
                <c:pt idx="7">
                  <c:v>-1.0972827088580956E-4</c:v>
                </c:pt>
                <c:pt idx="8">
                  <c:v>-1.3887437683399412E-4</c:v>
                </c:pt>
                <c:pt idx="9">
                  <c:v>-1.7144920494926007E-4</c:v>
                </c:pt>
                <c:pt idx="10">
                  <c:v>-6.8575621307905487E-4</c:v>
                </c:pt>
                <c:pt idx="11">
                  <c:v>-1.5427992362884171E-3</c:v>
                </c:pt>
                <c:pt idx="12">
                  <c:v>-2.7423754011977773E-3</c:v>
                </c:pt>
                <c:pt idx="13">
                  <c:v>-4.2842009091484806E-3</c:v>
                </c:pt>
                <c:pt idx="14">
                  <c:v>-6.1679112598311339E-3</c:v>
                </c:pt>
                <c:pt idx="15">
                  <c:v>-8.3930615381633978E-3</c:v>
                </c:pt>
                <c:pt idx="16">
                  <c:v>-1.0959126763967621E-2</c:v>
                </c:pt>
                <c:pt idx="17">
                  <c:v>-1.3865502303841613E-2</c:v>
                </c:pt>
                <c:pt idx="18">
                  <c:v>-1.7111504344581904E-2</c:v>
                </c:pt>
                <c:pt idx="19">
                  <c:v>-6.8045175474466063E-2</c:v>
                </c:pt>
                <c:pt idx="20">
                  <c:v>-0.15162926719815417</c:v>
                </c:pt>
                <c:pt idx="21">
                  <c:v>-0.26600862189675495</c:v>
                </c:pt>
                <c:pt idx="22">
                  <c:v>-0.40877560788352241</c:v>
                </c:pt>
                <c:pt idx="23">
                  <c:v>-0.57712612523795515</c:v>
                </c:pt>
                <c:pt idx="24">
                  <c:v>-0.76802135025538498</c:v>
                </c:pt>
                <c:pt idx="25">
                  <c:v>-0.97833858981619204</c:v>
                </c:pt>
                <c:pt idx="26">
                  <c:v>-1.2049995751356051</c:v>
                </c:pt>
                <c:pt idx="27">
                  <c:v>-1.4450701162052859</c:v>
                </c:pt>
                <c:pt idx="28">
                  <c:v>-4.1147436202747096</c:v>
                </c:pt>
                <c:pt idx="29">
                  <c:v>-6.5830314304388384</c:v>
                </c:pt>
                <c:pt idx="30">
                  <c:v>-8.6430615588034012</c:v>
                </c:pt>
                <c:pt idx="31">
                  <c:v>-10.362137382398968</c:v>
                </c:pt>
                <c:pt idx="32">
                  <c:v>-11.821928927044215</c:v>
                </c:pt>
                <c:pt idx="33">
                  <c:v>-13.084454117991324</c:v>
                </c:pt>
                <c:pt idx="34">
                  <c:v>-14.193970362741473</c:v>
                </c:pt>
                <c:pt idx="35">
                  <c:v>-15.182179694787166</c:v>
                </c:pt>
                <c:pt idx="36">
                  <c:v>-16.072235265805517</c:v>
                </c:pt>
                <c:pt idx="37">
                  <c:v>-22.011612586390065</c:v>
                </c:pt>
                <c:pt idx="38">
                  <c:v>-25.518228412625152</c:v>
                </c:pt>
                <c:pt idx="39">
                  <c:v>-28.011667261840326</c:v>
                </c:pt>
                <c:pt idx="40">
                  <c:v>-29.947395549253176</c:v>
                </c:pt>
                <c:pt idx="41">
                  <c:v>-31.529677080213759</c:v>
                </c:pt>
                <c:pt idx="42">
                  <c:v>-32.867802650164421</c:v>
                </c:pt>
                <c:pt idx="43">
                  <c:v>-34.027115643146651</c:v>
                </c:pt>
                <c:pt idx="44">
                  <c:v>-35.049805468049144</c:v>
                </c:pt>
                <c:pt idx="45">
                  <c:v>-35.964697308632864</c:v>
                </c:pt>
                <c:pt idx="46">
                  <c:v>-41.984472291927837</c:v>
                </c:pt>
                <c:pt idx="47">
                  <c:v>-45.506144691032596</c:v>
                </c:pt>
                <c:pt idx="48">
                  <c:v>-48.004865948225671</c:v>
                </c:pt>
                <c:pt idx="49">
                  <c:v>-49.943041456890711</c:v>
                </c:pt>
                <c:pt idx="50">
                  <c:v>-51.526652932526943</c:v>
                </c:pt>
                <c:pt idx="51">
                  <c:v>-52.865580618017447</c:v>
                </c:pt>
                <c:pt idx="52">
                  <c:v>-54.025414295729249</c:v>
                </c:pt>
                <c:pt idx="53">
                  <c:v>-55.048461137171685</c:v>
                </c:pt>
                <c:pt idx="54">
                  <c:v>-55.963608367956105</c:v>
                </c:pt>
              </c:numCache>
            </c:numRef>
          </c:yVal>
          <c:smooth val="0"/>
          <c:extLst>
            <c:ext xmlns:c16="http://schemas.microsoft.com/office/drawing/2014/chart" uri="{C3380CC4-5D6E-409C-BE32-E72D297353CC}">
              <c16:uniqueId val="{00000001-51E0-4931-9763-1E935FAF6C62}"/>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'Unity HPF'!$C$15</c:f>
              <c:strCache>
                <c:ptCount val="1"/>
                <c:pt idx="0">
                  <c:v>Vin(+)</c:v>
                </c:pt>
              </c:strCache>
            </c:strRef>
          </c:tx>
          <c:spPr>
            <a:ln>
              <a:solidFill>
                <a:schemeClr val="tx1"/>
              </a:solidFill>
            </a:ln>
          </c:spPr>
          <c:marker>
            <c:symbol val="none"/>
          </c:marker>
          <c:xVal>
            <c:numRef>
              <c:f>'Unity HPF'!$B$16:$B$41</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'Unity HPF'!$C$16:$C$41</c:f>
              <c:numCache>
                <c:formatCode>General</c:formatCode>
                <c:ptCount val="26"/>
                <c:pt idx="0">
                  <c:v>0</c:v>
                </c:pt>
                <c:pt idx="1">
                  <c:v>0.84432792550201508</c:v>
                </c:pt>
                <c:pt idx="2">
                  <c:v>0.90482705246601947</c:v>
                </c:pt>
                <c:pt idx="3">
                  <c:v>0.12533323356430454</c:v>
                </c:pt>
                <c:pt idx="4">
                  <c:v>-0.77051324277578936</c:v>
                </c:pt>
                <c:pt idx="5">
                  <c:v>-0.95105651629515364</c:v>
                </c:pt>
                <c:pt idx="6">
                  <c:v>-0.24868988716485535</c:v>
                </c:pt>
                <c:pt idx="7">
                  <c:v>0.68454710592868795</c:v>
                </c:pt>
                <c:pt idx="8">
                  <c:v>0.98228725072868861</c:v>
                </c:pt>
                <c:pt idx="9">
                  <c:v>0.36812455268467797</c:v>
                </c:pt>
                <c:pt idx="10">
                  <c:v>-0.5877852522924728</c:v>
                </c:pt>
                <c:pt idx="11">
                  <c:v>-0.99802672842827156</c:v>
                </c:pt>
                <c:pt idx="12">
                  <c:v>-0.48175367410171632</c:v>
                </c:pt>
                <c:pt idx="13">
                  <c:v>0.48175367410171543</c:v>
                </c:pt>
                <c:pt idx="14">
                  <c:v>0.99802672842827145</c:v>
                </c:pt>
                <c:pt idx="15">
                  <c:v>0.58778525229247358</c:v>
                </c:pt>
                <c:pt idx="16">
                  <c:v>-0.3681245526846787</c:v>
                </c:pt>
                <c:pt idx="17">
                  <c:v>-0.98228725072868839</c:v>
                </c:pt>
                <c:pt idx="18">
                  <c:v>-0.68454710592868862</c:v>
                </c:pt>
                <c:pt idx="19">
                  <c:v>0.24868988716485269</c:v>
                </c:pt>
                <c:pt idx="20">
                  <c:v>0.95105651629515331</c:v>
                </c:pt>
                <c:pt idx="21">
                  <c:v>0.77051324277578881</c:v>
                </c:pt>
                <c:pt idx="22">
                  <c:v>-0.12533323356430268</c:v>
                </c:pt>
                <c:pt idx="23">
                  <c:v>-0.90482705246601947</c:v>
                </c:pt>
                <c:pt idx="24">
                  <c:v>-0.8443279255020163</c:v>
                </c:pt>
                <c:pt idx="25">
                  <c:v>-9.8011876392689601E-16</c:v>
                </c:pt>
              </c:numCache>
            </c:numRef>
          </c:yVal>
          <c:smooth val="1"/>
          <c:extLst>
            <c:ext xmlns:c16="http://schemas.microsoft.com/office/drawing/2014/chart" uri="{C3380CC4-5D6E-409C-BE32-E72D297353CC}">
              <c16:uniqueId val="{00000000-CDD9-4FAC-8634-4CB28D7327BD}"/>
            </c:ext>
          </c:extLst>
        </c:ser>
        <c:ser>
          <c:idx val="1"/>
          <c:order val="1"/>
          <c:tx>
            <c:strRef>
              <c:f>'Unity HPF'!$E$15</c:f>
              <c:strCache>
                <c:ptCount val="1"/>
                <c:pt idx="0">
                  <c:v>Vout</c:v>
                </c:pt>
              </c:strCache>
            </c:strRef>
          </c:tx>
          <c:spPr>
            <a:ln>
              <a:solidFill>
                <a:srgbClr val="C00000"/>
              </a:solidFill>
              <a:prstDash val="dash"/>
            </a:ln>
          </c:spPr>
          <c:marker>
            <c:symbol val="none"/>
          </c:marker>
          <c:xVal>
            <c:numRef>
              <c:f>'Unity HPF'!$B$16:$B$41</c:f>
              <c:numCache>
                <c:formatCode>General</c:formatCode>
                <c:ptCount val="26"/>
                <c:pt idx="0">
                  <c:v>0</c:v>
                </c:pt>
                <c:pt idx="1">
                  <c:v>1.0053099213407818E-4</c:v>
                </c:pt>
                <c:pt idx="2">
                  <c:v>2.0106198426815636E-4</c:v>
                </c:pt>
                <c:pt idx="3">
                  <c:v>3.0159297640223456E-4</c:v>
                </c:pt>
                <c:pt idx="4">
                  <c:v>4.0212396853631273E-4</c:v>
                </c:pt>
                <c:pt idx="5">
                  <c:v>5.0265496067039095E-4</c:v>
                </c:pt>
                <c:pt idx="6">
                  <c:v>6.0318595280446912E-4</c:v>
                </c:pt>
                <c:pt idx="7">
                  <c:v>7.0371694493854729E-4</c:v>
                </c:pt>
                <c:pt idx="8">
                  <c:v>8.0424793707262545E-4</c:v>
                </c:pt>
                <c:pt idx="9">
                  <c:v>9.0477892920670362E-4</c:v>
                </c:pt>
                <c:pt idx="10">
                  <c:v>1.0053099213407819E-3</c:v>
                </c:pt>
                <c:pt idx="11">
                  <c:v>1.1058409134748601E-3</c:v>
                </c:pt>
                <c:pt idx="12">
                  <c:v>1.2063719056089382E-3</c:v>
                </c:pt>
                <c:pt idx="13">
                  <c:v>1.3069028977430164E-3</c:v>
                </c:pt>
                <c:pt idx="14">
                  <c:v>1.4074338898770946E-3</c:v>
                </c:pt>
                <c:pt idx="15">
                  <c:v>1.5079648820111727E-3</c:v>
                </c:pt>
                <c:pt idx="16">
                  <c:v>1.6084958741452509E-3</c:v>
                </c:pt>
                <c:pt idx="17">
                  <c:v>1.7090268662793291E-3</c:v>
                </c:pt>
                <c:pt idx="18">
                  <c:v>1.8095578584134072E-3</c:v>
                </c:pt>
                <c:pt idx="19">
                  <c:v>1.9100888505474854E-3</c:v>
                </c:pt>
                <c:pt idx="20">
                  <c:v>2.0106198426815638E-3</c:v>
                </c:pt>
                <c:pt idx="21">
                  <c:v>2.111150834815642E-3</c:v>
                </c:pt>
                <c:pt idx="22">
                  <c:v>2.2116818269497201E-3</c:v>
                </c:pt>
                <c:pt idx="23">
                  <c:v>2.3122128190837983E-3</c:v>
                </c:pt>
                <c:pt idx="24">
                  <c:v>2.4127438112178765E-3</c:v>
                </c:pt>
                <c:pt idx="25">
                  <c:v>2.5132748033519546E-3</c:v>
                </c:pt>
              </c:numCache>
            </c:numRef>
          </c:xVal>
          <c:yVal>
            <c:numRef>
              <c:f>'Unity HPF'!$E$16:$E$41</c:f>
              <c:numCache>
                <c:formatCode>General</c:formatCode>
                <c:ptCount val="26"/>
                <c:pt idx="0">
                  <c:v>0</c:v>
                </c:pt>
                <c:pt idx="1">
                  <c:v>0.59702992084338946</c:v>
                </c:pt>
                <c:pt idx="2">
                  <c:v>0.63980925798415478</c:v>
                </c:pt>
                <c:pt idx="3">
                  <c:v>8.8623967363690132E-2</c:v>
                </c:pt>
                <c:pt idx="4">
                  <c:v>-0.54483506520253655</c:v>
                </c:pt>
                <c:pt idx="5">
                  <c:v>-0.67249842092298551</c:v>
                </c:pt>
                <c:pt idx="6">
                  <c:v>-0.17585028182066292</c:v>
                </c:pt>
                <c:pt idx="7">
                  <c:v>0.48404783511474714</c:v>
                </c:pt>
                <c:pt idx="8">
                  <c:v>0.6945818820327766</c:v>
                </c:pt>
                <c:pt idx="9">
                  <c:v>0.26030333228545677</c:v>
                </c:pt>
                <c:pt idx="10">
                  <c:v>-0.41562688151103822</c:v>
                </c:pt>
                <c:pt idx="11">
                  <c:v>-0.7057113719398066</c:v>
                </c:pt>
                <c:pt idx="12">
                  <c:v>-0.34065124370243666</c:v>
                </c:pt>
                <c:pt idx="13">
                  <c:v>0.34065124370243605</c:v>
                </c:pt>
                <c:pt idx="14">
                  <c:v>0.70571137193980649</c:v>
                </c:pt>
                <c:pt idx="15">
                  <c:v>0.41562688151103877</c:v>
                </c:pt>
                <c:pt idx="16">
                  <c:v>-0.26030333228545727</c:v>
                </c:pt>
                <c:pt idx="17">
                  <c:v>-0.69458188203277638</c:v>
                </c:pt>
                <c:pt idx="18">
                  <c:v>-0.48404783511474758</c:v>
                </c:pt>
                <c:pt idx="19">
                  <c:v>0.17585028182066104</c:v>
                </c:pt>
                <c:pt idx="20">
                  <c:v>0.67249842092298528</c:v>
                </c:pt>
                <c:pt idx="21">
                  <c:v>0.54483506520253622</c:v>
                </c:pt>
                <c:pt idx="22">
                  <c:v>-8.8623967363688813E-2</c:v>
                </c:pt>
                <c:pt idx="23">
                  <c:v>-0.63980925798415478</c:v>
                </c:pt>
                <c:pt idx="24">
                  <c:v>-0.59702992084339024</c:v>
                </c:pt>
                <c:pt idx="25">
                  <c:v>-6.9304853051789641E-16</c:v>
                </c:pt>
              </c:numCache>
            </c:numRef>
          </c:yVal>
          <c:smooth val="1"/>
          <c:extLst>
            <c:ext xmlns:c16="http://schemas.microsoft.com/office/drawing/2014/chart" uri="{C3380CC4-5D6E-409C-BE32-E72D297353CC}">
              <c16:uniqueId val="{00000001-CDD9-4FAC-8634-4CB28D7327BD}"/>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1" i="0" u="none" strike="noStrike" baseline="0">
                <a:effectLst/>
              </a:rPr>
              <a:t>Unity Gain HPF Bode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'Unity HPF'!$C$45</c:f>
              <c:strCache>
                <c:ptCount val="1"/>
                <c:pt idx="0">
                  <c:v>Gain,dB</c:v>
                </c:pt>
              </c:strCache>
            </c:strRef>
          </c:tx>
          <c:spPr>
            <a:ln w="19050" cap="rnd">
              <a:solidFill>
                <a:srgbClr val="C00000"/>
              </a:solidFill>
              <a:round/>
            </a:ln>
            <a:effectLst/>
          </c:spPr>
          <c:marker>
            <c:symbol val="none"/>
          </c:marker>
          <c:xVal>
            <c:numRef>
              <c:f>'Unity HPF'!$B$46:$B$100</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HPF'!$C$46:$C$100</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FA03-4DEC-8BCA-BA5957A4B306}"/>
            </c:ext>
          </c:extLst>
        </c:ser>
        <c:ser>
          <c:idx val="1"/>
          <c:order val="1"/>
          <c:tx>
            <c:v>Gain,dB (Xc)</c:v>
          </c:tx>
          <c:spPr>
            <a:ln w="19050" cap="rnd">
              <a:solidFill>
                <a:schemeClr val="accent2"/>
              </a:solidFill>
              <a:round/>
            </a:ln>
            <a:effectLst/>
          </c:spPr>
          <c:marker>
            <c:symbol val="none"/>
          </c:marker>
          <c:xVal>
            <c:numRef>
              <c:f>'Unity HPF'!$B$46:$B$100</c:f>
              <c:numCache>
                <c:formatCode>General</c:formatCode>
                <c:ptCount val="55"/>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pt idx="28">
                  <c:v>2000</c:v>
                </c:pt>
                <c:pt idx="29">
                  <c:v>3000</c:v>
                </c:pt>
                <c:pt idx="30">
                  <c:v>4000</c:v>
                </c:pt>
                <c:pt idx="31">
                  <c:v>5000</c:v>
                </c:pt>
                <c:pt idx="32">
                  <c:v>6000</c:v>
                </c:pt>
                <c:pt idx="33">
                  <c:v>7000</c:v>
                </c:pt>
                <c:pt idx="34">
                  <c:v>8000</c:v>
                </c:pt>
                <c:pt idx="35">
                  <c:v>9000</c:v>
                </c:pt>
                <c:pt idx="36">
                  <c:v>10000</c:v>
                </c:pt>
                <c:pt idx="37">
                  <c:v>20000</c:v>
                </c:pt>
                <c:pt idx="38">
                  <c:v>30000</c:v>
                </c:pt>
                <c:pt idx="39">
                  <c:v>40000</c:v>
                </c:pt>
                <c:pt idx="40">
                  <c:v>50000</c:v>
                </c:pt>
                <c:pt idx="41">
                  <c:v>60000</c:v>
                </c:pt>
                <c:pt idx="42">
                  <c:v>70000</c:v>
                </c:pt>
                <c:pt idx="43">
                  <c:v>80000</c:v>
                </c:pt>
                <c:pt idx="44">
                  <c:v>90000</c:v>
                </c:pt>
                <c:pt idx="45">
                  <c:v>100000</c:v>
                </c:pt>
                <c:pt idx="46">
                  <c:v>200000</c:v>
                </c:pt>
                <c:pt idx="47">
                  <c:v>300000</c:v>
                </c:pt>
                <c:pt idx="48">
                  <c:v>400000</c:v>
                </c:pt>
                <c:pt idx="49">
                  <c:v>500000</c:v>
                </c:pt>
                <c:pt idx="50">
                  <c:v>600000</c:v>
                </c:pt>
                <c:pt idx="51">
                  <c:v>700000</c:v>
                </c:pt>
                <c:pt idx="52">
                  <c:v>800000</c:v>
                </c:pt>
                <c:pt idx="53">
                  <c:v>900000</c:v>
                </c:pt>
                <c:pt idx="54">
                  <c:v>1000000</c:v>
                </c:pt>
              </c:numCache>
            </c:numRef>
          </c:xVal>
          <c:yVal>
            <c:numRef>
              <c:f>'Unity HPF'!$E$46:$E$100</c:f>
              <c:numCache>
                <c:formatCode>General</c:formatCode>
                <c:ptCount val="55"/>
                <c:pt idx="0">
                  <c:v>-64.036404347363259</c:v>
                </c:pt>
                <c:pt idx="1">
                  <c:v>-58.015809577656228</c:v>
                </c:pt>
                <c:pt idx="2">
                  <c:v>-54.493992969150071</c:v>
                </c:pt>
                <c:pt idx="3">
                  <c:v>-51.995230238606084</c:v>
                </c:pt>
                <c:pt idx="4">
                  <c:v>-50.057045409053103</c:v>
                </c:pt>
                <c:pt idx="5">
                  <c:v>-48.473439347658328</c:v>
                </c:pt>
                <c:pt idx="6">
                  <c:v>-47.134525843508698</c:v>
                </c:pt>
                <c:pt idx="7">
                  <c:v>-45.974712621269717</c:v>
                </c:pt>
                <c:pt idx="8">
                  <c:v>-44.95169131842804</c:v>
                </c:pt>
                <c:pt idx="9">
                  <c:v>-44.036574082042648</c:v>
                </c:pt>
                <c:pt idx="10">
                  <c:v>-38.016488475771155</c:v>
                </c:pt>
                <c:pt idx="11">
                  <c:v>-34.495520337680738</c:v>
                </c:pt>
                <c:pt idx="12">
                  <c:v>-31.997945181679654</c:v>
                </c:pt>
                <c:pt idx="13">
                  <c:v>-30.061286747026475</c:v>
                </c:pt>
                <c:pt idx="14">
                  <c:v>-28.479545536424663</c:v>
                </c:pt>
                <c:pt idx="15">
                  <c:v>-27.142834894090729</c:v>
                </c:pt>
                <c:pt idx="16">
                  <c:v>-25.985562019762796</c:v>
                </c:pt>
                <c:pt idx="17">
                  <c:v>-24.965417946355046</c:v>
                </c:pt>
                <c:pt idx="18">
                  <c:v>-24.053514137182283</c:v>
                </c:pt>
                <c:pt idx="19">
                  <c:v>-18.083847895032541</c:v>
                </c:pt>
                <c:pt idx="20">
                  <c:v>-14.645606805642606</c:v>
                </c:pt>
                <c:pt idx="21">
                  <c:v>-12.261211428175207</c:v>
                </c:pt>
                <c:pt idx="22">
                  <c:v>-10.465778154000846</c:v>
                </c:pt>
                <c:pt idx="23">
                  <c:v>-9.0505037504027825</c:v>
                </c:pt>
                <c:pt idx="24">
                  <c:v>-7.902463182807951</c:v>
                </c:pt>
                <c:pt idx="25">
                  <c:v>-6.9529414828150209</c:v>
                </c:pt>
                <c:pt idx="26">
                  <c:v>-6.1565520191868082</c:v>
                </c:pt>
                <c:pt idx="27">
                  <c:v>-5.4814727490429869</c:v>
                </c:pt>
                <c:pt idx="28">
                  <c:v>-2.1305463398327849</c:v>
                </c:pt>
                <c:pt idx="29">
                  <c:v>-1.0770089688832909</c:v>
                </c:pt>
                <c:pt idx="30">
                  <c:v>-0.63826436508185269</c:v>
                </c:pt>
                <c:pt idx="31">
                  <c:v>-0.41913992851628978</c:v>
                </c:pt>
                <c:pt idx="32">
                  <c:v>-0.29530655220904345</c:v>
                </c:pt>
                <c:pt idx="33">
                  <c:v>-0.21889595054388702</c:v>
                </c:pt>
                <c:pt idx="34">
                  <c:v>-0.16857325574029966</c:v>
                </c:pt>
                <c:pt idx="35">
                  <c:v>-0.13373213883836513</c:v>
                </c:pt>
                <c:pt idx="36">
                  <c:v>-0.1086378986432171</c:v>
                </c:pt>
                <c:pt idx="37">
                  <c:v>-2.7415305948140126E-2</c:v>
                </c:pt>
                <c:pt idx="38">
                  <c:v>-1.2205951069602282E-2</c:v>
                </c:pt>
                <c:pt idx="39">
                  <c:v>-6.8700681187759752E-3</c:v>
                </c:pt>
                <c:pt idx="40">
                  <c:v>-4.3980953704993043E-3</c:v>
                </c:pt>
                <c:pt idx="41">
                  <c:v>-3.0547053785892125E-3</c:v>
                </c:pt>
                <c:pt idx="42">
                  <c:v>-2.2444827169850251E-3</c:v>
                </c:pt>
                <c:pt idx="43">
                  <c:v>-1.7185361454735751E-3</c:v>
                </c:pt>
                <c:pt idx="44">
                  <c:v>-1.3579121003449407E-3</c:v>
                </c:pt>
                <c:pt idx="45">
                  <c:v>-1.0999414705602853E-3</c:v>
                </c:pt>
                <c:pt idx="46">
                  <c:v>-2.7501148591186036E-4</c:v>
                </c:pt>
                <c:pt idx="47">
                  <c:v>-1.2222947704761892E-4</c:v>
                </c:pt>
                <c:pt idx="48">
                  <c:v>-6.8754504128880093E-5</c:v>
                </c:pt>
                <c:pt idx="49">
                  <c:v>-4.4003008033814247E-5</c:v>
                </c:pt>
                <c:pt idx="50">
                  <c:v>-3.0557691770040345E-5</c:v>
                </c:pt>
                <c:pt idx="51">
                  <c:v>-2.2450570011073854E-5</c:v>
                </c:pt>
                <c:pt idx="52">
                  <c:v>-1.7188728077354363E-5</c:v>
                </c:pt>
                <c:pt idx="53">
                  <c:v>-1.3581222887220424E-5</c:v>
                </c:pt>
                <c:pt idx="54">
                  <c:v>-1.1000793805966119E-5</c:v>
                </c:pt>
              </c:numCache>
            </c:numRef>
          </c:yVal>
          <c:smooth val="0"/>
          <c:extLst>
            <c:ext xmlns:c16="http://schemas.microsoft.com/office/drawing/2014/chart" uri="{C3380CC4-5D6E-409C-BE32-E72D297353CC}">
              <c16:uniqueId val="{00000000-093C-4080-A0A9-CB2816974697}"/>
            </c:ext>
          </c:extLst>
        </c:ser>
        <c:dLbls>
          <c:showLegendKey val="0"/>
          <c:showVal val="0"/>
          <c:showCatName val="0"/>
          <c:showSerName val="0"/>
          <c:showPercent val="0"/>
          <c:showBubbleSize val="0"/>
        </c:dLbls>
        <c:axId val="658315328"/>
        <c:axId val="658313664"/>
      </c:scatterChart>
      <c:valAx>
        <c:axId val="65831532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3664"/>
        <c:crosses val="autoZero"/>
        <c:crossBetween val="midCat"/>
      </c:valAx>
      <c:valAx>
        <c:axId val="65831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 dB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96784776902887"/>
          <c:y val="5.7060367454068242E-2"/>
          <c:w val="0.83847659667541552"/>
          <c:h val="0.81030074365704285"/>
        </c:manualLayout>
      </c:layout>
      <c:scatterChart>
        <c:scatterStyle val="smoothMarker"/>
        <c:varyColors val="0"/>
        <c:ser>
          <c:idx val="0"/>
          <c:order val="0"/>
          <c:tx>
            <c:strRef>
              <c:f>Inv!$C$9</c:f>
              <c:strCache>
                <c:ptCount val="1"/>
                <c:pt idx="0">
                  <c:v>Vin(+)</c:v>
                </c:pt>
              </c:strCache>
            </c:strRef>
          </c:tx>
          <c:spPr>
            <a:ln>
              <a:solidFill>
                <a:schemeClr val="tx1"/>
              </a:solidFill>
            </a:ln>
          </c:spPr>
          <c:marker>
            <c:symbol val="none"/>
          </c:marker>
          <c:xVal>
            <c:numRef>
              <c:f>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Inv!$C$10:$C$35</c:f>
              <c:numCache>
                <c:formatCode>General</c:formatCode>
                <c:ptCount val="26"/>
                <c:pt idx="0">
                  <c:v>0</c:v>
                </c:pt>
                <c:pt idx="1">
                  <c:v>9.9833416646828155E-2</c:v>
                </c:pt>
                <c:pt idx="2">
                  <c:v>0.19866933079506122</c:v>
                </c:pt>
                <c:pt idx="3">
                  <c:v>0.93203908596722629</c:v>
                </c:pt>
                <c:pt idx="4">
                  <c:v>0.80849640381959009</c:v>
                </c:pt>
                <c:pt idx="5">
                  <c:v>-5.8374143427580086E-2</c:v>
                </c:pt>
                <c:pt idx="6">
                  <c:v>-0.87157577241358819</c:v>
                </c:pt>
                <c:pt idx="7">
                  <c:v>-0.88345465572015314</c:v>
                </c:pt>
                <c:pt idx="8">
                  <c:v>-8.3089402817496397E-2</c:v>
                </c:pt>
                <c:pt idx="9">
                  <c:v>0.79366786384915311</c:v>
                </c:pt>
                <c:pt idx="10">
                  <c:v>0.94073055667977312</c:v>
                </c:pt>
                <c:pt idx="11">
                  <c:v>0.22288991410024764</c:v>
                </c:pt>
                <c:pt idx="12">
                  <c:v>-0.69987468759354232</c:v>
                </c:pt>
                <c:pt idx="13">
                  <c:v>-0.9791777291513174</c:v>
                </c:pt>
                <c:pt idx="14">
                  <c:v>-0.35822928223682871</c:v>
                </c:pt>
                <c:pt idx="15">
                  <c:v>0.59207351470722303</c:v>
                </c:pt>
                <c:pt idx="16">
                  <c:v>0.99802665271636171</c:v>
                </c:pt>
                <c:pt idx="17">
                  <c:v>0.48639868885379967</c:v>
                </c:pt>
                <c:pt idx="18">
                  <c:v>-0.47242198639846616</c:v>
                </c:pt>
                <c:pt idx="19">
                  <c:v>-0.99690006604159609</c:v>
                </c:pt>
                <c:pt idx="20">
                  <c:v>-0.60483282240628411</c:v>
                </c:pt>
                <c:pt idx="21">
                  <c:v>0.34331492881989539</c:v>
                </c:pt>
                <c:pt idx="22">
                  <c:v>0.97582051776697554</c:v>
                </c:pt>
                <c:pt idx="23">
                  <c:v>0.71116122290598238</c:v>
                </c:pt>
                <c:pt idx="24">
                  <c:v>-0.20733642060675878</c:v>
                </c:pt>
                <c:pt idx="25">
                  <c:v>-0.93520991519453889</c:v>
                </c:pt>
              </c:numCache>
            </c:numRef>
          </c:yVal>
          <c:smooth val="1"/>
          <c:extLst>
            <c:ext xmlns:c16="http://schemas.microsoft.com/office/drawing/2014/chart" uri="{C3380CC4-5D6E-409C-BE32-E72D297353CC}">
              <c16:uniqueId val="{00000000-AF8B-43EF-8423-D7F48084382D}"/>
            </c:ext>
          </c:extLst>
        </c:ser>
        <c:ser>
          <c:idx val="1"/>
          <c:order val="1"/>
          <c:tx>
            <c:strRef>
              <c:f>Inv!$E$9</c:f>
              <c:strCache>
                <c:ptCount val="1"/>
                <c:pt idx="0">
                  <c:v>Vout</c:v>
                </c:pt>
              </c:strCache>
            </c:strRef>
          </c:tx>
          <c:spPr>
            <a:ln>
              <a:solidFill>
                <a:srgbClr val="C00000"/>
              </a:solidFill>
              <a:prstDash val="dash"/>
            </a:ln>
          </c:spPr>
          <c:marker>
            <c:symbol val="none"/>
          </c:marker>
          <c:xVal>
            <c:numRef>
              <c:f>Inv!$B$10:$B$35</c:f>
              <c:numCache>
                <c:formatCode>General</c:formatCode>
                <c:ptCount val="26"/>
                <c:pt idx="0">
                  <c:v>0</c:v>
                </c:pt>
                <c:pt idx="1">
                  <c:v>0.1</c:v>
                </c:pt>
                <c:pt idx="2">
                  <c:v>0.2</c:v>
                </c:pt>
                <c:pt idx="3">
                  <c:v>1.2</c:v>
                </c:pt>
                <c:pt idx="4">
                  <c:v>2.2000000000000002</c:v>
                </c:pt>
                <c:pt idx="5">
                  <c:v>3.2</c:v>
                </c:pt>
                <c:pt idx="6">
                  <c:v>4.2</c:v>
                </c:pt>
                <c:pt idx="7">
                  <c:v>5.2</c:v>
                </c:pt>
                <c:pt idx="8">
                  <c:v>6.2</c:v>
                </c:pt>
                <c:pt idx="9">
                  <c:v>7.2</c:v>
                </c:pt>
                <c:pt idx="10">
                  <c:v>8.1999999999999993</c:v>
                </c:pt>
                <c:pt idx="11">
                  <c:v>9.1999999999999993</c:v>
                </c:pt>
                <c:pt idx="12">
                  <c:v>10.199999999999999</c:v>
                </c:pt>
                <c:pt idx="13">
                  <c:v>11.2</c:v>
                </c:pt>
                <c:pt idx="14">
                  <c:v>12.2</c:v>
                </c:pt>
                <c:pt idx="15">
                  <c:v>13.2</c:v>
                </c:pt>
                <c:pt idx="16">
                  <c:v>14.2</c:v>
                </c:pt>
                <c:pt idx="17">
                  <c:v>15.2</c:v>
                </c:pt>
                <c:pt idx="18">
                  <c:v>16.2</c:v>
                </c:pt>
                <c:pt idx="19">
                  <c:v>17.2</c:v>
                </c:pt>
                <c:pt idx="20">
                  <c:v>18.2</c:v>
                </c:pt>
                <c:pt idx="21">
                  <c:v>19.2</c:v>
                </c:pt>
                <c:pt idx="22">
                  <c:v>20.2</c:v>
                </c:pt>
                <c:pt idx="23">
                  <c:v>21.2</c:v>
                </c:pt>
                <c:pt idx="24">
                  <c:v>22.2</c:v>
                </c:pt>
                <c:pt idx="25">
                  <c:v>23.2</c:v>
                </c:pt>
              </c:numCache>
            </c:numRef>
          </c:xVal>
          <c:yVal>
            <c:numRef>
              <c:f>Inv!$E$10:$E$35</c:f>
              <c:numCache>
                <c:formatCode>General</c:formatCode>
                <c:ptCount val="26"/>
                <c:pt idx="0">
                  <c:v>0</c:v>
                </c:pt>
                <c:pt idx="1">
                  <c:v>-0.49916708323414077</c:v>
                </c:pt>
                <c:pt idx="2">
                  <c:v>-0.99334665397530608</c:v>
                </c:pt>
                <c:pt idx="3">
                  <c:v>-4.660195429836131</c:v>
                </c:pt>
                <c:pt idx="4">
                  <c:v>-4.0424820190979505</c:v>
                </c:pt>
                <c:pt idx="5">
                  <c:v>0.29187071713790042</c:v>
                </c:pt>
                <c:pt idx="6">
                  <c:v>4.357878862067941</c:v>
                </c:pt>
                <c:pt idx="7">
                  <c:v>4.4172732786007654</c:v>
                </c:pt>
                <c:pt idx="8">
                  <c:v>0.41544701408748197</c:v>
                </c:pt>
                <c:pt idx="9">
                  <c:v>-3.9683393192457657</c:v>
                </c:pt>
                <c:pt idx="10">
                  <c:v>-4.7036527833988657</c:v>
                </c:pt>
                <c:pt idx="11">
                  <c:v>-1.1144495705012383</c:v>
                </c:pt>
                <c:pt idx="12">
                  <c:v>3.4993734379677117</c:v>
                </c:pt>
                <c:pt idx="13">
                  <c:v>4.8958886457565871</c:v>
                </c:pt>
                <c:pt idx="14">
                  <c:v>1.7911464111841435</c:v>
                </c:pt>
                <c:pt idx="15">
                  <c:v>-2.9603675735361152</c:v>
                </c:pt>
                <c:pt idx="16">
                  <c:v>-4.990133263581809</c:v>
                </c:pt>
                <c:pt idx="17">
                  <c:v>-2.4319934442689983</c:v>
                </c:pt>
                <c:pt idx="18">
                  <c:v>2.3621099319923307</c:v>
                </c:pt>
                <c:pt idx="19">
                  <c:v>4.9845003302079807</c:v>
                </c:pt>
                <c:pt idx="20">
                  <c:v>3.0241641120314204</c:v>
                </c:pt>
                <c:pt idx="21">
                  <c:v>-1.7165746440994769</c:v>
                </c:pt>
                <c:pt idx="22">
                  <c:v>-4.8791025888348774</c:v>
                </c:pt>
                <c:pt idx="23">
                  <c:v>-3.5558061145299118</c:v>
                </c:pt>
                <c:pt idx="24">
                  <c:v>1.0366821030337938</c:v>
                </c:pt>
                <c:pt idx="25">
                  <c:v>4.6760495759726943</c:v>
                </c:pt>
              </c:numCache>
            </c:numRef>
          </c:yVal>
          <c:smooth val="1"/>
          <c:extLst>
            <c:ext xmlns:c16="http://schemas.microsoft.com/office/drawing/2014/chart" uri="{C3380CC4-5D6E-409C-BE32-E72D297353CC}">
              <c16:uniqueId val="{00000001-AF8B-43EF-8423-D7F48084382D}"/>
            </c:ext>
          </c:extLst>
        </c:ser>
        <c:dLbls>
          <c:showLegendKey val="0"/>
          <c:showVal val="0"/>
          <c:showCatName val="0"/>
          <c:showSerName val="0"/>
          <c:showPercent val="0"/>
          <c:showBubbleSize val="0"/>
        </c:dLbls>
        <c:axId val="251368192"/>
        <c:axId val="251370112"/>
      </c:scatterChart>
      <c:valAx>
        <c:axId val="251368192"/>
        <c:scaling>
          <c:orientation val="minMax"/>
        </c:scaling>
        <c:delete val="0"/>
        <c:axPos val="b"/>
        <c:title>
          <c:tx>
            <c:rich>
              <a:bodyPr/>
              <a:lstStyle/>
              <a:p>
                <a:pPr>
                  <a:defRPr sz="1200"/>
                </a:pPr>
                <a:r>
                  <a:rPr lang="en-US" sz="1200"/>
                  <a:t>Time</a:t>
                </a:r>
              </a:p>
            </c:rich>
          </c:tx>
          <c:overlay val="0"/>
        </c:title>
        <c:numFmt formatCode="\ " sourceLinked="0"/>
        <c:majorTickMark val="none"/>
        <c:minorTickMark val="none"/>
        <c:tickLblPos val="nextTo"/>
        <c:spPr>
          <a:ln w="12700">
            <a:solidFill>
              <a:schemeClr val="tx1"/>
            </a:solidFill>
          </a:ln>
        </c:spPr>
        <c:crossAx val="251370112"/>
        <c:crosses val="autoZero"/>
        <c:crossBetween val="midCat"/>
      </c:valAx>
      <c:valAx>
        <c:axId val="251370112"/>
        <c:scaling>
          <c:orientation val="minMax"/>
        </c:scaling>
        <c:delete val="0"/>
        <c:axPos val="l"/>
        <c:title>
          <c:tx>
            <c:rich>
              <a:bodyPr rot="-5400000" vert="horz"/>
              <a:lstStyle/>
              <a:p>
                <a:pPr>
                  <a:defRPr sz="1200"/>
                </a:pPr>
                <a:r>
                  <a:rPr lang="en-US" sz="1200"/>
                  <a:t>Volts (V)</a:t>
                </a:r>
              </a:p>
            </c:rich>
          </c:tx>
          <c:overlay val="0"/>
        </c:title>
        <c:numFmt formatCode="General" sourceLinked="1"/>
        <c:majorTickMark val="out"/>
        <c:minorTickMark val="none"/>
        <c:tickLblPos val="nextTo"/>
        <c:spPr>
          <a:ln w="12700">
            <a:solidFill>
              <a:schemeClr val="tx1"/>
            </a:solidFill>
          </a:ln>
        </c:spPr>
        <c:txPr>
          <a:bodyPr/>
          <a:lstStyle/>
          <a:p>
            <a:pPr>
              <a:defRPr sz="1200"/>
            </a:pPr>
            <a:endParaRPr lang="en-US"/>
          </a:p>
        </c:txPr>
        <c:crossAx val="251368192"/>
        <c:crosses val="autoZero"/>
        <c:crossBetween val="midCat"/>
      </c:valAx>
    </c:plotArea>
    <c:legend>
      <c:legendPos val="r"/>
      <c:layout>
        <c:manualLayout>
          <c:xMode val="edge"/>
          <c:yMode val="edge"/>
          <c:x val="0.73351633523088267"/>
          <c:y val="0.81334064834296949"/>
          <c:w val="0.24148359820683632"/>
          <c:h val="0.15463596271756627"/>
        </c:manualLayout>
      </c:layout>
      <c:overlay val="1"/>
      <c:txPr>
        <a:bodyPr/>
        <a:lstStyle/>
        <a:p>
          <a:pPr>
            <a:defRPr sz="12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chart" Target="../charts/chart19.xml"/><Relationship Id="rId1" Type="http://schemas.openxmlformats.org/officeDocument/2006/relationships/chart" Target="../charts/chart18.xml"/></Relationships>
</file>

<file path=xl/drawings/_rels/drawing15.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chart" Target="../charts/chart2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image" Target="../media/image23.png"/><Relationship Id="rId1" Type="http://schemas.openxmlformats.org/officeDocument/2006/relationships/chart" Target="../charts/chart21.xml"/></Relationships>
</file>

<file path=xl/drawings/_rels/drawing17.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chart" Target="../charts/chart23.xml"/><Relationship Id="rId4" Type="http://schemas.openxmlformats.org/officeDocument/2006/relationships/chart" Target="../charts/chart24.xml"/></Relationships>
</file>

<file path=xl/drawings/_rels/drawing18.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chart" Target="../charts/chart26.xml"/><Relationship Id="rId1" Type="http://schemas.openxmlformats.org/officeDocument/2006/relationships/chart" Target="../charts/chart25.xml"/></Relationships>
</file>

<file path=xl/drawings/_rels/drawing19.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chart" Target="../charts/chart28.xml"/><Relationship Id="rId1" Type="http://schemas.openxmlformats.org/officeDocument/2006/relationships/chart" Target="../charts/chart27.xml"/><Relationship Id="rId5" Type="http://schemas.openxmlformats.org/officeDocument/2006/relationships/image" Target="../media/image29.jpeg"/><Relationship Id="rId4" Type="http://schemas.openxmlformats.org/officeDocument/2006/relationships/image" Target="../media/image28.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chart" Target="../charts/chart30.xml"/><Relationship Id="rId1" Type="http://schemas.openxmlformats.org/officeDocument/2006/relationships/chart" Target="../charts/chart29.xml"/></Relationships>
</file>

<file path=xl/drawings/_rels/drawing21.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chart" Target="../charts/chart32.xml"/><Relationship Id="rId1" Type="http://schemas.openxmlformats.org/officeDocument/2006/relationships/chart" Target="../charts/chart31.xml"/><Relationship Id="rId5" Type="http://schemas.openxmlformats.org/officeDocument/2006/relationships/image" Target="../media/image33.jpeg"/><Relationship Id="rId4" Type="http://schemas.openxmlformats.org/officeDocument/2006/relationships/image" Target="../media/image32.png"/></Relationships>
</file>

<file path=xl/drawings/_rels/drawing22.xml.rels><?xml version="1.0" encoding="UTF-8" standalone="yes"?>
<Relationships xmlns="http://schemas.openxmlformats.org/package/2006/relationships"><Relationship Id="rId2" Type="http://schemas.openxmlformats.org/officeDocument/2006/relationships/image" Target="../media/image34.png"/><Relationship Id="rId1" Type="http://schemas.openxmlformats.org/officeDocument/2006/relationships/chart" Target="../charts/chart33.xml"/></Relationships>
</file>

<file path=xl/drawings/_rels/drawing23.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chart" Target="../charts/chart34.xml"/></Relationships>
</file>

<file path=xl/drawings/_rels/drawing24.xml.rels><?xml version="1.0" encoding="UTF-8" standalone="yes"?>
<Relationships xmlns="http://schemas.openxmlformats.org/package/2006/relationships"><Relationship Id="rId2" Type="http://schemas.openxmlformats.org/officeDocument/2006/relationships/image" Target="../media/image34.png"/><Relationship Id="rId1" Type="http://schemas.openxmlformats.org/officeDocument/2006/relationships/chart" Target="../charts/chart35.xml"/></Relationships>
</file>

<file path=xl/drawings/_rels/drawing25.xml.rels><?xml version="1.0" encoding="UTF-8" standalone="yes"?>
<Relationships xmlns="http://schemas.openxmlformats.org/package/2006/relationships"><Relationship Id="rId2" Type="http://schemas.openxmlformats.org/officeDocument/2006/relationships/image" Target="../media/image37.png"/><Relationship Id="rId1" Type="http://schemas.openxmlformats.org/officeDocument/2006/relationships/chart" Target="../charts/chart36.xml"/></Relationships>
</file>

<file path=xl/drawings/_rels/drawing26.xml.rels><?xml version="1.0" encoding="UTF-8" standalone="yes"?>
<Relationships xmlns="http://schemas.openxmlformats.org/package/2006/relationships"><Relationship Id="rId2" Type="http://schemas.openxmlformats.org/officeDocument/2006/relationships/image" Target="../media/image38.png"/><Relationship Id="rId1" Type="http://schemas.openxmlformats.org/officeDocument/2006/relationships/chart" Target="../charts/chart37.xml"/></Relationships>
</file>

<file path=xl/drawings/_rels/drawing27.xml.rels><?xml version="1.0" encoding="UTF-8" standalone="yes"?>
<Relationships xmlns="http://schemas.openxmlformats.org/package/2006/relationships"><Relationship Id="rId2" Type="http://schemas.openxmlformats.org/officeDocument/2006/relationships/image" Target="../media/image39.png"/><Relationship Id="rId1" Type="http://schemas.openxmlformats.org/officeDocument/2006/relationships/chart" Target="../charts/chart38.xml"/></Relationships>
</file>

<file path=xl/drawings/_rels/drawing28.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jpeg"/><Relationship Id="rId1" Type="http://schemas.openxmlformats.org/officeDocument/2006/relationships/chart" Target="../charts/chart39.xml"/><Relationship Id="rId4" Type="http://schemas.openxmlformats.org/officeDocument/2006/relationships/image" Target="../media/image42.png"/></Relationships>
</file>

<file path=xl/drawings/_rels/drawing29.xml.rels><?xml version="1.0" encoding="UTF-8" standalone="yes"?>
<Relationships xmlns="http://schemas.openxmlformats.org/package/2006/relationships"><Relationship Id="rId3" Type="http://schemas.openxmlformats.org/officeDocument/2006/relationships/image" Target="../media/image40.jpeg"/><Relationship Id="rId2" Type="http://schemas.openxmlformats.org/officeDocument/2006/relationships/image" Target="../media/image41.png"/><Relationship Id="rId1" Type="http://schemas.openxmlformats.org/officeDocument/2006/relationships/chart" Target="../charts/chart40.xml"/><Relationship Id="rId4" Type="http://schemas.openxmlformats.org/officeDocument/2006/relationships/image" Target="../media/image4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2" Type="http://schemas.openxmlformats.org/officeDocument/2006/relationships/image" Target="../media/image43.png"/><Relationship Id="rId1" Type="http://schemas.openxmlformats.org/officeDocument/2006/relationships/chart" Target="../charts/chart41.xml"/></Relationships>
</file>

<file path=xl/drawings/_rels/drawing31.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chart" Target="../charts/chart42.xml"/></Relationships>
</file>

<file path=xl/drawings/_rels/drawing32.xml.rels><?xml version="1.0" encoding="UTF-8" standalone="yes"?>
<Relationships xmlns="http://schemas.openxmlformats.org/package/2006/relationships"><Relationship Id="rId8" Type="http://schemas.openxmlformats.org/officeDocument/2006/relationships/image" Target="../media/image52.png"/><Relationship Id="rId3" Type="http://schemas.openxmlformats.org/officeDocument/2006/relationships/image" Target="../media/image47.png"/><Relationship Id="rId7" Type="http://schemas.openxmlformats.org/officeDocument/2006/relationships/image" Target="../media/image51.png"/><Relationship Id="rId12" Type="http://schemas.openxmlformats.org/officeDocument/2006/relationships/image" Target="../media/image56.png"/><Relationship Id="rId2" Type="http://schemas.openxmlformats.org/officeDocument/2006/relationships/image" Target="../media/image46.png"/><Relationship Id="rId1" Type="http://schemas.openxmlformats.org/officeDocument/2006/relationships/image" Target="../media/image45.png"/><Relationship Id="rId6" Type="http://schemas.openxmlformats.org/officeDocument/2006/relationships/image" Target="../media/image50.png"/><Relationship Id="rId11" Type="http://schemas.openxmlformats.org/officeDocument/2006/relationships/image" Target="../media/image55.png"/><Relationship Id="rId5" Type="http://schemas.openxmlformats.org/officeDocument/2006/relationships/image" Target="../media/image49.png"/><Relationship Id="rId10" Type="http://schemas.openxmlformats.org/officeDocument/2006/relationships/image" Target="../media/image54.png"/><Relationship Id="rId4" Type="http://schemas.openxmlformats.org/officeDocument/2006/relationships/image" Target="../media/image48.png"/><Relationship Id="rId9" Type="http://schemas.openxmlformats.org/officeDocument/2006/relationships/image" Target="../media/image53.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image" Target="../media/image5.jpe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9.jpe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8.png"/><Relationship Id="rId5" Type="http://schemas.openxmlformats.org/officeDocument/2006/relationships/image" Target="../media/image7.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12.png"/><Relationship Id="rId1" Type="http://schemas.openxmlformats.org/officeDocument/2006/relationships/chart" Target="../charts/chart10.xml"/><Relationship Id="rId5" Type="http://schemas.openxmlformats.org/officeDocument/2006/relationships/image" Target="../media/image14.jpeg"/><Relationship Id="rId4" Type="http://schemas.openxmlformats.org/officeDocument/2006/relationships/image" Target="../media/image1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xdr:from>
      <xdr:col>4</xdr:col>
      <xdr:colOff>531811</xdr:colOff>
      <xdr:row>9</xdr:row>
      <xdr:rowOff>47228</xdr:rowOff>
    </xdr:from>
    <xdr:to>
      <xdr:col>11</xdr:col>
      <xdr:colOff>390921</xdr:colOff>
      <xdr:row>23</xdr:row>
      <xdr:rowOff>161132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3307</xdr:colOff>
      <xdr:row>1</xdr:row>
      <xdr:rowOff>14891</xdr:rowOff>
    </xdr:from>
    <xdr:to>
      <xdr:col>16</xdr:col>
      <xdr:colOff>476250</xdr:colOff>
      <xdr:row>11</xdr:row>
      <xdr:rowOff>4762</xdr:rowOff>
    </xdr:to>
    <xdr:pic>
      <xdr:nvPicPr>
        <xdr:cNvPr id="3" name="Picture 2">
          <a:extLst>
            <a:ext uri="{FF2B5EF4-FFF2-40B4-BE49-F238E27FC236}">
              <a16:creationId xmlns:a16="http://schemas.microsoft.com/office/drawing/2014/main" id="{85A70EDF-C873-4F1F-897B-60979617175B}"/>
            </a:ext>
          </a:extLst>
        </xdr:cNvPr>
        <xdr:cNvPicPr>
          <a:picLocks noChangeAspect="1"/>
        </xdr:cNvPicPr>
      </xdr:nvPicPr>
      <xdr:blipFill>
        <a:blip xmlns:r="http://schemas.openxmlformats.org/officeDocument/2006/relationships" r:embed="rId2"/>
        <a:stretch>
          <a:fillRect/>
        </a:stretch>
      </xdr:blipFill>
      <xdr:spPr>
        <a:xfrm>
          <a:off x="7094140" y="603589"/>
          <a:ext cx="3681016" cy="1888256"/>
        </a:xfrm>
        <a:prstGeom prst="rect">
          <a:avLst/>
        </a:prstGeom>
      </xdr:spPr>
    </xdr:pic>
    <xdr:clientData/>
  </xdr:twoCellAnchor>
  <xdr:twoCellAnchor>
    <xdr:from>
      <xdr:col>12</xdr:col>
      <xdr:colOff>343959</xdr:colOff>
      <xdr:row>11</xdr:row>
      <xdr:rowOff>165366</xdr:rowOff>
    </xdr:from>
    <xdr:to>
      <xdr:col>16</xdr:col>
      <xdr:colOff>198438</xdr:colOff>
      <xdr:row>16</xdr:row>
      <xdr:rowOff>37435</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75D8B283-407A-4443-8D2E-B7FB21252625}"/>
                </a:ext>
              </a:extLst>
            </xdr:cNvPr>
            <xdr:cNvSpPr txBox="1"/>
          </xdr:nvSpPr>
          <xdr:spPr>
            <a:xfrm>
              <a:off x="7666303" y="2725210"/>
              <a:ext cx="227541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i="1">
                          <a:latin typeface="Cambria Math" panose="02040503050406030204" pitchFamily="18" charset="0"/>
                        </a:rPr>
                        <m:t>−</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4" name="TextBox 8">
              <a:extLst>
                <a:ext uri="{FF2B5EF4-FFF2-40B4-BE49-F238E27FC236}">
                  <a16:creationId xmlns:a16="http://schemas.microsoft.com/office/drawing/2014/main" id="{75D8B283-407A-4443-8D2E-B7FB21252625}"/>
                </a:ext>
              </a:extLst>
            </xdr:cNvPr>
            <xdr:cNvSpPr txBox="1"/>
          </xdr:nvSpPr>
          <xdr:spPr>
            <a:xfrm>
              <a:off x="7666303" y="2725210"/>
              <a:ext cx="227541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515937</xdr:colOff>
      <xdr:row>0</xdr:row>
      <xdr:rowOff>257969</xdr:rowOff>
    </xdr:from>
    <xdr:to>
      <xdr:col>16</xdr:col>
      <xdr:colOff>265883</xdr:colOff>
      <xdr:row>9</xdr:row>
      <xdr:rowOff>178065</xdr:rowOff>
    </xdr:to>
    <xdr:pic>
      <xdr:nvPicPr>
        <xdr:cNvPr id="4" name="Picture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6627812" y="257969"/>
          <a:ext cx="3381352" cy="2102909"/>
        </a:xfrm>
        <a:prstGeom prst="rect">
          <a:avLst/>
        </a:prstGeom>
      </xdr:spPr>
    </xdr:pic>
    <xdr:clientData/>
  </xdr:twoCellAnchor>
  <xdr:twoCellAnchor>
    <xdr:from>
      <xdr:col>12</xdr:col>
      <xdr:colOff>565547</xdr:colOff>
      <xdr:row>10</xdr:row>
      <xdr:rowOff>99219</xdr:rowOff>
    </xdr:from>
    <xdr:to>
      <xdr:col>17</xdr:col>
      <xdr:colOff>257968</xdr:colOff>
      <xdr:row>18</xdr:row>
      <xdr:rowOff>128985</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00000000-0008-0000-0500-000006000000}"/>
                </a:ext>
              </a:extLst>
            </xdr:cNvPr>
            <xdr:cNvSpPr txBox="1"/>
          </xdr:nvSpPr>
          <xdr:spPr>
            <a:xfrm>
              <a:off x="7887891" y="2470547"/>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1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200">
                <a:effectLst/>
              </a:endParaRPr>
            </a:p>
            <a:p>
              <a:pPr algn="ctr"/>
              <a:endParaRPr lang="en-US" sz="1200" baseline="30000"/>
            </a:p>
          </xdr:txBody>
        </xdr:sp>
      </mc:Choice>
      <mc:Fallback xmlns="">
        <xdr:sp macro="" textlink="">
          <xdr:nvSpPr>
            <xdr:cNvPr id="6" name="TextBox 8">
              <a:extLst>
                <a:ext uri="{FF2B5EF4-FFF2-40B4-BE49-F238E27FC236}">
                  <a16:creationId xmlns:a16="http://schemas.microsoft.com/office/drawing/2014/main" id="{00000000-0008-0000-0500-000006000000}"/>
                </a:ext>
              </a:extLst>
            </xdr:cNvPr>
            <xdr:cNvSpPr txBox="1"/>
          </xdr:nvSpPr>
          <xdr:spPr>
            <a:xfrm>
              <a:off x="7887891" y="2470547"/>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1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200">
                <a:effectLst/>
              </a:endParaRPr>
            </a:p>
            <a:p>
              <a:pPr algn="ctr"/>
              <a:endParaRPr lang="en-US" sz="1200" baseline="30000"/>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B9527088-37A5-435D-BA7C-B3C57460E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565547</xdr:colOff>
      <xdr:row>13</xdr:row>
      <xdr:rowOff>110764</xdr:rowOff>
    </xdr:from>
    <xdr:to>
      <xdr:col>17</xdr:col>
      <xdr:colOff>257968</xdr:colOff>
      <xdr:row>25</xdr:row>
      <xdr:rowOff>92364</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46109D88-BC5F-4980-AAD0-64132FC445CF}"/>
                </a:ext>
              </a:extLst>
            </xdr:cNvPr>
            <xdr:cNvSpPr txBox="1"/>
          </xdr:nvSpPr>
          <xdr:spPr>
            <a:xfrm>
              <a:off x="8347183" y="3008673"/>
              <a:ext cx="2925149" cy="2198327"/>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4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400">
                <a:effectLst/>
              </a:endParaRPr>
            </a:p>
            <a:p>
              <a:pPr algn="ct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m:t>
                        </m:r>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CA" sz="1400" b="1" i="1" kern="1200">
                        <a:solidFill>
                          <a:schemeClr val="tx1"/>
                        </a:solidFill>
                        <a:effectLst/>
                        <a:latin typeface="Cambria Math" panose="02040503050406030204" pitchFamily="18" charset="0"/>
                        <a:ea typeface="+mn-ea"/>
                        <a:cs typeface="+mn-cs"/>
                      </a:rPr>
                      <m:t>−</m:t>
                    </m:r>
                    <m:sSub>
                      <m:sSubPr>
                        <m:ctrlPr>
                          <a:rPr lang="en-CA"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𝑽</m:t>
                        </m:r>
                      </m:e>
                      <m:sub>
                        <m:r>
                          <a:rPr lang="en-CA" sz="1400" b="1" i="1" kern="1200">
                            <a:solidFill>
                              <a:schemeClr val="tx1"/>
                            </a:solidFill>
                            <a:effectLst/>
                            <a:latin typeface="Cambria Math" panose="02040503050406030204" pitchFamily="18" charset="0"/>
                            <a:ea typeface="+mn-ea"/>
                            <a:cs typeface="+mn-cs"/>
                          </a:rPr>
                          <m:t>𝒃</m:t>
                        </m:r>
                      </m:sub>
                    </m:sSub>
                    <m:r>
                      <a:rPr lang="en-CA" sz="1400" b="1" i="1" kern="1200">
                        <a:solidFill>
                          <a:schemeClr val="tx1"/>
                        </a:solidFill>
                        <a:effectLst/>
                        <a:latin typeface="Cambria Math" panose="02040503050406030204" pitchFamily="18" charset="0"/>
                        <a:ea typeface="+mn-ea"/>
                        <a:cs typeface="+mn-cs"/>
                      </a:rPr>
                      <m:t>)</m:t>
                    </m:r>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400" baseline="30000"/>
            </a:p>
            <a:p>
              <a:pPr marL="0" marR="0" lvl="0" indent="0" algn="ctr" defTabSz="457200" rtl="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m:t>
                        </m:r>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CA" sz="1400" b="1" i="1" kern="1200">
                        <a:solidFill>
                          <a:schemeClr val="tx1"/>
                        </a:solidFill>
                        <a:effectLst/>
                        <a:latin typeface="Cambria Math" panose="02040503050406030204" pitchFamily="18" charset="0"/>
                        <a:ea typeface="+mn-ea"/>
                        <a:cs typeface="+mn-cs"/>
                      </a:rPr>
                      <m:t>−</m:t>
                    </m:r>
                    <m:f>
                      <m:fPr>
                        <m:ctrlPr>
                          <a:rPr lang="en-CA" sz="1400" b="1" i="1" kern="1200">
                            <a:solidFill>
                              <a:schemeClr val="tx1"/>
                            </a:solidFill>
                            <a:effectLst/>
                            <a:latin typeface="Cambria Math" panose="02040503050406030204" pitchFamily="18" charset="0"/>
                            <a:ea typeface="+mn-ea"/>
                            <a:cs typeface="+mn-cs"/>
                          </a:rPr>
                        </m:ctrlPr>
                      </m:fPr>
                      <m:num>
                        <m:sSup>
                          <m:sSupPr>
                            <m:ctrlPr>
                              <a:rPr lang="en-CA" sz="1400" b="1" i="1" kern="1200">
                                <a:solidFill>
                                  <a:schemeClr val="tx1"/>
                                </a:solidFill>
                                <a:effectLst/>
                                <a:latin typeface="Cambria Math" panose="02040503050406030204" pitchFamily="18" charset="0"/>
                                <a:ea typeface="+mn-ea"/>
                                <a:cs typeface="+mn-cs"/>
                              </a:rPr>
                            </m:ctrlPr>
                          </m:sSupPr>
                          <m:e>
                            <m:r>
                              <a:rPr lang="en-CA" sz="1400" b="1" i="1" kern="1200">
                                <a:solidFill>
                                  <a:schemeClr val="tx1"/>
                                </a:solidFill>
                                <a:effectLst/>
                                <a:latin typeface="Cambria Math" panose="02040503050406030204" pitchFamily="18" charset="0"/>
                                <a:ea typeface="+mn-ea"/>
                                <a:cs typeface="+mn-cs"/>
                              </a:rPr>
                              <m:t>𝑽</m:t>
                            </m:r>
                          </m:e>
                          <m:sup>
                            <m:r>
                              <a:rPr lang="en-CA" sz="1400" b="1" i="1" kern="1200">
                                <a:solidFill>
                                  <a:schemeClr val="tx1"/>
                                </a:solidFill>
                                <a:effectLst/>
                                <a:latin typeface="Cambria Math" panose="02040503050406030204" pitchFamily="18" charset="0"/>
                                <a:ea typeface="+mn-ea"/>
                                <a:cs typeface="+mn-cs"/>
                              </a:rPr>
                              <m:t>+</m:t>
                            </m:r>
                          </m:sup>
                        </m:sSup>
                      </m:num>
                      <m:den>
                        <m:r>
                          <a:rPr lang="en-CA" sz="1400" b="1" i="1" kern="1200">
                            <a:solidFill>
                              <a:schemeClr val="tx1"/>
                            </a:solidFill>
                            <a:effectLst/>
                            <a:latin typeface="Cambria Math" panose="02040503050406030204" pitchFamily="18" charset="0"/>
                            <a:ea typeface="+mn-ea"/>
                            <a:cs typeface="+mn-cs"/>
                          </a:rPr>
                          <m:t>𝟐</m:t>
                        </m:r>
                      </m:den>
                    </m:f>
                    <m:r>
                      <a:rPr lang="en-CA" sz="1400" b="1" i="1" kern="1200">
                        <a:solidFill>
                          <a:schemeClr val="tx1"/>
                        </a:solidFill>
                        <a:effectLst/>
                        <a:latin typeface="Cambria Math" panose="02040503050406030204" pitchFamily="18" charset="0"/>
                        <a:ea typeface="+mn-ea"/>
                        <a:cs typeface="+mn-cs"/>
                      </a:rPr>
                      <m:t>)</m:t>
                    </m:r>
                    <m:r>
                      <a:rPr lang="en-US" sz="1400" b="1" kern="1200">
                        <a:solidFill>
                          <a:schemeClr val="tx1"/>
                        </a:solidFill>
                        <a:effectLst/>
                        <a:latin typeface="Cambria Math" panose="02040503050406030204" pitchFamily="18" charset="0"/>
                        <a:ea typeface="+mn-ea"/>
                        <a:cs typeface="+mn-cs"/>
                      </a:rPr>
                      <m:t>+</m:t>
                    </m:r>
                    <m:f>
                      <m:fPr>
                        <m:ctrlPr>
                          <a:rPr lang="en-CA" sz="1400" b="1" i="1" kern="1200">
                            <a:solidFill>
                              <a:schemeClr val="tx1"/>
                            </a:solidFill>
                            <a:effectLst/>
                            <a:latin typeface="Cambria Math" panose="02040503050406030204" pitchFamily="18" charset="0"/>
                            <a:ea typeface="+mn-ea"/>
                            <a:cs typeface="+mn-cs"/>
                          </a:rPr>
                        </m:ctrlPr>
                      </m:fPr>
                      <m:num>
                        <m:sSup>
                          <m:sSupPr>
                            <m:ctrlPr>
                              <a:rPr lang="en-CA" sz="1400" b="1" i="1" kern="1200">
                                <a:solidFill>
                                  <a:schemeClr val="tx1"/>
                                </a:solidFill>
                                <a:effectLst/>
                                <a:latin typeface="Cambria Math" panose="02040503050406030204" pitchFamily="18" charset="0"/>
                                <a:ea typeface="+mn-ea"/>
                                <a:cs typeface="+mn-cs"/>
                              </a:rPr>
                            </m:ctrlPr>
                          </m:sSupPr>
                          <m:e>
                            <m:r>
                              <a:rPr lang="en-CA" sz="1400" b="1" i="1" kern="1200">
                                <a:solidFill>
                                  <a:schemeClr val="tx1"/>
                                </a:solidFill>
                                <a:effectLst/>
                                <a:latin typeface="Cambria Math" panose="02040503050406030204" pitchFamily="18" charset="0"/>
                                <a:ea typeface="+mn-ea"/>
                                <a:cs typeface="+mn-cs"/>
                              </a:rPr>
                              <m:t>𝑽</m:t>
                            </m:r>
                          </m:e>
                          <m:sup>
                            <m:r>
                              <a:rPr lang="en-CA" sz="1400" b="1" i="1" kern="1200">
                                <a:solidFill>
                                  <a:schemeClr val="tx1"/>
                                </a:solidFill>
                                <a:effectLst/>
                                <a:latin typeface="Cambria Math" panose="02040503050406030204" pitchFamily="18" charset="0"/>
                                <a:ea typeface="+mn-ea"/>
                                <a:cs typeface="+mn-cs"/>
                              </a:rPr>
                              <m:t>+</m:t>
                            </m:r>
                          </m:sup>
                        </m:sSup>
                      </m:num>
                      <m:den>
                        <m:r>
                          <a:rPr lang="en-CA" sz="1400" b="1" i="1" kern="1200">
                            <a:solidFill>
                              <a:schemeClr val="tx1"/>
                            </a:solidFill>
                            <a:effectLst/>
                            <a:latin typeface="Cambria Math" panose="02040503050406030204" pitchFamily="18" charset="0"/>
                            <a:ea typeface="+mn-ea"/>
                            <a:cs typeface="+mn-cs"/>
                          </a:rPr>
                          <m:t>𝟐</m:t>
                        </m:r>
                      </m:den>
                    </m:f>
                  </m:oMath>
                </m:oMathPara>
              </a14:m>
              <a:endParaRPr lang="en-CA" sz="1400">
                <a:effectLst/>
              </a:endParaRPr>
            </a:p>
            <a:p>
              <a:pPr algn="ctr"/>
              <a:endParaRPr lang="en-US" sz="1200" baseline="30000"/>
            </a:p>
            <a:p>
              <a:pPr algn="ctr"/>
              <a:endParaRPr lang="en-US" sz="1200" baseline="30000"/>
            </a:p>
          </xdr:txBody>
        </xdr:sp>
      </mc:Choice>
      <mc:Fallback xmlns="">
        <xdr:sp macro="" textlink="">
          <xdr:nvSpPr>
            <xdr:cNvPr id="4" name="TextBox 8">
              <a:extLst>
                <a:ext uri="{FF2B5EF4-FFF2-40B4-BE49-F238E27FC236}">
                  <a16:creationId xmlns:a16="http://schemas.microsoft.com/office/drawing/2014/main" id="{46109D88-BC5F-4980-AAD0-64132FC445CF}"/>
                </a:ext>
              </a:extLst>
            </xdr:cNvPr>
            <xdr:cNvSpPr txBox="1"/>
          </xdr:nvSpPr>
          <xdr:spPr>
            <a:xfrm>
              <a:off x="8347183" y="3008673"/>
              <a:ext cx="2925149" cy="2198327"/>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4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400">
                <a:effectLst/>
              </a:endParaRPr>
            </a:p>
            <a:p>
              <a:pPr algn="ctr"/>
              <a:r>
                <a:rPr lang="en-US" sz="1400" b="1" i="0" kern="1200">
                  <a:solidFill>
                    <a:schemeClr val="tx1"/>
                  </a:solidFill>
                  <a:effectLst/>
                  <a:latin typeface="+mn-lt"/>
                  <a:ea typeface="+mn-ea"/>
                  <a:cs typeface="+mn-cs"/>
                </a:rPr>
                <a:t>𝑽_𝒐𝒖𝒕=𝑨_𝒗 〖</a:t>
              </a:r>
              <a:r>
                <a:rPr lang="en-CA" sz="1400" b="1" i="0" kern="1200">
                  <a:solidFill>
                    <a:schemeClr val="tx1"/>
                  </a:solidFill>
                  <a:effectLst/>
                  <a:latin typeface="+mn-lt"/>
                  <a:ea typeface="+mn-ea"/>
                  <a:cs typeface="+mn-cs"/>
                </a:rPr>
                <a:t>(</a:t>
              </a:r>
              <a:r>
                <a:rPr lang="en-US" sz="1400" b="1" i="0" kern="1200">
                  <a:solidFill>
                    <a:schemeClr val="tx1"/>
                  </a:solidFill>
                  <a:effectLst/>
                  <a:latin typeface="+mn-lt"/>
                  <a:ea typeface="+mn-ea"/>
                  <a:cs typeface="+mn-cs"/>
                </a:rPr>
                <a:t>𝑽〗_𝒊𝒏</a:t>
              </a:r>
              <a:r>
                <a:rPr lang="en-CA" sz="1400" b="1" i="0" kern="1200">
                  <a:solidFill>
                    <a:schemeClr val="tx1"/>
                  </a:solidFill>
                  <a:effectLst/>
                  <a:latin typeface="+mn-lt"/>
                  <a:ea typeface="+mn-ea"/>
                  <a:cs typeface="+mn-cs"/>
                </a:rPr>
                <a:t>−𝑽_𝒃)</a:t>
              </a:r>
              <a:r>
                <a:rPr lang="en-US" sz="1400" b="1" i="0" kern="1200">
                  <a:solidFill>
                    <a:schemeClr val="tx1"/>
                  </a:solidFill>
                  <a:effectLst/>
                  <a:latin typeface="+mn-lt"/>
                  <a:ea typeface="+mn-ea"/>
                  <a:cs typeface="+mn-cs"/>
                </a:rPr>
                <a:t>+𝑽_𝒃</a:t>
              </a:r>
              <a:endParaRPr lang="en-US" sz="1400" baseline="30000"/>
            </a:p>
            <a:p>
              <a:pPr marL="0" marR="0" lvl="0" indent="0" algn="ctr" defTabSz="457200" rtl="0" eaLnBrk="1" fontAlgn="auto" latinLnBrk="0" hangingPunct="1">
                <a:lnSpc>
                  <a:spcPct val="100000"/>
                </a:lnSpc>
                <a:spcBef>
                  <a:spcPts val="0"/>
                </a:spcBef>
                <a:spcAft>
                  <a:spcPts val="0"/>
                </a:spcAft>
                <a:buClrTx/>
                <a:buSzTx/>
                <a:buFontTx/>
                <a:buNone/>
                <a:tabLst/>
                <a:defRPr/>
              </a:pPr>
              <a:r>
                <a:rPr lang="en-US" sz="1400" b="1" i="0" kern="1200">
                  <a:solidFill>
                    <a:schemeClr val="tx1"/>
                  </a:solidFill>
                  <a:effectLst/>
                  <a:latin typeface="+mn-lt"/>
                  <a:ea typeface="+mn-ea"/>
                  <a:cs typeface="+mn-cs"/>
                </a:rPr>
                <a:t>𝑽_𝒐𝒖𝒕=𝑨_𝒗 〖</a:t>
              </a:r>
              <a:r>
                <a:rPr lang="en-CA" sz="1400" b="1" i="0" kern="1200">
                  <a:solidFill>
                    <a:schemeClr val="tx1"/>
                  </a:solidFill>
                  <a:effectLst/>
                  <a:latin typeface="+mn-lt"/>
                  <a:ea typeface="+mn-ea"/>
                  <a:cs typeface="+mn-cs"/>
                </a:rPr>
                <a:t>(</a:t>
              </a:r>
              <a:r>
                <a:rPr lang="en-US" sz="1400" b="1" i="0" kern="1200">
                  <a:solidFill>
                    <a:schemeClr val="tx1"/>
                  </a:solidFill>
                  <a:effectLst/>
                  <a:latin typeface="+mn-lt"/>
                  <a:ea typeface="+mn-ea"/>
                  <a:cs typeface="+mn-cs"/>
                </a:rPr>
                <a:t>𝑽〗_𝒊𝒏</a:t>
              </a:r>
              <a:r>
                <a:rPr lang="en-CA" sz="1400" b="1" i="0" kern="1200">
                  <a:solidFill>
                    <a:schemeClr val="tx1"/>
                  </a:solidFill>
                  <a:effectLst/>
                  <a:latin typeface="+mn-lt"/>
                  <a:ea typeface="+mn-ea"/>
                  <a:cs typeface="+mn-cs"/>
                </a:rPr>
                <a:t>−𝑽^+/𝟐)</a:t>
              </a:r>
              <a:r>
                <a:rPr lang="en-US" sz="1400" b="1" i="0" kern="1200">
                  <a:solidFill>
                    <a:schemeClr val="tx1"/>
                  </a:solidFill>
                  <a:effectLst/>
                  <a:latin typeface="+mn-lt"/>
                  <a:ea typeface="+mn-ea"/>
                  <a:cs typeface="+mn-cs"/>
                </a:rPr>
                <a:t>+</a:t>
              </a:r>
              <a:r>
                <a:rPr lang="en-CA" sz="1400" b="1" i="0" kern="1200">
                  <a:solidFill>
                    <a:schemeClr val="tx1"/>
                  </a:solidFill>
                  <a:effectLst/>
                  <a:latin typeface="+mn-lt"/>
                  <a:ea typeface="+mn-ea"/>
                  <a:cs typeface="+mn-cs"/>
                </a:rPr>
                <a:t>𝑽^+/𝟐</a:t>
              </a:r>
              <a:endParaRPr lang="en-CA" sz="1400">
                <a:effectLst/>
              </a:endParaRPr>
            </a:p>
            <a:p>
              <a:pPr algn="ctr"/>
              <a:endParaRPr lang="en-US" sz="1200" baseline="30000"/>
            </a:p>
            <a:p>
              <a:pPr algn="ctr"/>
              <a:endParaRPr lang="en-US" sz="1200" baseline="30000"/>
            </a:p>
          </xdr:txBody>
        </xdr:sp>
      </mc:Fallback>
    </mc:AlternateContent>
    <xdr:clientData/>
  </xdr:twoCellAnchor>
  <xdr:twoCellAnchor editAs="oneCell">
    <xdr:from>
      <xdr:col>12</xdr:col>
      <xdr:colOff>119783</xdr:colOff>
      <xdr:row>1</xdr:row>
      <xdr:rowOff>11546</xdr:rowOff>
    </xdr:from>
    <xdr:to>
      <xdr:col>18</xdr:col>
      <xdr:colOff>76782</xdr:colOff>
      <xdr:row>12</xdr:row>
      <xdr:rowOff>136525</xdr:rowOff>
    </xdr:to>
    <xdr:pic>
      <xdr:nvPicPr>
        <xdr:cNvPr id="6" name="Picture 5">
          <a:extLst>
            <a:ext uri="{FF2B5EF4-FFF2-40B4-BE49-F238E27FC236}">
              <a16:creationId xmlns:a16="http://schemas.microsoft.com/office/drawing/2014/main" id="{50A6F07C-89C6-E47C-02C8-0A6D597CC11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848823" y="685031"/>
          <a:ext cx="3805484" cy="2222403"/>
        </a:xfrm>
        <a:prstGeom prst="rect">
          <a:avLst/>
        </a:prstGeom>
      </xdr:spPr>
    </xdr:pic>
    <xdr:clientData/>
  </xdr:twoCellAnchor>
  <xdr:twoCellAnchor editAs="oneCell">
    <xdr:from>
      <xdr:col>17</xdr:col>
      <xdr:colOff>461818</xdr:colOff>
      <xdr:row>13</xdr:row>
      <xdr:rowOff>57727</xdr:rowOff>
    </xdr:from>
    <xdr:to>
      <xdr:col>24</xdr:col>
      <xdr:colOff>88213</xdr:colOff>
      <xdr:row>25</xdr:row>
      <xdr:rowOff>2391</xdr:rowOff>
    </xdr:to>
    <xdr:pic>
      <xdr:nvPicPr>
        <xdr:cNvPr id="3" name="Picture 2">
          <a:extLst>
            <a:ext uri="{FF2B5EF4-FFF2-40B4-BE49-F238E27FC236}">
              <a16:creationId xmlns:a16="http://schemas.microsoft.com/office/drawing/2014/main" id="{261635FB-5400-B687-5ED4-9A5BEEDC0546}"/>
            </a:ext>
          </a:extLst>
        </xdr:cNvPr>
        <xdr:cNvPicPr>
          <a:picLocks noChangeAspect="1"/>
        </xdr:cNvPicPr>
      </xdr:nvPicPr>
      <xdr:blipFill>
        <a:blip xmlns:r="http://schemas.openxmlformats.org/officeDocument/2006/relationships" r:embed="rId3"/>
        <a:stretch>
          <a:fillRect/>
        </a:stretch>
      </xdr:blipFill>
      <xdr:spPr>
        <a:xfrm>
          <a:off x="10814242" y="3117272"/>
          <a:ext cx="3869350" cy="225375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DC3150DF-A60C-49D5-9259-8B707507D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198437</xdr:colOff>
      <xdr:row>5</xdr:row>
      <xdr:rowOff>119062</xdr:rowOff>
    </xdr:from>
    <xdr:to>
      <xdr:col>17</xdr:col>
      <xdr:colOff>553617</xdr:colOff>
      <xdr:row>16</xdr:row>
      <xdr:rowOff>118534</xdr:rowOff>
    </xdr:to>
    <xdr:pic>
      <xdr:nvPicPr>
        <xdr:cNvPr id="6" name="Picture 5">
          <a:extLst>
            <a:ext uri="{FF2B5EF4-FFF2-40B4-BE49-F238E27FC236}">
              <a16:creationId xmlns:a16="http://schemas.microsoft.com/office/drawing/2014/main" id="{51BF4F67-DC9E-497B-9327-778A24CD7B24}"/>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7659687" y="1508125"/>
          <a:ext cx="3381352" cy="2102909"/>
        </a:xfrm>
        <a:prstGeom prst="rect">
          <a:avLst/>
        </a:prstGeom>
      </xdr:spPr>
    </xdr:pic>
    <xdr:clientData/>
  </xdr:twoCellAnchor>
  <xdr:twoCellAnchor>
    <xdr:from>
      <xdr:col>13</xdr:col>
      <xdr:colOff>406798</xdr:colOff>
      <xdr:row>17</xdr:row>
      <xdr:rowOff>89297</xdr:rowOff>
    </xdr:from>
    <xdr:to>
      <xdr:col>18</xdr:col>
      <xdr:colOff>99219</xdr:colOff>
      <xdr:row>25</xdr:row>
      <xdr:rowOff>119063</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73BAC614-4B76-488F-A601-D313EAEE414F}"/>
                </a:ext>
              </a:extLst>
            </xdr:cNvPr>
            <xdr:cNvSpPr txBox="1"/>
          </xdr:nvSpPr>
          <xdr:spPr>
            <a:xfrm>
              <a:off x="8651876" y="3770313"/>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1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1200">
                <a:effectLst/>
              </a:endParaRPr>
            </a:p>
            <a:p>
              <a:pPr algn="ctr"/>
              <a:endParaRPr lang="en-US" sz="1200" baseline="30000"/>
            </a:p>
          </xdr:txBody>
        </xdr:sp>
      </mc:Choice>
      <mc:Fallback xmlns="">
        <xdr:sp macro="" textlink="">
          <xdr:nvSpPr>
            <xdr:cNvPr id="4" name="TextBox 8">
              <a:extLst>
                <a:ext uri="{FF2B5EF4-FFF2-40B4-BE49-F238E27FC236}">
                  <a16:creationId xmlns:a16="http://schemas.microsoft.com/office/drawing/2014/main" id="{73BAC614-4B76-488F-A601-D313EAEE414F}"/>
                </a:ext>
              </a:extLst>
            </xdr:cNvPr>
            <xdr:cNvSpPr txBox="1"/>
          </xdr:nvSpPr>
          <xdr:spPr>
            <a:xfrm>
              <a:off x="8651876" y="3770313"/>
              <a:ext cx="2718593" cy="153789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 Bias</a:t>
              </a:r>
            </a:p>
            <a:p>
              <a:pPr algn="ctr"/>
              <a:r>
                <a:rPr lang="en-US" sz="1200" i="0">
                  <a:latin typeface="Cambria Math" panose="02040503050406030204" pitchFamily="18" charset="0"/>
                </a:rPr>
                <a:t>𝑉_𝑜𝑢𝑡=−(𝑅_𝐹/𝑅_1 ) 𝑉_𝑖𝑛+(1+𝑅_𝐹/𝑅_1 ) 𝑉_𝑏</a:t>
              </a:r>
              <a:endParaRPr lang="en-US" sz="1100" baseline="30000"/>
            </a:p>
            <a:p>
              <a:pPr/>
              <a:r>
                <a:rPr lang="en-US" sz="1400" i="0" kern="1200">
                  <a:solidFill>
                    <a:schemeClr val="tx1"/>
                  </a:solidFill>
                  <a:effectLst/>
                  <a:latin typeface="Cambria Math" panose="02040503050406030204" pitchFamily="18" charset="0"/>
                  <a:ea typeface="+mn-ea"/>
                  <a:cs typeface="+mn-cs"/>
                </a:rPr>
                <a:t>𝐴_𝑣=𝑉_𝑜𝑢𝑡/𝑉_𝑖𝑛 =−𝑅_𝐹/𝑅_1 </a:t>
              </a:r>
              <a:endParaRPr lang="en-CA" sz="11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1200">
                <a:effectLst/>
              </a:endParaRPr>
            </a:p>
            <a:p>
              <a:pPr algn="ctr"/>
              <a:endParaRPr lang="en-US" sz="1200" baseline="30000"/>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6</xdr:col>
      <xdr:colOff>581424</xdr:colOff>
      <xdr:row>20</xdr:row>
      <xdr:rowOff>106758</xdr:rowOff>
    </xdr:from>
    <xdr:to>
      <xdr:col>13</xdr:col>
      <xdr:colOff>311549</xdr:colOff>
      <xdr:row>35</xdr:row>
      <xdr:rowOff>32147</xdr:rowOff>
    </xdr:to>
    <xdr:graphicFrame macro="">
      <xdr:nvGraphicFramePr>
        <xdr:cNvPr id="2" name="Chart 1">
          <a:extLst>
            <a:ext uri="{FF2B5EF4-FFF2-40B4-BE49-F238E27FC236}">
              <a16:creationId xmlns:a16="http://schemas.microsoft.com/office/drawing/2014/main" id="{EAF0C6D4-E74F-46C8-BA16-1DEA85054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402828</xdr:colOff>
      <xdr:row>47</xdr:row>
      <xdr:rowOff>47227</xdr:rowOff>
    </xdr:from>
    <xdr:to>
      <xdr:col>11</xdr:col>
      <xdr:colOff>420687</xdr:colOff>
      <xdr:row>61</xdr:row>
      <xdr:rowOff>151208</xdr:rowOff>
    </xdr:to>
    <xdr:graphicFrame macro="">
      <xdr:nvGraphicFramePr>
        <xdr:cNvPr id="5" name="Chart 4">
          <a:extLst>
            <a:ext uri="{FF2B5EF4-FFF2-40B4-BE49-F238E27FC236}">
              <a16:creationId xmlns:a16="http://schemas.microsoft.com/office/drawing/2014/main" id="{01CB6218-790F-4523-8D26-10AC7EBF8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19845</xdr:colOff>
      <xdr:row>14</xdr:row>
      <xdr:rowOff>128985</xdr:rowOff>
    </xdr:from>
    <xdr:to>
      <xdr:col>20</xdr:col>
      <xdr:colOff>89297</xdr:colOff>
      <xdr:row>29</xdr:row>
      <xdr:rowOff>99220</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D275688E-E378-4501-AADB-5EB797826B51}"/>
                </a:ext>
              </a:extLst>
            </xdr:cNvPr>
            <xdr:cNvSpPr txBox="1"/>
          </xdr:nvSpPr>
          <xdr:spPr>
            <a:xfrm>
              <a:off x="9009064" y="3284141"/>
              <a:ext cx="3700858" cy="280789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2000" b="1">
                  <a:solidFill>
                    <a:srgbClr val="0070C0"/>
                  </a:solidFill>
                </a:rPr>
                <a:t>Inverting + Bias LPF</a:t>
              </a:r>
            </a:p>
            <a:p>
              <a:pPr algn="ct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1</m:t>
                                </m:r>
                              </m:sub>
                            </m:sSub>
                          </m:den>
                        </m:f>
                      </m:e>
                    </m:d>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𝑖𝑛</m:t>
                        </m:r>
                      </m:sub>
                    </m:sSub>
                    <m:r>
                      <a:rPr lang="en-US" sz="1400" i="1">
                        <a:latin typeface="Cambria Math" panose="02040503050406030204" pitchFamily="18" charset="0"/>
                      </a:rPr>
                      <m:t>+</m:t>
                    </m:r>
                    <m:d>
                      <m:dPr>
                        <m:ctrlPr>
                          <a:rPr lang="en-US" sz="1400" i="1">
                            <a:latin typeface="Cambria Math" panose="02040503050406030204" pitchFamily="18" charset="0"/>
                          </a:rPr>
                        </m:ctrlPr>
                      </m:dPr>
                      <m:e>
                        <m:r>
                          <a:rPr lang="en-US" sz="1400" i="1">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1</m:t>
                                </m:r>
                              </m:sub>
                            </m:sSub>
                          </m:den>
                        </m:f>
                      </m:e>
                    </m:d>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𝑏</m:t>
                        </m:r>
                      </m:sub>
                    </m:sSub>
                  </m:oMath>
                </m:oMathPara>
              </a14:m>
              <a:endParaRPr lang="en-US" sz="1200" baseline="30000"/>
            </a:p>
            <a:p>
              <a:pPr/>
              <a14:m>
                <m:oMathPara xmlns:m="http://schemas.openxmlformats.org/officeDocument/2006/math">
                  <m:oMathParaPr>
                    <m:jc m:val="centerGroup"/>
                  </m:oMathParaPr>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𝐴</m:t>
                        </m:r>
                      </m:e>
                      <m:sub>
                        <m:r>
                          <a:rPr lang="en-US" sz="1600" i="1" kern="1200">
                            <a:solidFill>
                              <a:schemeClr val="tx1"/>
                            </a:solidFill>
                            <a:effectLst/>
                            <a:latin typeface="Cambria Math" panose="02040503050406030204" pitchFamily="18" charset="0"/>
                            <a:ea typeface="+mn-ea"/>
                            <a:cs typeface="+mn-cs"/>
                          </a:rPr>
                          <m:t>𝑣</m:t>
                        </m:r>
                      </m:sub>
                    </m:sSub>
                    <m:r>
                      <a:rPr lang="en-US" sz="1600" i="0"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𝑖𝑛</m:t>
                            </m:r>
                          </m:sub>
                        </m:sSub>
                      </m:den>
                    </m:f>
                    <m:r>
                      <a:rPr lang="en-US" sz="1600" kern="1200">
                        <a:solidFill>
                          <a:schemeClr val="tx1"/>
                        </a:solidFill>
                        <a:effectLst/>
                        <a:latin typeface="Cambria Math" panose="02040503050406030204" pitchFamily="18" charset="0"/>
                        <a:ea typeface="+mn-ea"/>
                        <a:cs typeface="+mn-cs"/>
                      </a:rPr>
                      <m:t>=</m:t>
                    </m:r>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kern="1200">
                                <a:solidFill>
                                  <a:schemeClr val="tx1"/>
                                </a:solidFill>
                                <a:effectLst/>
                                <a:latin typeface="Cambria Math" panose="02040503050406030204" pitchFamily="18" charset="0"/>
                                <a:ea typeface="+mn-ea"/>
                                <a:cs typeface="+mn-cs"/>
                              </a:rPr>
                              <m:t>1</m:t>
                            </m:r>
                          </m:sub>
                        </m:sSub>
                      </m:den>
                    </m:f>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𝒐𝒖𝒕</m:t>
                        </m:r>
                      </m:sub>
                    </m:sSub>
                    <m:r>
                      <a:rPr lang="en-US" sz="1600" b="1" kern="1200">
                        <a:solidFill>
                          <a:schemeClr val="tx1"/>
                        </a:solidFill>
                        <a:effectLst/>
                        <a:latin typeface="Cambria Math" panose="02040503050406030204" pitchFamily="18" charset="0"/>
                        <a:ea typeface="+mn-ea"/>
                        <a:cs typeface="+mn-cs"/>
                      </a:rPr>
                      <m:t>=</m:t>
                    </m:r>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𝑨</m:t>
                        </m:r>
                      </m:e>
                      <m:sub>
                        <m:r>
                          <a:rPr lang="en-US" sz="1600" b="1" i="1" kern="1200">
                            <a:solidFill>
                              <a:schemeClr val="tx1"/>
                            </a:solidFill>
                            <a:effectLst/>
                            <a:latin typeface="Cambria Math" panose="02040503050406030204" pitchFamily="18" charset="0"/>
                            <a:ea typeface="+mn-ea"/>
                            <a:cs typeface="+mn-cs"/>
                          </a:rPr>
                          <m:t>𝒗</m:t>
                        </m:r>
                      </m:sub>
                    </m:sSub>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𝒊𝒏</m:t>
                        </m:r>
                      </m:sub>
                    </m:sSub>
                    <m:r>
                      <a:rPr lang="en-US" sz="1600" b="1" kern="1200">
                        <a:solidFill>
                          <a:schemeClr val="tx1"/>
                        </a:solidFill>
                        <a:effectLst/>
                        <a:latin typeface="Cambria Math" panose="02040503050406030204" pitchFamily="18" charset="0"/>
                        <a:ea typeface="+mn-ea"/>
                        <a:cs typeface="+mn-cs"/>
                      </a:rPr>
                      <m:t>+</m:t>
                    </m:r>
                    <m:d>
                      <m:dPr>
                        <m:ctrlPr>
                          <a:rPr lang="en-US" sz="1600" b="1" i="1" kern="1200">
                            <a:solidFill>
                              <a:schemeClr val="tx1"/>
                            </a:solidFill>
                            <a:effectLst/>
                            <a:latin typeface="Cambria Math" panose="02040503050406030204" pitchFamily="18" charset="0"/>
                            <a:ea typeface="+mn-ea"/>
                            <a:cs typeface="+mn-cs"/>
                          </a:rPr>
                        </m:ctrlPr>
                      </m:dPr>
                      <m:e>
                        <m:r>
                          <a:rPr lang="en-US" sz="1600" b="1" i="1" kern="1200">
                            <a:solidFill>
                              <a:schemeClr val="tx1"/>
                            </a:solidFill>
                            <a:effectLst/>
                            <a:latin typeface="Cambria Math" panose="02040503050406030204" pitchFamily="18" charset="0"/>
                            <a:ea typeface="+mn-ea"/>
                            <a:cs typeface="+mn-cs"/>
                          </a:rPr>
                          <m:t>𝟏</m:t>
                        </m:r>
                        <m:r>
                          <a:rPr lang="en-US" sz="1600" b="1" i="1" kern="1200">
                            <a:solidFill>
                              <a:schemeClr val="tx1"/>
                            </a:solidFill>
                            <a:effectLst/>
                            <a:latin typeface="Cambria Math" panose="02040503050406030204" pitchFamily="18" charset="0"/>
                            <a:ea typeface="+mn-ea"/>
                            <a:cs typeface="+mn-cs"/>
                          </a:rPr>
                          <m:t>−</m:t>
                        </m:r>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𝑨</m:t>
                            </m:r>
                          </m:e>
                          <m:sub>
                            <m:r>
                              <a:rPr lang="en-US" sz="1600" b="1" i="1" kern="1200">
                                <a:solidFill>
                                  <a:schemeClr val="tx1"/>
                                </a:solidFill>
                                <a:effectLst/>
                                <a:latin typeface="Cambria Math" panose="02040503050406030204" pitchFamily="18" charset="0"/>
                                <a:ea typeface="+mn-ea"/>
                                <a:cs typeface="+mn-cs"/>
                              </a:rPr>
                              <m:t>𝒗</m:t>
                            </m:r>
                          </m:sub>
                        </m:sSub>
                      </m:e>
                    </m:d>
                    <m:sSub>
                      <m:sSubPr>
                        <m:ctrlPr>
                          <a:rPr lang="en-US" sz="1600" b="1" i="1" kern="1200">
                            <a:solidFill>
                              <a:schemeClr val="tx1"/>
                            </a:solidFill>
                            <a:effectLst/>
                            <a:latin typeface="Cambria Math" panose="02040503050406030204" pitchFamily="18" charset="0"/>
                            <a:ea typeface="+mn-ea"/>
                            <a:cs typeface="+mn-cs"/>
                          </a:rPr>
                        </m:ctrlPr>
                      </m:sSubPr>
                      <m:e>
                        <m:r>
                          <a:rPr lang="en-US" sz="1600" b="1" i="1" kern="1200">
                            <a:solidFill>
                              <a:schemeClr val="tx1"/>
                            </a:solidFill>
                            <a:effectLst/>
                            <a:latin typeface="Cambria Math" panose="02040503050406030204" pitchFamily="18" charset="0"/>
                            <a:ea typeface="+mn-ea"/>
                            <a:cs typeface="+mn-cs"/>
                          </a:rPr>
                          <m:t>𝑽</m:t>
                        </m:r>
                      </m:e>
                      <m:sub>
                        <m:r>
                          <a:rPr lang="en-US" sz="1600" b="1" i="1" kern="1200">
                            <a:solidFill>
                              <a:schemeClr val="tx1"/>
                            </a:solidFill>
                            <a:effectLst/>
                            <a:latin typeface="Cambria Math" panose="02040503050406030204" pitchFamily="18" charset="0"/>
                            <a:ea typeface="+mn-ea"/>
                            <a:cs typeface="+mn-cs"/>
                          </a:rPr>
                          <m:t>𝒃</m:t>
                        </m:r>
                      </m:sub>
                    </m:sSub>
                  </m:oMath>
                </m:oMathPara>
              </a14:m>
              <a:endParaRPr lang="en-US" sz="1200">
                <a:effectLst/>
              </a:endParaRPr>
            </a:p>
            <a:p>
              <a:pPr algn="ctr"/>
              <a:r>
                <a:rPr lang="en-US" sz="1600" kern="1200">
                  <a:solidFill>
                    <a:schemeClr val="tx1"/>
                  </a:solidFill>
                  <a:effectLst/>
                  <a:latin typeface="+mn-lt"/>
                  <a:ea typeface="+mn-ea"/>
                  <a:cs typeface="+mn-cs"/>
                </a:rPr>
                <a:t>Cutoff Frequency: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
                        <a:rPr lang="en-US" sz="1600" i="1" kern="1200">
                          <a:solidFill>
                            <a:schemeClr val="tx1"/>
                          </a:solidFill>
                          <a:effectLst/>
                          <a:latin typeface="Cambria Math" panose="02040503050406030204" pitchFamily="18" charset="0"/>
                          <a:ea typeface="+mn-ea"/>
                          <a:cs typeface="+mn-cs"/>
                        </a:rPr>
                        <m:t>2</m:t>
                      </m:r>
                      <m:r>
                        <a:rPr lang="en-US" sz="1600" i="1" kern="1200">
                          <a:solidFill>
                            <a:schemeClr val="tx1"/>
                          </a:solidFill>
                          <a:effectLst/>
                          <a:latin typeface="Cambria Math" panose="02040503050406030204" pitchFamily="18" charset="0"/>
                          <a:ea typeface="+mn-ea"/>
                          <a:cs typeface="+mn-cs"/>
                        </a:rPr>
                        <m:t>𝜋</m:t>
                      </m:r>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𝐶</m:t>
                          </m:r>
                        </m:e>
                        <m:sub>
                          <m:r>
                            <a:rPr lang="en-US" sz="1600" i="1" kern="1200">
                              <a:solidFill>
                                <a:schemeClr val="tx1"/>
                              </a:solidFill>
                              <a:effectLst/>
                              <a:latin typeface="Cambria Math" panose="02040503050406030204" pitchFamily="18" charset="0"/>
                              <a:ea typeface="+mn-ea"/>
                              <a:cs typeface="+mn-cs"/>
                            </a:rPr>
                            <m:t>1</m:t>
                          </m:r>
                        </m:sub>
                      </m:sSub>
                    </m:den>
                  </m:f>
                </m:oMath>
              </a14:m>
              <a:endParaRPr lang="en-US" sz="1200">
                <a:effectLst/>
              </a:endParaRPr>
            </a:p>
            <a:p>
              <a:pPr algn="ct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𝑜𝑢𝑡</m:t>
                      </m:r>
                    </m:sub>
                  </m:sSub>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𝐴</m:t>
                          </m:r>
                        </m:e>
                        <m:sub>
                          <m:r>
                            <a:rPr lang="en-US" sz="1600" b="0" i="1" kern="1200">
                              <a:solidFill>
                                <a:schemeClr val="tx1"/>
                              </a:solidFill>
                              <a:effectLst/>
                              <a:latin typeface="Cambria Math" panose="02040503050406030204" pitchFamily="18" charset="0"/>
                              <a:ea typeface="+mn-ea"/>
                              <a:cs typeface="+mn-cs"/>
                            </a:rPr>
                            <m:t>𝑉</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kern="1200">
                      <a:solidFill>
                        <a:schemeClr val="tx1"/>
                      </a:solidFill>
                      <a:effectLst/>
                      <a:latin typeface="Cambria Math" panose="02040503050406030204" pitchFamily="18" charset="0"/>
                      <a:ea typeface="+mn-ea"/>
                      <a:cs typeface="+mn-cs"/>
                    </a:rPr>
                    <m:t>+</m:t>
                  </m:r>
                  <m:d>
                    <m:dPr>
                      <m:ctrlPr>
                        <a:rPr lang="en-US" sz="1600" b="0" i="1" kern="1200">
                          <a:solidFill>
                            <a:schemeClr val="tx1"/>
                          </a:solidFill>
                          <a:effectLst/>
                          <a:latin typeface="Cambria Math" panose="02040503050406030204" pitchFamily="18" charset="0"/>
                          <a:ea typeface="+mn-ea"/>
                          <a:cs typeface="+mn-cs"/>
                        </a:rPr>
                      </m:ctrlPr>
                    </m:dPr>
                    <m:e>
                      <m:r>
                        <a:rPr lang="en-US" sz="1600" b="0" i="1"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sSub>
                            <m:sSubPr>
                              <m:ctrlPr>
                                <a:rPr lang="en-US" sz="1600" b="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e>
                  </m:d>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𝑏</m:t>
                      </m:r>
                    </m:sub>
                  </m:sSub>
                </m:oMath>
              </a14:m>
              <a:endParaRPr lang="en-US" sz="1200" b="0">
                <a:effectLst/>
              </a:endParaRPr>
            </a:p>
            <a:p>
              <a:endParaRPr lang="en-US" sz="1400">
                <a:effectLst/>
              </a:endParaRPr>
            </a:p>
            <a:p>
              <a:pPr algn="ctr"/>
              <a:endParaRPr lang="en-US" sz="1400" baseline="30000"/>
            </a:p>
          </xdr:txBody>
        </xdr:sp>
      </mc:Choice>
      <mc:Fallback xmlns="">
        <xdr:sp macro="" textlink="">
          <xdr:nvSpPr>
            <xdr:cNvPr id="6" name="TextBox 8">
              <a:extLst>
                <a:ext uri="{FF2B5EF4-FFF2-40B4-BE49-F238E27FC236}">
                  <a16:creationId xmlns:a16="http://schemas.microsoft.com/office/drawing/2014/main" id="{D275688E-E378-4501-AADB-5EB797826B51}"/>
                </a:ext>
              </a:extLst>
            </xdr:cNvPr>
            <xdr:cNvSpPr txBox="1"/>
          </xdr:nvSpPr>
          <xdr:spPr>
            <a:xfrm>
              <a:off x="9009064" y="3284141"/>
              <a:ext cx="3700858" cy="280789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2000" b="1">
                  <a:solidFill>
                    <a:srgbClr val="0070C0"/>
                  </a:solidFill>
                </a:rPr>
                <a:t>Inverting + Bias LPF</a:t>
              </a:r>
            </a:p>
            <a:p>
              <a:pPr algn="ctr"/>
              <a:r>
                <a:rPr lang="en-US" sz="1400" i="0">
                  <a:latin typeface="Cambria Math" panose="02040503050406030204" pitchFamily="18" charset="0"/>
                </a:rPr>
                <a:t>𝑉_𝑜𝑢𝑡=−(𝑅_𝐹/𝑅_1 ) 𝑉_𝑖𝑛+(1+𝑅_𝐹/𝑅_1 ) 𝑉_𝑏</a:t>
              </a:r>
              <a:endParaRPr lang="en-US" sz="1200" baseline="30000"/>
            </a:p>
            <a:p>
              <a:pPr/>
              <a:r>
                <a:rPr lang="en-US" sz="1600" i="0" kern="1200">
                  <a:solidFill>
                    <a:schemeClr val="tx1"/>
                  </a:solidFill>
                  <a:effectLst/>
                  <a:latin typeface="Cambria Math" panose="02040503050406030204" pitchFamily="18" charset="0"/>
                  <a:ea typeface="+mn-ea"/>
                  <a:cs typeface="+mn-cs"/>
                </a:rPr>
                <a:t>𝐴_𝑣=𝑉_𝑜𝑢𝑡/𝑉_𝑖𝑛 =−𝑅_𝐹/𝑅_1 </a:t>
              </a:r>
              <a:endParaRPr lang="en-US" sz="1200">
                <a:effectLst/>
              </a:endParaRPr>
            </a:p>
            <a:p>
              <a:pPr/>
              <a:r>
                <a:rPr lang="en-US" sz="1600" b="1" i="0" kern="1200">
                  <a:solidFill>
                    <a:schemeClr val="tx1"/>
                  </a:solidFill>
                  <a:effectLst/>
                  <a:latin typeface="Cambria Math" panose="02040503050406030204" pitchFamily="18" charset="0"/>
                  <a:ea typeface="+mn-ea"/>
                  <a:cs typeface="+mn-cs"/>
                </a:rPr>
                <a:t>𝑽_𝒐𝒖𝒕=𝑨_𝒗 𝑽_𝒊𝒏+(𝟏−𝑨_𝒗 ) 𝑽_𝒃</a:t>
              </a:r>
              <a:endParaRPr lang="en-US" sz="1200">
                <a:effectLst/>
              </a:endParaRPr>
            </a:p>
            <a:p>
              <a:pPr algn="ctr"/>
              <a:r>
                <a:rPr lang="en-US" sz="1600" kern="1200">
                  <a:solidFill>
                    <a:schemeClr val="tx1"/>
                  </a:solidFill>
                  <a:effectLst/>
                  <a:latin typeface="+mn-lt"/>
                  <a:ea typeface="+mn-ea"/>
                  <a:cs typeface="+mn-cs"/>
                </a:rPr>
                <a:t>Cutoff Frequency: </a:t>
              </a:r>
              <a:r>
                <a:rPr lang="en-US" sz="1600" i="0" kern="1200">
                  <a:solidFill>
                    <a:schemeClr val="tx1"/>
                  </a:solidFill>
                  <a:effectLst/>
                  <a:latin typeface="Cambria Math" panose="02040503050406030204" pitchFamily="18" charset="0"/>
                  <a:ea typeface="+mn-ea"/>
                  <a:cs typeface="+mn-cs"/>
                </a:rPr>
                <a:t>𝑓_𝑐=1/(2𝜋𝑅_𝐹 𝐶_1 )</a:t>
              </a:r>
              <a:endParaRPr lang="en-US" sz="1200">
                <a:effectLst/>
              </a:endParaRPr>
            </a:p>
            <a:p>
              <a:pPr algn="ctr"/>
              <a:r>
                <a:rPr lang="en-US" sz="1600" b="0" i="0" kern="1200">
                  <a:solidFill>
                    <a:schemeClr val="tx1"/>
                  </a:solidFill>
                  <a:effectLst/>
                  <a:latin typeface="Cambria Math" panose="02040503050406030204" pitchFamily="18" charset="0"/>
                  <a:ea typeface="+mn-ea"/>
                  <a:cs typeface="+mn-cs"/>
                </a:rPr>
                <a:t>𝑉_𝑜𝑢𝑡=</a:t>
              </a:r>
              <a:r>
                <a:rPr lang="en-US" sz="1600" kern="1200">
                  <a:solidFill>
                    <a:schemeClr val="tx1"/>
                  </a:solidFill>
                  <a:effectLst/>
                  <a:latin typeface="+mn-lt"/>
                  <a:ea typeface="+mn-ea"/>
                  <a:cs typeface="+mn-cs"/>
                </a:rPr>
                <a:t> </a:t>
              </a:r>
              <a:r>
                <a:rPr lang="en-US" sz="1600" i="0" kern="1200">
                  <a:solidFill>
                    <a:schemeClr val="tx1"/>
                  </a:solidFill>
                  <a:effectLst/>
                  <a:latin typeface="Cambria Math" panose="02040503050406030204" pitchFamily="18" charset="0"/>
                  <a:ea typeface="+mn-ea"/>
                  <a:cs typeface="+mn-cs"/>
                </a:rPr>
                <a:t>𝑉_</a:t>
              </a:r>
              <a:r>
                <a:rPr lang="en-US" sz="1600" b="0" i="0" kern="1200">
                  <a:solidFill>
                    <a:schemeClr val="tx1"/>
                  </a:solidFill>
                  <a:effectLst/>
                  <a:latin typeface="Cambria Math" panose="02040503050406030204" pitchFamily="18" charset="0"/>
                  <a:ea typeface="+mn-ea"/>
                  <a:cs typeface="+mn-cs"/>
                </a:rPr>
                <a:t>𝑖𝑛 </a:t>
              </a:r>
              <a:r>
                <a:rPr lang="en-US" sz="1600" i="0" kern="1200">
                  <a:solidFill>
                    <a:schemeClr val="tx1"/>
                  </a:solidFill>
                  <a:effectLst/>
                  <a:latin typeface="Cambria Math" panose="02040503050406030204" pitchFamily="18" charset="0"/>
                  <a:ea typeface="+mn-ea"/>
                  <a:cs typeface="+mn-cs"/>
                </a:rPr>
                <a:t> </a:t>
              </a:r>
              <a:r>
                <a:rPr lang="en-US" sz="1600" b="0" i="0" kern="1200">
                  <a:solidFill>
                    <a:schemeClr val="tx1"/>
                  </a:solidFill>
                  <a:effectLst/>
                  <a:latin typeface="Cambria Math" panose="02040503050406030204" pitchFamily="18" charset="0"/>
                  <a:ea typeface="+mn-ea"/>
                  <a:cs typeface="+mn-cs"/>
                </a:rPr>
                <a:t>𝐴_𝑉/√(1+(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^2 )+(1−</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Cambria Math" panose="02040503050406030204" pitchFamily="18" charset="0"/>
                  <a:ea typeface="+mn-ea"/>
                  <a:cs typeface="+mn-cs"/>
                </a:rPr>
                <a:t>/√(1+(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 𝑉_𝑏</a:t>
              </a:r>
              <a:endParaRPr lang="en-US" sz="1200" b="0">
                <a:effectLst/>
              </a:endParaRPr>
            </a:p>
            <a:p>
              <a:endParaRPr lang="en-US" sz="1400">
                <a:effectLst/>
              </a:endParaRPr>
            </a:p>
            <a:p>
              <a:pPr algn="ctr"/>
              <a:endParaRPr lang="en-US" sz="1400" baseline="30000"/>
            </a:p>
          </xdr:txBody>
        </xdr:sp>
      </mc:Fallback>
    </mc:AlternateContent>
    <xdr:clientData/>
  </xdr:twoCellAnchor>
  <xdr:twoCellAnchor editAs="oneCell">
    <xdr:from>
      <xdr:col>13</xdr:col>
      <xdr:colOff>198438</xdr:colOff>
      <xdr:row>0</xdr:row>
      <xdr:rowOff>565547</xdr:rowOff>
    </xdr:from>
    <xdr:to>
      <xdr:col>18</xdr:col>
      <xdr:colOff>486172</xdr:colOff>
      <xdr:row>13</xdr:row>
      <xdr:rowOff>172970</xdr:rowOff>
    </xdr:to>
    <xdr:pic>
      <xdr:nvPicPr>
        <xdr:cNvPr id="7" name="Picture 6">
          <a:extLst>
            <a:ext uri="{FF2B5EF4-FFF2-40B4-BE49-F238E27FC236}">
              <a16:creationId xmlns:a16="http://schemas.microsoft.com/office/drawing/2014/main" id="{CBF7B054-3065-4F9A-A9AE-E60C4C1FF6AF}"/>
            </a:ext>
          </a:extLst>
        </xdr:cNvPr>
        <xdr:cNvPicPr>
          <a:picLocks noChangeAspect="1"/>
        </xdr:cNvPicPr>
      </xdr:nvPicPr>
      <xdr:blipFill>
        <a:blip xmlns:r="http://schemas.openxmlformats.org/officeDocument/2006/relationships" r:embed="rId3"/>
        <a:stretch>
          <a:fillRect/>
        </a:stretch>
      </xdr:blipFill>
      <xdr:spPr>
        <a:xfrm>
          <a:off x="7788672" y="565547"/>
          <a:ext cx="3313906" cy="2554220"/>
        </a:xfrm>
        <a:prstGeom prst="rect">
          <a:avLst/>
        </a:prstGeom>
      </xdr:spPr>
    </xdr:pic>
    <xdr:clientData/>
  </xdr:twoCellAnchor>
  <xdr:twoCellAnchor>
    <xdr:from>
      <xdr:col>20</xdr:col>
      <xdr:colOff>218281</xdr:colOff>
      <xdr:row>14</xdr:row>
      <xdr:rowOff>128984</xdr:rowOff>
    </xdr:from>
    <xdr:to>
      <xdr:col>25</xdr:col>
      <xdr:colOff>486173</xdr:colOff>
      <xdr:row>25</xdr:row>
      <xdr:rowOff>59531</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78C579C8-1A5A-4CAE-928C-77A1585E1CE8}"/>
                </a:ext>
              </a:extLst>
            </xdr:cNvPr>
            <xdr:cNvSpPr txBox="1">
              <a:spLocks/>
            </xdr:cNvSpPr>
          </xdr:nvSpPr>
          <xdr:spPr>
            <a:xfrm>
              <a:off x="12838906" y="3284140"/>
              <a:ext cx="3294064" cy="201414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r>
                      <a:rPr lang="en-US" sz="1400" i="1"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𝑏</m:t>
                        </m:r>
                      </m:sub>
                    </m:sSub>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CA" sz="2000">
                <a:effectLst/>
              </a:endParaRPr>
            </a:p>
            <a:p>
              <a:endParaRPr lang="en-CA" sz="2000">
                <a:effectLst/>
              </a:endParaRPr>
            </a:p>
            <a:p>
              <a:endParaRPr lang="en-US"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78C579C8-1A5A-4CAE-928C-77A1585E1CE8}"/>
                </a:ext>
              </a:extLst>
            </xdr:cNvPr>
            <xdr:cNvSpPr txBox="1">
              <a:spLocks/>
            </xdr:cNvSpPr>
          </xdr:nvSpPr>
          <xdr:spPr>
            <a:xfrm>
              <a:off x="12838906" y="3284140"/>
              <a:ext cx="3294064" cy="201414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 𝑉_𝑖𝑛+(1+(𝑅_𝐹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 𝑉_𝑏</a:t>
              </a:r>
              <a:endParaRPr lang="en-CA" sz="1600">
                <a:effectLst/>
              </a:endParaRPr>
            </a:p>
            <a:p>
              <a:pPr/>
              <a:r>
                <a:rPr lang="en-US" sz="1400" i="0" kern="1200">
                  <a:solidFill>
                    <a:schemeClr val="tx1"/>
                  </a:solidFill>
                  <a:effectLst/>
                  <a:latin typeface="Cambria Math" panose="02040503050406030204" pitchFamily="18" charset="0"/>
                  <a:ea typeface="+mn-ea"/>
                  <a:cs typeface="+mn-cs"/>
                </a:rPr>
                <a:t>𝐴_𝑣=𝑉_𝑜𝑢𝑡/𝑉_𝑖𝑛 =−(𝑅_𝐹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CA" sz="2000">
                <a:effectLst/>
              </a:endParaRPr>
            </a:p>
            <a:p>
              <a:endParaRPr lang="en-CA" sz="2000">
                <a:effectLst/>
              </a:endParaRPr>
            </a:p>
            <a:p>
              <a:endParaRPr lang="en-US" b="0">
                <a:solidFill>
                  <a:schemeClr val="tx1"/>
                </a:solidFill>
              </a:endParaRP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xdr:colOff>
      <xdr:row>12</xdr:row>
      <xdr:rowOff>39688</xdr:rowOff>
    </xdr:from>
    <xdr:to>
      <xdr:col>17</xdr:col>
      <xdr:colOff>317501</xdr:colOff>
      <xdr:row>16</xdr:row>
      <xdr:rowOff>100272</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00000000-0008-0000-0600-000005000000}"/>
                </a:ext>
              </a:extLst>
            </xdr:cNvPr>
            <xdr:cNvSpPr txBox="1"/>
          </xdr:nvSpPr>
          <xdr:spPr>
            <a:xfrm>
              <a:off x="7927579" y="2788047"/>
              <a:ext cx="2738438"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5" name="TextBox 8">
              <a:extLst>
                <a:ext uri="{FF2B5EF4-FFF2-40B4-BE49-F238E27FC236}">
                  <a16:creationId xmlns:a16="http://schemas.microsoft.com/office/drawing/2014/main" id="{00000000-0008-0000-0600-000005000000}"/>
                </a:ext>
              </a:extLst>
            </xdr:cNvPr>
            <xdr:cNvSpPr txBox="1"/>
          </xdr:nvSpPr>
          <xdr:spPr>
            <a:xfrm>
              <a:off x="7927579" y="2788047"/>
              <a:ext cx="2738438"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12</xdr:col>
      <xdr:colOff>484186</xdr:colOff>
      <xdr:row>0</xdr:row>
      <xdr:rowOff>101203</xdr:rowOff>
    </xdr:from>
    <xdr:to>
      <xdr:col>16</xdr:col>
      <xdr:colOff>318115</xdr:colOff>
      <xdr:row>11</xdr:row>
      <xdr:rowOff>112862</xdr:rowOff>
    </xdr:to>
    <xdr:pic>
      <xdr:nvPicPr>
        <xdr:cNvPr id="6" name="Picture 5">
          <a:extLst>
            <a:ext uri="{FF2B5EF4-FFF2-40B4-BE49-F238E27FC236}">
              <a16:creationId xmlns:a16="http://schemas.microsoft.com/office/drawing/2014/main" id="{00000000-0008-0000-0600-000006000000}"/>
            </a:ext>
          </a:extLst>
        </xdr:cNvPr>
        <xdr:cNvPicPr/>
      </xdr:nvPicPr>
      <xdr:blipFill>
        <a:blip xmlns:r="http://schemas.openxmlformats.org/officeDocument/2006/relationships" r:embed="rId2" cstate="hqprint">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8048624" y="101203"/>
          <a:ext cx="2342179" cy="248815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D42F050-D946-42B6-AF7C-8887808FA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119061</xdr:colOff>
      <xdr:row>20</xdr:row>
      <xdr:rowOff>9923</xdr:rowOff>
    </xdr:from>
    <xdr:to>
      <xdr:col>18</xdr:col>
      <xdr:colOff>520771</xdr:colOff>
      <xdr:row>24</xdr:row>
      <xdr:rowOff>70508</xdr:rowOff>
    </xdr:to>
    <mc:AlternateContent xmlns:mc="http://schemas.openxmlformats.org/markup-compatibility/2006" xmlns:a14="http://schemas.microsoft.com/office/drawing/2010/main">
      <mc:Choice Requires="a14">
        <xdr:sp macro="" textlink="">
          <xdr:nvSpPr>
            <xdr:cNvPr id="3" name="TextBox 8">
              <a:extLst>
                <a:ext uri="{FF2B5EF4-FFF2-40B4-BE49-F238E27FC236}">
                  <a16:creationId xmlns:a16="http://schemas.microsoft.com/office/drawing/2014/main" id="{0D6ED01E-6871-4DF6-93EA-EFDB9F4B7B02}"/>
                </a:ext>
              </a:extLst>
            </xdr:cNvPr>
            <xdr:cNvSpPr txBox="1"/>
          </xdr:nvSpPr>
          <xdr:spPr>
            <a:xfrm>
              <a:off x="8651874" y="4316017"/>
              <a:ext cx="2822647"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3" name="TextBox 8">
              <a:extLst>
                <a:ext uri="{FF2B5EF4-FFF2-40B4-BE49-F238E27FC236}">
                  <a16:creationId xmlns:a16="http://schemas.microsoft.com/office/drawing/2014/main" id="{0D6ED01E-6871-4DF6-93EA-EFDB9F4B7B02}"/>
                </a:ext>
              </a:extLst>
            </xdr:cNvPr>
            <xdr:cNvSpPr txBox="1"/>
          </xdr:nvSpPr>
          <xdr:spPr>
            <a:xfrm>
              <a:off x="8651874" y="4316017"/>
              <a:ext cx="2822647"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12</xdr:col>
      <xdr:colOff>577710</xdr:colOff>
      <xdr:row>1</xdr:row>
      <xdr:rowOff>138907</xdr:rowOff>
    </xdr:from>
    <xdr:to>
      <xdr:col>20</xdr:col>
      <xdr:colOff>557135</xdr:colOff>
      <xdr:row>19</xdr:row>
      <xdr:rowOff>59532</xdr:rowOff>
    </xdr:to>
    <xdr:pic>
      <xdr:nvPicPr>
        <xdr:cNvPr id="9" name="Picture 8">
          <a:extLst>
            <a:ext uri="{FF2B5EF4-FFF2-40B4-BE49-F238E27FC236}">
              <a16:creationId xmlns:a16="http://schemas.microsoft.com/office/drawing/2014/main" id="{47ACD973-338E-A501-66BD-91457EEB5DC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900054" y="734220"/>
          <a:ext cx="4821300" cy="3432968"/>
        </a:xfrm>
        <a:prstGeom prst="rect">
          <a:avLst/>
        </a:prstGeom>
      </xdr:spPr>
    </xdr:pic>
    <xdr:clientData/>
  </xdr:twoCellAnchor>
  <xdr:twoCellAnchor>
    <xdr:from>
      <xdr:col>5</xdr:col>
      <xdr:colOff>273843</xdr:colOff>
      <xdr:row>50</xdr:row>
      <xdr:rowOff>86913</xdr:rowOff>
    </xdr:from>
    <xdr:to>
      <xdr:col>12</xdr:col>
      <xdr:colOff>480218</xdr:colOff>
      <xdr:row>68</xdr:row>
      <xdr:rowOff>119061</xdr:rowOff>
    </xdr:to>
    <xdr:graphicFrame macro="">
      <xdr:nvGraphicFramePr>
        <xdr:cNvPr id="12" name="Chart 11">
          <a:extLst>
            <a:ext uri="{FF2B5EF4-FFF2-40B4-BE49-F238E27FC236}">
              <a16:creationId xmlns:a16="http://schemas.microsoft.com/office/drawing/2014/main" id="{2E010168-610E-FAEB-470A-B244B3532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1B59F4DA-8458-4A87-B20E-384216CE0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119061</xdr:colOff>
      <xdr:row>20</xdr:row>
      <xdr:rowOff>9923</xdr:rowOff>
    </xdr:from>
    <xdr:to>
      <xdr:col>18</xdr:col>
      <xdr:colOff>520771</xdr:colOff>
      <xdr:row>24</xdr:row>
      <xdr:rowOff>70508</xdr:rowOff>
    </xdr:to>
    <mc:AlternateContent xmlns:mc="http://schemas.openxmlformats.org/markup-compatibility/2006" xmlns:a14="http://schemas.microsoft.com/office/drawing/2010/main">
      <mc:Choice Requires="a14">
        <xdr:sp macro="" textlink="">
          <xdr:nvSpPr>
            <xdr:cNvPr id="3" name="TextBox 8">
              <a:extLst>
                <a:ext uri="{FF2B5EF4-FFF2-40B4-BE49-F238E27FC236}">
                  <a16:creationId xmlns:a16="http://schemas.microsoft.com/office/drawing/2014/main" id="{CA3EC9E3-260F-4287-85FC-C2161D629329}"/>
                </a:ext>
              </a:extLst>
            </xdr:cNvPr>
            <xdr:cNvSpPr txBox="1"/>
          </xdr:nvSpPr>
          <xdr:spPr>
            <a:xfrm>
              <a:off x="8691561" y="4343798"/>
              <a:ext cx="2840110" cy="822585"/>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b="0" i="1">
                          <a:latin typeface="Cambria Math" panose="02040503050406030204" pitchFamily="18" charset="0"/>
                        </a:rPr>
                        <m:t>1+</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m:rPr>
                                  <m:sty m:val="p"/>
                                </m:rPr>
                                <a:rPr lang="en-CA" sz="1800" b="0" i="0">
                                  <a:latin typeface="Cambria Math" panose="02040503050406030204" pitchFamily="18" charset="0"/>
                                </a:rPr>
                                <m:t>b</m:t>
                              </m:r>
                            </m:sub>
                          </m:sSub>
                        </m:den>
                      </m:f>
                    </m:e>
                  </m:d>
                </m:oMath>
              </a14:m>
              <a:r>
                <a:rPr lang="en-US" sz="1800"/>
                <a:t>V</a:t>
              </a:r>
              <a:r>
                <a:rPr lang="en-US" sz="1800" baseline="-25000"/>
                <a:t>in</a:t>
              </a:r>
              <a:endParaRPr lang="en-US" sz="1800" baseline="30000"/>
            </a:p>
          </xdr:txBody>
        </xdr:sp>
      </mc:Choice>
      <mc:Fallback xmlns="">
        <xdr:sp macro="" textlink="">
          <xdr:nvSpPr>
            <xdr:cNvPr id="3" name="TextBox 8">
              <a:extLst>
                <a:ext uri="{FF2B5EF4-FFF2-40B4-BE49-F238E27FC236}">
                  <a16:creationId xmlns:a16="http://schemas.microsoft.com/office/drawing/2014/main" id="{CA3EC9E3-260F-4287-85FC-C2161D629329}"/>
                </a:ext>
              </a:extLst>
            </xdr:cNvPr>
            <xdr:cNvSpPr txBox="1"/>
          </xdr:nvSpPr>
          <xdr:spPr>
            <a:xfrm>
              <a:off x="8691561" y="4343798"/>
              <a:ext cx="2840110" cy="822585"/>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a:t>
              </a:r>
              <a:r>
                <a:rPr lang="en-US" sz="1800" b="0" i="0">
                  <a:latin typeface="Cambria Math" panose="02040503050406030204" pitchFamily="18" charset="0"/>
                </a:rPr>
                <a:t>1+</a:t>
              </a:r>
              <a:r>
                <a:rPr lang="en-US" sz="1800" i="0">
                  <a:latin typeface="Cambria Math" panose="02040503050406030204" pitchFamily="18" charset="0"/>
                </a:rPr>
                <a:t>𝑅_𝐹/𝑅_</a:t>
              </a:r>
              <a:r>
                <a:rPr lang="en-CA" sz="1800" b="0" i="0">
                  <a:latin typeface="Cambria Math" panose="02040503050406030204" pitchFamily="18" charset="0"/>
                </a:rPr>
                <a:t>b</a:t>
              </a:r>
              <a:r>
                <a:rPr lang="en-US" sz="1800" b="0" i="0">
                  <a:latin typeface="Cambria Math" panose="02040503050406030204" pitchFamily="18" charset="0"/>
                </a:rPr>
                <a:t> )</a:t>
              </a:r>
              <a:r>
                <a:rPr lang="en-US" sz="1800"/>
                <a:t>V</a:t>
              </a:r>
              <a:r>
                <a:rPr lang="en-US" sz="1800" baseline="-25000"/>
                <a:t>in</a:t>
              </a:r>
              <a:endParaRPr lang="en-US" sz="1800" baseline="30000"/>
            </a:p>
          </xdr:txBody>
        </xdr:sp>
      </mc:Fallback>
    </mc:AlternateContent>
    <xdr:clientData/>
  </xdr:twoCellAnchor>
  <xdr:twoCellAnchor editAs="oneCell">
    <xdr:from>
      <xdr:col>13</xdr:col>
      <xdr:colOff>527209</xdr:colOff>
      <xdr:row>0</xdr:row>
      <xdr:rowOff>119062</xdr:rowOff>
    </xdr:from>
    <xdr:to>
      <xdr:col>21</xdr:col>
      <xdr:colOff>19843</xdr:colOff>
      <xdr:row>19</xdr:row>
      <xdr:rowOff>146906</xdr:rowOff>
    </xdr:to>
    <xdr:pic>
      <xdr:nvPicPr>
        <xdr:cNvPr id="6" name="Picture 5">
          <a:extLst>
            <a:ext uri="{FF2B5EF4-FFF2-40B4-BE49-F238E27FC236}">
              <a16:creationId xmlns:a16="http://schemas.microsoft.com/office/drawing/2014/main" id="{BE35C2A0-6438-0835-0F81-C10F04B59554}"/>
            </a:ext>
          </a:extLst>
        </xdr:cNvPr>
        <xdr:cNvPicPr>
          <a:picLocks noChangeAspect="1"/>
        </xdr:cNvPicPr>
      </xdr:nvPicPr>
      <xdr:blipFill>
        <a:blip xmlns:r="http://schemas.openxmlformats.org/officeDocument/2006/relationships" r:embed="rId2"/>
        <a:stretch>
          <a:fillRect/>
        </a:stretch>
      </xdr:blipFill>
      <xdr:spPr>
        <a:xfrm>
          <a:off x="8454787" y="119062"/>
          <a:ext cx="4334509" cy="4135500"/>
        </a:xfrm>
        <a:prstGeom prst="rect">
          <a:avLst/>
        </a:prstGeom>
      </xdr:spPr>
    </xdr:pic>
    <xdr:clientData/>
  </xdr:twoCellAnchor>
  <xdr:twoCellAnchor>
    <xdr:from>
      <xdr:col>14</xdr:col>
      <xdr:colOff>119063</xdr:colOff>
      <xdr:row>25</xdr:row>
      <xdr:rowOff>9922</xdr:rowOff>
    </xdr:from>
    <xdr:to>
      <xdr:col>20</xdr:col>
      <xdr:colOff>396875</xdr:colOff>
      <xdr:row>34</xdr:row>
      <xdr:rowOff>39687</xdr:rowOff>
    </xdr:to>
    <mc:AlternateContent xmlns:mc="http://schemas.openxmlformats.org/markup-compatibility/2006" xmlns:a14="http://schemas.microsoft.com/office/drawing/2010/main">
      <mc:Choice Requires="a14">
        <xdr:sp macro="" textlink="">
          <xdr:nvSpPr>
            <xdr:cNvPr id="7" name="TextBox 8">
              <a:extLst>
                <a:ext uri="{FF2B5EF4-FFF2-40B4-BE49-F238E27FC236}">
                  <a16:creationId xmlns:a16="http://schemas.microsoft.com/office/drawing/2014/main" id="{B3C571E7-2B87-45F4-9F58-BA365464ABF2}"/>
                </a:ext>
              </a:extLst>
            </xdr:cNvPr>
            <xdr:cNvSpPr txBox="1"/>
          </xdr:nvSpPr>
          <xdr:spPr>
            <a:xfrm>
              <a:off x="8651876" y="5248672"/>
              <a:ext cx="3909218" cy="1726406"/>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1">
                                    <a:latin typeface="Cambria Math" panose="02040503050406030204" pitchFamily="18" charset="0"/>
                                  </a:rPr>
                                  <m:t>6</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5</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4</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3</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4</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3</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3</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CA" sz="1400" b="0" i="0">
                                        <a:latin typeface="Cambria Math" panose="02040503050406030204" pitchFamily="18" charset="0"/>
                                      </a:rPr>
                                      <m:t>4</m:t>
                                    </m:r>
                                  </m:sub>
                                </m:sSub>
                              </m:den>
                            </m:f>
                          </m:e>
                        </m:d>
                      </m:e>
                    </m:d>
                  </m:oMath>
                </m:oMathPara>
              </a14:m>
              <a:endParaRPr lang="en-US" sz="1400"/>
            </a:p>
            <a:p>
              <a:endParaRPr lang="en-US" sz="1200"/>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mlns="">
        <xdr:sp macro="" textlink="">
          <xdr:nvSpPr>
            <xdr:cNvPr id="7" name="TextBox 8">
              <a:extLst>
                <a:ext uri="{FF2B5EF4-FFF2-40B4-BE49-F238E27FC236}">
                  <a16:creationId xmlns:a16="http://schemas.microsoft.com/office/drawing/2014/main" id="{B3C571E7-2B87-45F4-9F58-BA365464ABF2}"/>
                </a:ext>
              </a:extLst>
            </xdr:cNvPr>
            <xdr:cNvSpPr txBox="1"/>
          </xdr:nvSpPr>
          <xdr:spPr>
            <a:xfrm>
              <a:off x="8651876" y="5248672"/>
              <a:ext cx="3909218" cy="1726406"/>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a:t>
              </a:r>
              <a:r>
                <a:rPr lang="en-CA" sz="1400" b="0" i="0">
                  <a:latin typeface="Cambria Math" panose="02040503050406030204" pitchFamily="18" charset="0"/>
                </a:rPr>
                <a:t>6</a:t>
              </a:r>
              <a:r>
                <a:rPr lang="en-US" sz="1400" b="0" i="0">
                  <a:latin typeface="Cambria Math" panose="02040503050406030204" pitchFamily="18" charset="0"/>
                </a:rPr>
                <a:t>/</a:t>
              </a:r>
              <a:r>
                <a:rPr lang="en-US" sz="1400" i="0">
                  <a:latin typeface="Cambria Math" panose="02040503050406030204" pitchFamily="18" charset="0"/>
                </a:rPr>
                <a:t>𝑅_</a:t>
              </a:r>
              <a:r>
                <a:rPr lang="en-CA" sz="1400" b="0" i="0">
                  <a:latin typeface="Cambria Math" panose="02040503050406030204" pitchFamily="18" charset="0"/>
                </a:rPr>
                <a:t>5</a:t>
              </a:r>
              <a:r>
                <a:rPr lang="en-US" sz="1400" b="0" i="0">
                  <a:latin typeface="Cambria Math" panose="02040503050406030204" pitchFamily="18" charset="0"/>
                </a:rPr>
                <a:t> )</a:t>
              </a:r>
              <a:r>
                <a:rPr lang="en-US" sz="1400" i="0">
                  <a:latin typeface="Cambria Math" panose="02040503050406030204" pitchFamily="18" charset="0"/>
                </a:rPr>
                <a:t>[𝑉_1 (𝑅_</a:t>
              </a:r>
              <a:r>
                <a:rPr lang="en-CA" sz="1400" b="0" i="0">
                  <a:latin typeface="Cambria Math" panose="02040503050406030204" pitchFamily="18" charset="0"/>
                </a:rPr>
                <a:t>4</a:t>
              </a:r>
              <a:r>
                <a:rPr lang="en-US" sz="1400" b="0" i="0">
                  <a:latin typeface="Cambria Math" panose="02040503050406030204" pitchFamily="18" charset="0"/>
                </a:rPr>
                <a:t>/(</a:t>
              </a:r>
              <a:r>
                <a:rPr lang="en-US" sz="1400" i="0">
                  <a:latin typeface="Cambria Math" panose="02040503050406030204" pitchFamily="18" charset="0"/>
                </a:rPr>
                <a:t>𝑅_</a:t>
              </a:r>
              <a:r>
                <a:rPr lang="en-CA" sz="1400" b="0" i="0">
                  <a:latin typeface="Cambria Math" panose="02040503050406030204" pitchFamily="18" charset="0"/>
                </a:rPr>
                <a:t>3</a:t>
              </a:r>
              <a:r>
                <a:rPr lang="en-US" sz="1400" i="0">
                  <a:latin typeface="Cambria Math" panose="02040503050406030204" pitchFamily="18" charset="0"/>
                </a:rPr>
                <a:t>+𝑅_</a:t>
              </a:r>
              <a:r>
                <a:rPr lang="en-CA" sz="1400" b="0" i="0">
                  <a:latin typeface="Cambria Math" panose="02040503050406030204" pitchFamily="18" charset="0"/>
                </a:rPr>
                <a:t>4</a:t>
              </a:r>
              <a:r>
                <a:rPr lang="en-US" sz="1400" b="0" i="0">
                  <a:latin typeface="Cambria Math" panose="02040503050406030204" pitchFamily="18" charset="0"/>
                </a:rPr>
                <a:t> ))</a:t>
              </a:r>
              <a:r>
                <a:rPr lang="en-US" sz="1400" i="0">
                  <a:latin typeface="Cambria Math" panose="02040503050406030204" pitchFamily="18" charset="0"/>
                </a:rPr>
                <a:t>+𝑉_2 (𝑅_</a:t>
              </a:r>
              <a:r>
                <a:rPr lang="en-CA" sz="1400" b="0" i="0">
                  <a:latin typeface="Cambria Math" panose="02040503050406030204" pitchFamily="18" charset="0"/>
                </a:rPr>
                <a:t>3</a:t>
              </a:r>
              <a:r>
                <a:rPr lang="en-US" sz="1400" b="0" i="0">
                  <a:latin typeface="Cambria Math" panose="02040503050406030204" pitchFamily="18" charset="0"/>
                </a:rPr>
                <a:t>/(</a:t>
              </a:r>
              <a:r>
                <a:rPr lang="en-US" sz="1400" i="0">
                  <a:latin typeface="Cambria Math" panose="02040503050406030204" pitchFamily="18" charset="0"/>
                </a:rPr>
                <a:t>𝑅_</a:t>
              </a:r>
              <a:r>
                <a:rPr lang="en-CA" sz="1400" b="0" i="0">
                  <a:latin typeface="Cambria Math" panose="02040503050406030204" pitchFamily="18" charset="0"/>
                </a:rPr>
                <a:t>3</a:t>
              </a:r>
              <a:r>
                <a:rPr lang="en-US" sz="1400" i="0">
                  <a:latin typeface="Cambria Math" panose="02040503050406030204" pitchFamily="18" charset="0"/>
                </a:rPr>
                <a:t>+𝑅_</a:t>
              </a:r>
              <a:r>
                <a:rPr lang="en-CA" sz="1400" b="0" i="0">
                  <a:latin typeface="Cambria Math" panose="02040503050406030204" pitchFamily="18" charset="0"/>
                </a:rPr>
                <a:t>4</a:t>
              </a:r>
              <a:r>
                <a:rPr lang="en-US" sz="1400" b="0" i="0">
                  <a:latin typeface="Cambria Math" panose="02040503050406030204" pitchFamily="18" charset="0"/>
                </a:rPr>
                <a:t> ))]</a:t>
              </a:r>
              <a:endParaRPr lang="en-US" sz="1400"/>
            </a:p>
            <a:p>
              <a:endParaRPr lang="en-US" sz="1200"/>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29</xdr:col>
      <xdr:colOff>130749</xdr:colOff>
      <xdr:row>2</xdr:row>
      <xdr:rowOff>128985</xdr:rowOff>
    </xdr:from>
    <xdr:to>
      <xdr:col>40</xdr:col>
      <xdr:colOff>546661</xdr:colOff>
      <xdr:row>53</xdr:row>
      <xdr:rowOff>128033</xdr:rowOff>
    </xdr:to>
    <xdr:pic>
      <xdr:nvPicPr>
        <xdr:cNvPr id="8" name="Picture 7">
          <a:extLst>
            <a:ext uri="{FF2B5EF4-FFF2-40B4-BE49-F238E27FC236}">
              <a16:creationId xmlns:a16="http://schemas.microsoft.com/office/drawing/2014/main" id="{072C443E-8AE6-492B-B056-F2A4DC49BDF2}"/>
            </a:ext>
          </a:extLst>
        </xdr:cNvPr>
        <xdr:cNvPicPr>
          <a:picLocks noChangeAspect="1"/>
        </xdr:cNvPicPr>
      </xdr:nvPicPr>
      <xdr:blipFill>
        <a:blip xmlns:r="http://schemas.openxmlformats.org/officeDocument/2006/relationships" r:embed="rId3"/>
        <a:stretch>
          <a:fillRect/>
        </a:stretch>
      </xdr:blipFill>
      <xdr:spPr>
        <a:xfrm>
          <a:off x="17742077" y="922735"/>
          <a:ext cx="7073490" cy="9722486"/>
        </a:xfrm>
        <a:prstGeom prst="rect">
          <a:avLst/>
        </a:prstGeom>
      </xdr:spPr>
    </xdr:pic>
    <xdr:clientData/>
  </xdr:twoCellAnchor>
  <xdr:twoCellAnchor>
    <xdr:from>
      <xdr:col>22</xdr:col>
      <xdr:colOff>184547</xdr:colOff>
      <xdr:row>33</xdr:row>
      <xdr:rowOff>67071</xdr:rowOff>
    </xdr:from>
    <xdr:to>
      <xdr:col>29</xdr:col>
      <xdr:colOff>519907</xdr:colOff>
      <xdr:row>47</xdr:row>
      <xdr:rowOff>171052</xdr:rowOff>
    </xdr:to>
    <xdr:graphicFrame macro="">
      <xdr:nvGraphicFramePr>
        <xdr:cNvPr id="9" name="Chart 8">
          <a:extLst>
            <a:ext uri="{FF2B5EF4-FFF2-40B4-BE49-F238E27FC236}">
              <a16:creationId xmlns:a16="http://schemas.microsoft.com/office/drawing/2014/main" id="{96F71B29-BAF5-B18A-E681-F3C80E5DC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551658</xdr:colOff>
      <xdr:row>17</xdr:row>
      <xdr:rowOff>96837</xdr:rowOff>
    </xdr:from>
    <xdr:to>
      <xdr:col>13</xdr:col>
      <xdr:colOff>281784</xdr:colOff>
      <xdr:row>32</xdr:row>
      <xdr:rowOff>22226</xdr:rowOff>
    </xdr:to>
    <xdr:graphicFrame macro="">
      <xdr:nvGraphicFramePr>
        <xdr:cNvPr id="2" name="Chart 1">
          <a:extLst>
            <a:ext uri="{FF2B5EF4-FFF2-40B4-BE49-F238E27FC236}">
              <a16:creationId xmlns:a16="http://schemas.microsoft.com/office/drawing/2014/main" id="{2C5B3432-6D50-4AC7-89A4-6C811F38D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46</xdr:row>
      <xdr:rowOff>136524</xdr:rowOff>
    </xdr:from>
    <xdr:to>
      <xdr:col>14</xdr:col>
      <xdr:colOff>460375</xdr:colOff>
      <xdr:row>61</xdr:row>
      <xdr:rowOff>51989</xdr:rowOff>
    </xdr:to>
    <xdr:graphicFrame macro="">
      <xdr:nvGraphicFramePr>
        <xdr:cNvPr id="3" name="Chart 2">
          <a:extLst>
            <a:ext uri="{FF2B5EF4-FFF2-40B4-BE49-F238E27FC236}">
              <a16:creationId xmlns:a16="http://schemas.microsoft.com/office/drawing/2014/main" id="{8840A0B8-F77F-4B32-A841-AE05D1AD3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456406</xdr:colOff>
      <xdr:row>1</xdr:row>
      <xdr:rowOff>115123</xdr:rowOff>
    </xdr:from>
    <xdr:to>
      <xdr:col>18</xdr:col>
      <xdr:colOff>604855</xdr:colOff>
      <xdr:row>10</xdr:row>
      <xdr:rowOff>148828</xdr:rowOff>
    </xdr:to>
    <xdr:pic>
      <xdr:nvPicPr>
        <xdr:cNvPr id="7" name="Picture 6">
          <a:extLst>
            <a:ext uri="{FF2B5EF4-FFF2-40B4-BE49-F238E27FC236}">
              <a16:creationId xmlns:a16="http://schemas.microsoft.com/office/drawing/2014/main" id="{B46EA250-9638-67BA-AB02-705606EC104B}"/>
            </a:ext>
          </a:extLst>
        </xdr:cNvPr>
        <xdr:cNvPicPr>
          <a:picLocks noChangeAspect="1"/>
        </xdr:cNvPicPr>
      </xdr:nvPicPr>
      <xdr:blipFill>
        <a:blip xmlns:r="http://schemas.openxmlformats.org/officeDocument/2006/relationships" r:embed="rId3"/>
        <a:stretch>
          <a:fillRect/>
        </a:stretch>
      </xdr:blipFill>
      <xdr:spPr>
        <a:xfrm>
          <a:off x="7441406" y="710436"/>
          <a:ext cx="4385090" cy="1809720"/>
        </a:xfrm>
        <a:prstGeom prst="rect">
          <a:avLst/>
        </a:prstGeom>
      </xdr:spPr>
    </xdr:pic>
    <xdr:clientData/>
  </xdr:twoCellAnchor>
  <xdr:twoCellAnchor>
    <xdr:from>
      <xdr:col>12</xdr:col>
      <xdr:colOff>515937</xdr:colOff>
      <xdr:row>12</xdr:row>
      <xdr:rowOff>39688</xdr:rowOff>
    </xdr:from>
    <xdr:to>
      <xdr:col>20</xdr:col>
      <xdr:colOff>178593</xdr:colOff>
      <xdr:row>23</xdr:row>
      <xdr:rowOff>59533</xdr:rowOff>
    </xdr:to>
    <mc:AlternateContent xmlns:mc="http://schemas.openxmlformats.org/markup-compatibility/2006" xmlns:a14="http://schemas.microsoft.com/office/drawing/2010/main">
      <mc:Choice Requires="a14">
        <xdr:sp macro="" textlink="">
          <xdr:nvSpPr>
            <xdr:cNvPr id="8" name="Content Placeholder 2">
              <a:extLst>
                <a:ext uri="{FF2B5EF4-FFF2-40B4-BE49-F238E27FC236}">
                  <a16:creationId xmlns:a16="http://schemas.microsoft.com/office/drawing/2014/main" id="{B26B8D45-DB7C-47AD-94DE-90D19B8D1A31}"/>
                </a:ext>
              </a:extLst>
            </xdr:cNvPr>
            <xdr:cNvSpPr txBox="1">
              <a:spLocks/>
            </xdr:cNvSpPr>
          </xdr:nvSpPr>
          <xdr:spPr>
            <a:xfrm>
              <a:off x="8106171" y="2599532"/>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CA" sz="1400" b="1" i="1">
                      <a:solidFill>
                        <a:schemeClr val="tx1"/>
                      </a:solidFill>
                      <a:latin typeface="Cambria Math" panose="02040503050406030204" pitchFamily="18" charset="0"/>
                    </a:rPr>
                    <m:t>𝟏</m:t>
                  </m:r>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𝑭</m:t>
                      </m:r>
                    </m:sub>
                  </m:sSub>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𝒃</m:t>
                      </m:r>
                    </m:sub>
                  </m:sSub>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1</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CA" sz="1600" b="0" i="1" kern="1200">
                                  <a:solidFill>
                                    <a:schemeClr val="tx1"/>
                                  </a:solidFill>
                                  <a:effectLst/>
                                  <a:latin typeface="Cambria Math" panose="02040503050406030204" pitchFamily="18" charset="0"/>
                                  <a:ea typeface="+mn-ea"/>
                                  <a:cs typeface="+mn-cs"/>
                                </a:rPr>
                                <m:t>𝐴</m:t>
                              </m:r>
                            </m:e>
                            <m:sub>
                              <m:r>
                                <a:rPr lang="en-CA" sz="1600" b="0" i="1" kern="1200">
                                  <a:solidFill>
                                    <a:schemeClr val="tx1"/>
                                  </a:solidFill>
                                  <a:effectLst/>
                                  <a:latin typeface="Cambria Math" panose="02040503050406030204" pitchFamily="18" charset="0"/>
                                  <a:ea typeface="+mn-ea"/>
                                  <a:cs typeface="+mn-cs"/>
                                </a:rPr>
                                <m:t>𝑣</m:t>
                              </m:r>
                            </m:sub>
                          </m:sSub>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i="1" kern="1200">
                                  <a:solidFill>
                                    <a:schemeClr val="tx1"/>
                                  </a:solidFill>
                                  <a:effectLst/>
                                  <a:latin typeface="Cambria Math" panose="02040503050406030204" pitchFamily="18" charset="0"/>
                                  <a:ea typeface="+mn-ea"/>
                                  <a:cs typeface="+mn-cs"/>
                                </a:rPr>
                                <m:t>1+</m:t>
                              </m:r>
                              <m:sSup>
                                <m:sSupPr>
                                  <m:ctrlPr>
                                    <a:rPr lang="en-US" sz="160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i="1" kern="1200">
                                      <a:solidFill>
                                        <a:schemeClr val="tx1"/>
                                      </a:solidFill>
                                      <a:effectLst/>
                                      <a:latin typeface="Cambria Math" panose="02040503050406030204" pitchFamily="18" charset="0"/>
                                      <a:ea typeface="+mn-ea"/>
                                      <a:cs typeface="+mn-cs"/>
                                    </a:rPr>
                                    <m:t>2</m:t>
                                  </m:r>
                                </m:sup>
                              </m:sSup>
                            </m:e>
                          </m:rad>
                        </m:den>
                      </m:f>
                    </m:e>
                  </m:d>
                </m:oMath>
              </a14:m>
              <a:endParaRPr lang="en-US" sz="1600" b="0">
                <a:solidFill>
                  <a:schemeClr val="tx1"/>
                </a:solidFill>
              </a:endParaRPr>
            </a:p>
          </xdr:txBody>
        </xdr:sp>
      </mc:Choice>
      <mc:Fallback xmlns="">
        <xdr:sp macro="" textlink="">
          <xdr:nvSpPr>
            <xdr:cNvPr id="8" name="Content Placeholder 2">
              <a:extLst>
                <a:ext uri="{FF2B5EF4-FFF2-40B4-BE49-F238E27FC236}">
                  <a16:creationId xmlns:a16="http://schemas.microsoft.com/office/drawing/2014/main" id="{B26B8D45-DB7C-47AD-94DE-90D19B8D1A31}"/>
                </a:ext>
              </a:extLst>
            </xdr:cNvPr>
            <xdr:cNvSpPr txBox="1">
              <a:spLocks/>
            </xdr:cNvSpPr>
          </xdr:nvSpPr>
          <xdr:spPr>
            <a:xfrm>
              <a:off x="8106171" y="2599532"/>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CA" sz="1400" b="1" i="0">
                  <a:solidFill>
                    <a:schemeClr val="tx1"/>
                  </a:solidFill>
                  <a:latin typeface="Cambria Math" panose="02040503050406030204" pitchFamily="18" charset="0"/>
                </a:rPr>
                <a:t>𝟏+𝑹_𝑭/𝑹_𝒃</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1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mn-lt"/>
                  <a:ea typeface="+mn-ea"/>
                  <a:cs typeface="+mn-cs"/>
                </a:rPr>
                <a:t>𝑉_𝑜𝑢𝑡/𝑉_</a:t>
              </a:r>
              <a:r>
                <a:rPr lang="en-US" sz="1600" b="0" i="0" kern="1200">
                  <a:solidFill>
                    <a:schemeClr val="tx1"/>
                  </a:solidFill>
                  <a:effectLst/>
                  <a:latin typeface="+mn-lt"/>
                  <a:ea typeface="+mn-ea"/>
                  <a:cs typeface="+mn-cs"/>
                </a:rPr>
                <a:t>𝑖𝑛 =</a:t>
              </a:r>
              <a:r>
                <a:rPr lang="en-US" sz="1600" kern="1200">
                  <a:solidFill>
                    <a:schemeClr val="tx1"/>
                  </a:solidFill>
                  <a:effectLst/>
                  <a:latin typeface="+mn-lt"/>
                  <a:ea typeface="+mn-ea"/>
                  <a:cs typeface="+mn-cs"/>
                </a:rPr>
                <a:t> </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mn-lt"/>
                  <a:ea typeface="+mn-ea"/>
                  <a:cs typeface="+mn-cs"/>
                </a:rPr>
                <a:t>/√(1+(</a:t>
              </a:r>
              <a:r>
                <a:rPr lang="en-US" sz="1600" i="0" kern="1200">
                  <a:solidFill>
                    <a:schemeClr val="tx1"/>
                  </a:solidFill>
                  <a:effectLst/>
                  <a:latin typeface="+mn-lt"/>
                  <a:ea typeface="+mn-ea"/>
                  <a:cs typeface="+mn-cs"/>
                </a:rPr>
                <a:t>𝑓/𝑓_𝑐 )</a:t>
              </a:r>
              <a:r>
                <a:rPr lang="en-US" sz="1600" b="0" i="0" kern="1200">
                  <a:solidFill>
                    <a:schemeClr val="tx1"/>
                  </a:solidFill>
                  <a:effectLst/>
                  <a:latin typeface="+mn-lt"/>
                  <a:ea typeface="+mn-ea"/>
                  <a:cs typeface="+mn-cs"/>
                </a:rPr>
                <a:t>^2 )→〖𝐺𝑎𝑖𝑛〗_𝑑𝐵=20×𝑙𝑜𝑔(</a:t>
              </a:r>
              <a:r>
                <a:rPr lang="en-CA" sz="1600" b="0" i="0" kern="1200">
                  <a:solidFill>
                    <a:schemeClr val="tx1"/>
                  </a:solidFill>
                  <a:effectLst/>
                  <a:latin typeface="Cambria Math" panose="02040503050406030204" pitchFamily="18" charset="0"/>
                  <a:ea typeface="+mn-ea"/>
                  <a:cs typeface="+mn-cs"/>
                </a:rPr>
                <a:t>𝐴</a:t>
              </a:r>
              <a:r>
                <a:rPr lang="en-US" sz="1600" b="0" i="0" kern="1200">
                  <a:solidFill>
                    <a:schemeClr val="tx1"/>
                  </a:solidFill>
                  <a:effectLst/>
                  <a:latin typeface="Cambria Math" panose="02040503050406030204" pitchFamily="18" charset="0"/>
                  <a:ea typeface="+mn-ea"/>
                  <a:cs typeface="+mn-cs"/>
                </a:rPr>
                <a:t>_</a:t>
              </a:r>
              <a:r>
                <a:rPr lang="en-CA" sz="1600" b="0" i="0" kern="1200">
                  <a:solidFill>
                    <a:schemeClr val="tx1"/>
                  </a:solidFill>
                  <a:effectLst/>
                  <a:latin typeface="Cambria Math" panose="02040503050406030204" pitchFamily="18" charset="0"/>
                  <a:ea typeface="+mn-ea"/>
                  <a:cs typeface="+mn-cs"/>
                </a:rPr>
                <a:t>𝑣</a:t>
              </a:r>
              <a:r>
                <a:rPr lang="en-US" sz="1600" b="0" i="0" kern="1200">
                  <a:solidFill>
                    <a:schemeClr val="tx1"/>
                  </a:solidFill>
                  <a:effectLst/>
                  <a:latin typeface="+mn-lt"/>
                  <a:ea typeface="+mn-ea"/>
                  <a:cs typeface="+mn-cs"/>
                </a:rPr>
                <a:t>/√(</a:t>
              </a:r>
              <a:r>
                <a:rPr lang="en-US" sz="1600" i="0" kern="1200">
                  <a:solidFill>
                    <a:schemeClr val="tx1"/>
                  </a:solidFill>
                  <a:effectLst/>
                  <a:latin typeface="+mn-lt"/>
                  <a:ea typeface="+mn-ea"/>
                  <a:cs typeface="+mn-cs"/>
                </a:rPr>
                <a:t>1+(𝑓/𝑓_𝑐 )^2 ))</a:t>
              </a:r>
              <a:endParaRPr lang="en-US" sz="1600" b="0">
                <a:solidFill>
                  <a:schemeClr val="tx1"/>
                </a:solidFill>
              </a:endParaRPr>
            </a:p>
          </xdr:txBody>
        </xdr:sp>
      </mc:Fallback>
    </mc:AlternateContent>
    <xdr:clientData/>
  </xdr:twoCellAnchor>
  <xdr:twoCellAnchor>
    <xdr:from>
      <xdr:col>20</xdr:col>
      <xdr:colOff>277811</xdr:colOff>
      <xdr:row>12</xdr:row>
      <xdr:rowOff>39689</xdr:rowOff>
    </xdr:from>
    <xdr:to>
      <xdr:col>25</xdr:col>
      <xdr:colOff>218282</xdr:colOff>
      <xdr:row>19</xdr:row>
      <xdr:rowOff>54646</xdr:rowOff>
    </xdr:to>
    <mc:AlternateContent xmlns:mc="http://schemas.openxmlformats.org/markup-compatibility/2006" xmlns:a14="http://schemas.microsoft.com/office/drawing/2010/main">
      <mc:Choice Requires="a14">
        <xdr:sp macro="" textlink="">
          <xdr:nvSpPr>
            <xdr:cNvPr id="9" name="Content Placeholder 2">
              <a:extLst>
                <a:ext uri="{FF2B5EF4-FFF2-40B4-BE49-F238E27FC236}">
                  <a16:creationId xmlns:a16="http://schemas.microsoft.com/office/drawing/2014/main" id="{43888CCB-10AC-464B-9B2E-12FFB9A853AF}"/>
                </a:ext>
              </a:extLst>
            </xdr:cNvPr>
            <xdr:cNvSpPr txBox="1">
              <a:spLocks/>
            </xdr:cNvSpPr>
          </xdr:nvSpPr>
          <xdr:spPr>
            <a:xfrm>
              <a:off x="12709920" y="2807892"/>
              <a:ext cx="2966643" cy="135441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𝑜𝑢𝑡</m:t>
                      </m:r>
                    </m:sub>
                  </m:sSub>
                  <m:r>
                    <a:rPr lang="en-US" sz="1800" b="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d>
                    <m:dPr>
                      <m:ctrlPr>
                        <a:rPr lang="en-US" sz="1800" b="0" i="1" kern="1200">
                          <a:solidFill>
                            <a:schemeClr val="tx1"/>
                          </a:solidFill>
                          <a:effectLst/>
                          <a:latin typeface="Cambria Math" panose="02040503050406030204" pitchFamily="18" charset="0"/>
                          <a:ea typeface="+mn-ea"/>
                          <a:cs typeface="+mn-cs"/>
                        </a:rPr>
                      </m:ctrlPr>
                    </m:dPr>
                    <m:e>
                      <m:r>
                        <a:rPr lang="en-CA"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𝑏</m:t>
                              </m:r>
                            </m:sub>
                          </m:sSub>
                        </m:den>
                      </m:f>
                    </m:e>
                  </m:d>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e>
                            <m:sup>
                              <m:r>
                                <a:rPr lang="en-US" sz="1800" b="0" i="1" kern="1200">
                                  <a:solidFill>
                                    <a:schemeClr val="tx1"/>
                                  </a:solidFill>
                                  <a:effectLst/>
                                  <a:latin typeface="Cambria Math" panose="02040503050406030204" pitchFamily="18" charset="0"/>
                                  <a:ea typeface="+mn-ea"/>
                                  <a:cs typeface="+mn-cs"/>
                                </a:rPr>
                                <m:t>2</m:t>
                              </m:r>
                            </m:sup>
                          </m:sSup>
                          <m:r>
                            <a:rPr lang="en-US" sz="1800" b="0" i="1" kern="1200">
                              <a:solidFill>
                                <a:schemeClr val="tx1"/>
                              </a:solidFill>
                              <a:effectLst/>
                              <a:latin typeface="Cambria Math" panose="02040503050406030204" pitchFamily="18" charset="0"/>
                              <a:ea typeface="+mn-ea"/>
                              <a:cs typeface="+mn-cs"/>
                            </a:rPr>
                            <m:t>+</m:t>
                          </m:r>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e>
                            <m:sup>
                              <m:r>
                                <a:rPr lang="en-US" sz="1800" b="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mlns="">
        <xdr:sp macro="" textlink="">
          <xdr:nvSpPr>
            <xdr:cNvPr id="9" name="Content Placeholder 2">
              <a:extLst>
                <a:ext uri="{FF2B5EF4-FFF2-40B4-BE49-F238E27FC236}">
                  <a16:creationId xmlns:a16="http://schemas.microsoft.com/office/drawing/2014/main" id="{43888CCB-10AC-464B-9B2E-12FFB9A853AF}"/>
                </a:ext>
              </a:extLst>
            </xdr:cNvPr>
            <xdr:cNvSpPr txBox="1">
              <a:spLocks/>
            </xdr:cNvSpPr>
          </xdr:nvSpPr>
          <xdr:spPr>
            <a:xfrm>
              <a:off x="12709920" y="2807892"/>
              <a:ext cx="2966643" cy="135441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b="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CA" sz="1800" b="0" i="0" kern="1200">
                  <a:solidFill>
                    <a:schemeClr val="tx1"/>
                  </a:solidFill>
                  <a:effectLst/>
                  <a:latin typeface="Cambria Math" panose="02040503050406030204" pitchFamily="18" charset="0"/>
                  <a:ea typeface="+mn-ea"/>
                  <a:cs typeface="+mn-cs"/>
                </a:rPr>
                <a:t>1+𝑅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𝐹</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𝑏 )</a:t>
              </a:r>
              <a:r>
                <a:rPr lang="en-US" sz="1800" b="0" i="0" kern="1200">
                  <a:solidFill>
                    <a:schemeClr val="tx1"/>
                  </a:solidFill>
                  <a:effectLst/>
                  <a:latin typeface="Cambria Math" panose="02040503050406030204" pitchFamily="18" charset="0"/>
                  <a:ea typeface="+mn-ea"/>
                  <a:cs typeface="+mn-cs"/>
                </a:rPr>
                <a:t>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𝑋_𝑐/√(〖𝑅_1〗^2+〖𝑋_𝑐〗^2 )</a:t>
              </a:r>
              <a:endParaRPr lang="en-US" sz="1400" b="0">
                <a:solidFill>
                  <a:schemeClr val="tx1"/>
                </a:solidFill>
              </a:endParaRPr>
            </a:p>
          </xdr:txBody>
        </xdr:sp>
      </mc:Fallback>
    </mc:AlternateContent>
    <xdr:clientData/>
  </xdr:twoCellAnchor>
</xdr:wsDr>
</file>

<file path=xl/drawings/drawing19.xml><?xml version="1.0" encoding="utf-8"?>
<xdr:wsDr xmlns:xdr="http://schemas.openxmlformats.org/drawingml/2006/spreadsheetDrawing" xmlns:a="http://schemas.openxmlformats.org/drawingml/2006/main">
  <xdr:twoCellAnchor>
    <xdr:from>
      <xdr:col>6</xdr:col>
      <xdr:colOff>293690</xdr:colOff>
      <xdr:row>15</xdr:row>
      <xdr:rowOff>86916</xdr:rowOff>
    </xdr:from>
    <xdr:to>
      <xdr:col>13</xdr:col>
      <xdr:colOff>23816</xdr:colOff>
      <xdr:row>30</xdr:row>
      <xdr:rowOff>12305</xdr:rowOff>
    </xdr:to>
    <xdr:graphicFrame macro="">
      <xdr:nvGraphicFramePr>
        <xdr:cNvPr id="2" name="Chart 1">
          <a:extLst>
            <a:ext uri="{FF2B5EF4-FFF2-40B4-BE49-F238E27FC236}">
              <a16:creationId xmlns:a16="http://schemas.microsoft.com/office/drawing/2014/main" id="{F40BE287-CE1F-46CE-8D11-B7F6FCC52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45</xdr:row>
      <xdr:rowOff>136524</xdr:rowOff>
    </xdr:from>
    <xdr:to>
      <xdr:col>14</xdr:col>
      <xdr:colOff>460375</xdr:colOff>
      <xdr:row>60</xdr:row>
      <xdr:rowOff>51989</xdr:rowOff>
    </xdr:to>
    <xdr:graphicFrame macro="">
      <xdr:nvGraphicFramePr>
        <xdr:cNvPr id="5" name="Chart 4">
          <a:extLst>
            <a:ext uri="{FF2B5EF4-FFF2-40B4-BE49-F238E27FC236}">
              <a16:creationId xmlns:a16="http://schemas.microsoft.com/office/drawing/2014/main" id="{8FCF3299-4B74-4D28-A7A3-3F25BA8F7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188516</xdr:colOff>
      <xdr:row>1</xdr:row>
      <xdr:rowOff>138907</xdr:rowOff>
    </xdr:from>
    <xdr:to>
      <xdr:col>17</xdr:col>
      <xdr:colOff>459083</xdr:colOff>
      <xdr:row>11</xdr:row>
      <xdr:rowOff>172112</xdr:rowOff>
    </xdr:to>
    <xdr:pic>
      <xdr:nvPicPr>
        <xdr:cNvPr id="6" name="Picture 5">
          <a:extLst>
            <a:ext uri="{FF2B5EF4-FFF2-40B4-BE49-F238E27FC236}">
              <a16:creationId xmlns:a16="http://schemas.microsoft.com/office/drawing/2014/main" id="{0F391373-4D33-4F9B-9F40-7C20F4762E2D}"/>
            </a:ext>
          </a:extLst>
        </xdr:cNvPr>
        <xdr:cNvPicPr/>
      </xdr:nvPicPr>
      <xdr:blipFill>
        <a:blip xmlns:r="http://schemas.openxmlformats.org/officeDocument/2006/relationships" r:embed="rId3" cstate="hqprint">
          <a:extLst>
            <a:ext uri="{28A0092B-C50C-407E-A947-70E740481C1C}">
              <a14:useLocalDpi xmlns:a14="http://schemas.microsoft.com/office/drawing/2010/main" val="0"/>
            </a:ext>
          </a:extLst>
        </a:blip>
        <a:stretch>
          <a:fillRect/>
        </a:stretch>
      </xdr:blipFill>
      <xdr:spPr>
        <a:xfrm>
          <a:off x="7173516" y="734220"/>
          <a:ext cx="3296739" cy="1997736"/>
        </a:xfrm>
        <a:prstGeom prst="rect">
          <a:avLst/>
        </a:prstGeom>
      </xdr:spPr>
    </xdr:pic>
    <xdr:clientData/>
  </xdr:twoCellAnchor>
  <xdr:twoCellAnchor>
    <xdr:from>
      <xdr:col>20</xdr:col>
      <xdr:colOff>555624</xdr:colOff>
      <xdr:row>12</xdr:row>
      <xdr:rowOff>109140</xdr:rowOff>
    </xdr:from>
    <xdr:to>
      <xdr:col>25</xdr:col>
      <xdr:colOff>287735</xdr:colOff>
      <xdr:row>25</xdr:row>
      <xdr:rowOff>39688</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1732D256-CCBA-42F4-A460-15AE20280242}"/>
                </a:ext>
              </a:extLst>
            </xdr:cNvPr>
            <xdr:cNvSpPr txBox="1">
              <a:spLocks/>
            </xdr:cNvSpPr>
          </xdr:nvSpPr>
          <xdr:spPr>
            <a:xfrm>
              <a:off x="12987733" y="2867421"/>
              <a:ext cx="2758283" cy="238125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kern="1200">
                  <a:solidFill>
                    <a:schemeClr val="tx1"/>
                  </a:solidFill>
                  <a:effectLst/>
                  <a:latin typeface="+mn-lt"/>
                  <a:ea typeface="+mn-ea"/>
                  <a:cs typeface="+mn-cs"/>
                </a:rPr>
                <a:t>Cutoff Frequency: </a:t>
              </a:r>
              <a14:m>
                <m:oMath xmlns:m="http://schemas.openxmlformats.org/officeDocument/2006/math">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r>
                    <a:rPr lang="en-US" sz="1600" i="1" kern="1200">
                      <a:solidFill>
                        <a:schemeClr val="tx1"/>
                      </a:solidFill>
                      <a:effectLst/>
                      <a:latin typeface="Cambria Math" panose="02040503050406030204" pitchFamily="18" charset="0"/>
                      <a:ea typeface="+mn-ea"/>
                      <a:cs typeface="+mn-cs"/>
                    </a:rPr>
                    <m:t>=</m:t>
                  </m:r>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
                        <a:rPr lang="en-US" sz="1600" i="1" kern="1200">
                          <a:solidFill>
                            <a:schemeClr val="tx1"/>
                          </a:solidFill>
                          <a:effectLst/>
                          <a:latin typeface="Cambria Math" panose="02040503050406030204" pitchFamily="18" charset="0"/>
                          <a:ea typeface="+mn-ea"/>
                          <a:cs typeface="+mn-cs"/>
                        </a:rPr>
                        <m:t>2</m:t>
                      </m:r>
                      <m:r>
                        <a:rPr lang="en-US" sz="1600" i="1" kern="1200">
                          <a:solidFill>
                            <a:schemeClr val="tx1"/>
                          </a:solidFill>
                          <a:effectLst/>
                          <a:latin typeface="Cambria Math" panose="02040503050406030204" pitchFamily="18" charset="0"/>
                          <a:ea typeface="+mn-ea"/>
                          <a:cs typeface="+mn-cs"/>
                        </a:rPr>
                        <m:t>𝜋</m:t>
                      </m:r>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𝑅</m:t>
                          </m:r>
                        </m:e>
                        <m:sub>
                          <m:r>
                            <a:rPr lang="en-US" sz="1600" i="1" kern="1200">
                              <a:solidFill>
                                <a:schemeClr val="tx1"/>
                              </a:solidFill>
                              <a:effectLst/>
                              <a:latin typeface="Cambria Math" panose="02040503050406030204" pitchFamily="18" charset="0"/>
                              <a:ea typeface="+mn-ea"/>
                              <a:cs typeface="+mn-cs"/>
                            </a:rPr>
                            <m:t>𝐹</m:t>
                          </m:r>
                        </m:sub>
                      </m:sSub>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𝐶</m:t>
                          </m:r>
                        </m:e>
                        <m:sub>
                          <m:r>
                            <a:rPr lang="en-US" sz="1600" i="1" kern="1200">
                              <a:solidFill>
                                <a:schemeClr val="tx1"/>
                              </a:solidFill>
                              <a:effectLst/>
                              <a:latin typeface="Cambria Math" panose="02040503050406030204" pitchFamily="18" charset="0"/>
                              <a:ea typeface="+mn-ea"/>
                              <a:cs typeface="+mn-cs"/>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𝐴</m:t>
                        </m:r>
                      </m:e>
                      <m:sub>
                        <m:r>
                          <a:rPr lang="en-US" sz="1100" i="1" kern="1200">
                            <a:solidFill>
                              <a:schemeClr val="tx1"/>
                            </a:solidFill>
                            <a:effectLst/>
                            <a:latin typeface="Cambria Math" panose="02040503050406030204" pitchFamily="18" charset="0"/>
                            <a:ea typeface="+mn-ea"/>
                            <a:cs typeface="+mn-cs"/>
                          </a:rPr>
                          <m:t>𝑣</m:t>
                        </m:r>
                      </m:sub>
                    </m:sSub>
                    <m:r>
                      <a:rPr lang="en-US" sz="1100" i="0" kern="1200">
                        <a:solidFill>
                          <a:schemeClr val="tx1"/>
                        </a:solidFill>
                        <a:effectLst/>
                        <a:latin typeface="Cambria Math" panose="02040503050406030204" pitchFamily="18" charset="0"/>
                        <a:ea typeface="+mn-ea"/>
                        <a:cs typeface="+mn-cs"/>
                      </a:rPr>
                      <m:t>=</m:t>
                    </m:r>
                    <m:f>
                      <m:fPr>
                        <m:ctrlPr>
                          <a:rPr lang="en-US" sz="1100" i="1" kern="1200">
                            <a:solidFill>
                              <a:schemeClr val="tx1"/>
                            </a:solidFill>
                            <a:effectLst/>
                            <a:latin typeface="Cambria Math" panose="02040503050406030204" pitchFamily="18" charset="0"/>
                            <a:ea typeface="+mn-ea"/>
                            <a:cs typeface="+mn-cs"/>
                          </a:rPr>
                        </m:ctrlPr>
                      </m:fPr>
                      <m:num>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𝑉</m:t>
                            </m:r>
                          </m:e>
                          <m:sub>
                            <m:r>
                              <a:rPr lang="en-US" sz="1100" i="1" kern="1200">
                                <a:solidFill>
                                  <a:schemeClr val="tx1"/>
                                </a:solidFill>
                                <a:effectLst/>
                                <a:latin typeface="Cambria Math" panose="02040503050406030204" pitchFamily="18" charset="0"/>
                                <a:ea typeface="+mn-ea"/>
                                <a:cs typeface="+mn-cs"/>
                              </a:rPr>
                              <m:t>𝑜𝑢𝑡</m:t>
                            </m:r>
                          </m:sub>
                        </m:sSub>
                      </m:num>
                      <m:den>
                        <m:sSub>
                          <m:sSubPr>
                            <m:ctrlPr>
                              <a:rPr lang="en-US" sz="1100" i="1" kern="1200">
                                <a:solidFill>
                                  <a:schemeClr val="tx1"/>
                                </a:solidFill>
                                <a:effectLst/>
                                <a:latin typeface="Cambria Math" panose="02040503050406030204" pitchFamily="18" charset="0"/>
                                <a:ea typeface="+mn-ea"/>
                                <a:cs typeface="+mn-cs"/>
                              </a:rPr>
                            </m:ctrlPr>
                          </m:sSubPr>
                          <m:e>
                            <m:r>
                              <a:rPr lang="en-US" sz="1100" i="1" kern="1200">
                                <a:solidFill>
                                  <a:schemeClr val="tx1"/>
                                </a:solidFill>
                                <a:effectLst/>
                                <a:latin typeface="Cambria Math" panose="02040503050406030204" pitchFamily="18" charset="0"/>
                                <a:ea typeface="+mn-ea"/>
                                <a:cs typeface="+mn-cs"/>
                              </a:rPr>
                              <m:t>𝑉</m:t>
                            </m:r>
                          </m:e>
                          <m:sub>
                            <m:r>
                              <a:rPr lang="en-US" sz="1100" i="1" kern="1200">
                                <a:solidFill>
                                  <a:schemeClr val="tx1"/>
                                </a:solidFill>
                                <a:effectLst/>
                                <a:latin typeface="Cambria Math" panose="02040503050406030204" pitchFamily="18" charset="0"/>
                                <a:ea typeface="+mn-ea"/>
                                <a:cs typeface="+mn-cs"/>
                              </a:rPr>
                              <m:t>𝑖𝑛</m:t>
                            </m:r>
                          </m:sub>
                        </m:sSub>
                      </m:den>
                    </m:f>
                    <m:r>
                      <a:rPr lang="en-US" sz="11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1</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oMath>
                </m:oMathPara>
              </a14:m>
              <a:endParaRPr lang="en-CA" sz="1800">
                <a:effectLst/>
              </a:endParaRPr>
            </a:p>
            <a:p>
              <a:endParaRPr lang="en-CA" sz="1800">
                <a:effectLst/>
              </a:endParaRPr>
            </a:p>
            <a:p>
              <a:endParaRPr lang="en-US" sz="1600"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1732D256-CCBA-42F4-A460-15AE20280242}"/>
                </a:ext>
              </a:extLst>
            </xdr:cNvPr>
            <xdr:cNvSpPr txBox="1">
              <a:spLocks/>
            </xdr:cNvSpPr>
          </xdr:nvSpPr>
          <xdr:spPr>
            <a:xfrm>
              <a:off x="12987733" y="2867421"/>
              <a:ext cx="2758283" cy="238125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kern="1200">
                  <a:solidFill>
                    <a:schemeClr val="tx1"/>
                  </a:solidFill>
                  <a:effectLst/>
                  <a:latin typeface="+mn-lt"/>
                  <a:ea typeface="+mn-ea"/>
                  <a:cs typeface="+mn-cs"/>
                </a:rPr>
                <a:t>Cutoff Frequency: </a:t>
              </a:r>
              <a:r>
                <a:rPr lang="en-US" sz="1600" i="0" kern="1200">
                  <a:solidFill>
                    <a:schemeClr val="tx1"/>
                  </a:solidFill>
                  <a:effectLst/>
                  <a:latin typeface="+mn-lt"/>
                  <a:ea typeface="+mn-ea"/>
                  <a:cs typeface="+mn-cs"/>
                </a:rPr>
                <a:t>𝑓_𝑐=1/(2𝜋𝑅_𝐹 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a:t>
              </a:r>
              <a:r>
                <a:rPr lang="en-US" sz="1800" i="0" kern="1200">
                  <a:solidFill>
                    <a:schemeClr val="tx1"/>
                  </a:solidFill>
                  <a:effectLst/>
                  <a:latin typeface="Cambria Math" panose="02040503050406030204" pitchFamily="18" charset="0"/>
                  <a:ea typeface="+mn-ea"/>
                  <a:cs typeface="+mn-cs"/>
                </a:rPr>
                <a:t>𝑉_𝑖𝑛</a:t>
              </a:r>
              <a:r>
                <a:rPr lang="en-US" sz="1400" i="0" kern="1200">
                  <a:solidFill>
                    <a:schemeClr val="tx1"/>
                  </a:solidFill>
                  <a:effectLst/>
                  <a:latin typeface="Cambria Math" panose="02040503050406030204" pitchFamily="18" charset="0"/>
                  <a:ea typeface="+mn-ea"/>
                  <a:cs typeface="+mn-cs"/>
                </a:rPr>
                <a:t> (</a:t>
              </a:r>
              <a:r>
                <a:rPr lang="en-CA" sz="1400" b="0" i="0" kern="1200">
                  <a:solidFill>
                    <a:schemeClr val="tx1"/>
                  </a:solidFill>
                  <a:effectLst/>
                  <a:latin typeface="Cambria Math" panose="02040503050406030204" pitchFamily="18" charset="0"/>
                  <a:ea typeface="+mn-ea"/>
                  <a:cs typeface="+mn-cs"/>
                </a:rPr>
                <a:t>1+</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100" i="0" kern="1200">
                  <a:solidFill>
                    <a:schemeClr val="tx1"/>
                  </a:solidFill>
                  <a:effectLst/>
                  <a:latin typeface="Cambria Math" panose="02040503050406030204" pitchFamily="18" charset="0"/>
                  <a:ea typeface="+mn-ea"/>
                  <a:cs typeface="+mn-cs"/>
                </a:rPr>
                <a:t>𝐴_𝑣=𝑉_𝑜𝑢𝑡/𝑉_𝑖𝑛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1+</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𝑅_𝐹</a:t>
              </a:r>
              <a:r>
                <a:rPr lang="en-CA" sz="1400" b="0" i="0" kern="1200">
                  <a:solidFill>
                    <a:schemeClr val="tx1"/>
                  </a:solidFill>
                  <a:effectLst/>
                  <a:latin typeface="Cambria Math" panose="02040503050406030204" pitchFamily="18" charset="0"/>
                  <a:ea typeface="+mn-ea"/>
                  <a:cs typeface="+mn-cs"/>
                </a:rPr>
                <a:t> ||𝑋_𝑐</a:t>
              </a:r>
              <a:r>
                <a:rPr lang="en-US"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𝑅_1 )</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a:t>
              </a:r>
              <a:endParaRPr lang="en-CA" sz="1800">
                <a:effectLst/>
              </a:endParaRPr>
            </a:p>
            <a:p>
              <a:endParaRPr lang="en-CA" sz="1800">
                <a:effectLst/>
              </a:endParaRPr>
            </a:p>
            <a:p>
              <a:endParaRPr lang="en-US" sz="1600" b="0">
                <a:solidFill>
                  <a:schemeClr val="tx1"/>
                </a:solidFill>
              </a:endParaRPr>
            </a:p>
          </xdr:txBody>
        </xdr:sp>
      </mc:Fallback>
    </mc:AlternateContent>
    <xdr:clientData/>
  </xdr:twoCellAnchor>
  <xdr:twoCellAnchor editAs="oneCell">
    <xdr:from>
      <xdr:col>25</xdr:col>
      <xdr:colOff>357187</xdr:colOff>
      <xdr:row>4</xdr:row>
      <xdr:rowOff>134793</xdr:rowOff>
    </xdr:from>
    <xdr:to>
      <xdr:col>34</xdr:col>
      <xdr:colOff>121322</xdr:colOff>
      <xdr:row>26</xdr:row>
      <xdr:rowOff>29766</xdr:rowOff>
    </xdr:to>
    <xdr:pic>
      <xdr:nvPicPr>
        <xdr:cNvPr id="4" name="Picture 3">
          <a:extLst>
            <a:ext uri="{FF2B5EF4-FFF2-40B4-BE49-F238E27FC236}">
              <a16:creationId xmlns:a16="http://schemas.microsoft.com/office/drawing/2014/main" id="{1C92F000-BF84-BDC1-880E-7E2829A1FB85}"/>
            </a:ext>
          </a:extLst>
        </xdr:cNvPr>
        <xdr:cNvPicPr>
          <a:picLocks noChangeAspect="1"/>
        </xdr:cNvPicPr>
      </xdr:nvPicPr>
      <xdr:blipFill>
        <a:blip xmlns:r="http://schemas.openxmlformats.org/officeDocument/2006/relationships" r:embed="rId4"/>
        <a:stretch>
          <a:fillRect/>
        </a:stretch>
      </xdr:blipFill>
      <xdr:spPr>
        <a:xfrm>
          <a:off x="15815468" y="1325418"/>
          <a:ext cx="5211245" cy="4101848"/>
        </a:xfrm>
        <a:prstGeom prst="rect">
          <a:avLst/>
        </a:prstGeom>
      </xdr:spPr>
    </xdr:pic>
    <xdr:clientData/>
  </xdr:twoCellAnchor>
  <xdr:twoCellAnchor>
    <xdr:from>
      <xdr:col>13</xdr:col>
      <xdr:colOff>228204</xdr:colOff>
      <xdr:row>12</xdr:row>
      <xdr:rowOff>109141</xdr:rowOff>
    </xdr:from>
    <xdr:to>
      <xdr:col>20</xdr:col>
      <xdr:colOff>496095</xdr:colOff>
      <xdr:row>25</xdr:row>
      <xdr:rowOff>128985</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FFFA1F9A-40F4-4B1F-AE3B-EA7FFF3F13BD}"/>
                </a:ext>
              </a:extLst>
            </xdr:cNvPr>
            <xdr:cNvSpPr txBox="1">
              <a:spLocks/>
            </xdr:cNvSpPr>
          </xdr:nvSpPr>
          <xdr:spPr>
            <a:xfrm>
              <a:off x="8423673" y="2867422"/>
              <a:ext cx="4504531" cy="248046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CA" sz="1400" b="1" i="1">
                      <a:solidFill>
                        <a:schemeClr val="tx1"/>
                      </a:solidFill>
                      <a:latin typeface="Cambria Math" panose="02040503050406030204" pitchFamily="18" charset="0"/>
                    </a:rPr>
                    <m:t>𝟏</m:t>
                  </m:r>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CA" sz="1400" b="1" i="1">
                          <a:solidFill>
                            <a:schemeClr val="tx1"/>
                          </a:solidFill>
                          <a:latin typeface="Cambria Math" panose="02040503050406030204" pitchFamily="18" charset="0"/>
                        </a:rPr>
                        <m:t>𝑭</m:t>
                      </m:r>
                    </m:sub>
                  </m:sSub>
                  <m:r>
                    <a:rPr lang="en-CA" sz="1400" b="1" i="1">
                      <a:solidFill>
                        <a:schemeClr val="tx1"/>
                      </a:solidFill>
                      <a:latin typeface="Cambria Math" panose="02040503050406030204" pitchFamily="18" charset="0"/>
                    </a:rPr>
                    <m:t>/</m:t>
                  </m:r>
                  <m:sSub>
                    <m:sSubPr>
                      <m:ctrlPr>
                        <a:rPr lang="en-CA" sz="1400" b="1" i="1">
                          <a:solidFill>
                            <a:schemeClr val="tx1"/>
                          </a:solidFill>
                          <a:latin typeface="Cambria Math" panose="02040503050406030204" pitchFamily="18" charset="0"/>
                        </a:rPr>
                      </m:ctrlPr>
                    </m:sSubPr>
                    <m:e>
                      <m:r>
                        <a:rPr lang="en-CA" sz="1400" b="1"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𝟏</m:t>
                      </m:r>
                    </m:sub>
                  </m:sSub>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𝐹</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r>
                    <a:rPr lang="en-US" sz="1600" b="0" i="0"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𝑅</m:t>
                          </m:r>
                        </m:e>
                        <m:sub>
                          <m:r>
                            <a:rPr lang="en-US" sz="1600" b="0" i="1" kern="1200">
                              <a:solidFill>
                                <a:schemeClr val="tx1"/>
                              </a:solidFill>
                              <a:effectLst/>
                              <a:latin typeface="Cambria Math" panose="02040503050406030204" pitchFamily="18" charset="0"/>
                              <a:ea typeface="+mn-ea"/>
                              <a:cs typeface="+mn-cs"/>
                            </a:rPr>
                            <m:t>𝐹</m:t>
                          </m:r>
                        </m:sub>
                      </m:sSub>
                    </m:num>
                    <m:den>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𝑅</m:t>
                          </m:r>
                        </m:e>
                        <m:sub>
                          <m:r>
                            <a:rPr lang="en-US" sz="1600" b="0" i="1" kern="1200">
                              <a:solidFill>
                                <a:schemeClr val="tx1"/>
                              </a:solidFill>
                              <a:effectLst/>
                              <a:latin typeface="Cambria Math" panose="02040503050406030204" pitchFamily="18" charset="0"/>
                              <a:ea typeface="+mn-ea"/>
                              <a:cs typeface="+mn-cs"/>
                            </a:rPr>
                            <m:t>1</m:t>
                          </m:r>
                        </m:sub>
                      </m:sSub>
                    </m:den>
                  </m:f>
                  <m:d>
                    <m:dPr>
                      <m:ctrlPr>
                        <a:rPr lang="en-US" sz="1600" b="0" i="1" kern="1200">
                          <a:solidFill>
                            <a:schemeClr val="tx1"/>
                          </a:solidFill>
                          <a:effectLst/>
                          <a:latin typeface="Cambria Math" panose="02040503050406030204" pitchFamily="18" charset="0"/>
                          <a:ea typeface="+mn-ea"/>
                          <a:cs typeface="+mn-cs"/>
                        </a:rPr>
                      </m:ctrlPr>
                    </m:dPr>
                    <m:e>
                      <m:f>
                        <m:fPr>
                          <m:ctrlPr>
                            <a:rPr lang="en-US" sz="1600" b="0" i="1" kern="1200">
                              <a:solidFill>
                                <a:schemeClr val="tx1"/>
                              </a:solidFill>
                              <a:effectLst/>
                              <a:latin typeface="Cambria Math" panose="02040503050406030204" pitchFamily="18" charset="0"/>
                              <a:ea typeface="+mn-ea"/>
                              <a:cs typeface="+mn-cs"/>
                            </a:rPr>
                          </m:ctrlPr>
                        </m:fPr>
                        <m:num>
                          <m:r>
                            <a:rPr lang="en-US" sz="1600" b="0" i="1" kern="1200">
                              <a:solidFill>
                                <a:schemeClr val="tx1"/>
                              </a:solidFill>
                              <a:effectLst/>
                              <a:latin typeface="Cambria Math" panose="02040503050406030204" pitchFamily="18" charset="0"/>
                              <a:ea typeface="+mn-ea"/>
                              <a:cs typeface="+mn-cs"/>
                            </a:rPr>
                            <m:t>1</m:t>
                          </m:r>
                        </m:num>
                        <m:den>
                          <m:r>
                            <a:rPr lang="en-US" sz="1600" b="0" i="1" kern="1200">
                              <a:solidFill>
                                <a:schemeClr val="tx1"/>
                              </a:solidFill>
                              <a:effectLst/>
                              <a:latin typeface="Cambria Math" panose="02040503050406030204" pitchFamily="18" charset="0"/>
                              <a:ea typeface="+mn-ea"/>
                              <a:cs typeface="+mn-cs"/>
                            </a:rPr>
                            <m:t>1+</m:t>
                          </m:r>
                          <m:f>
                            <m:fPr>
                              <m:ctrlPr>
                                <a:rPr lang="en-US" sz="1600" b="0" i="1" kern="1200">
                                  <a:solidFill>
                                    <a:schemeClr val="tx1"/>
                                  </a:solidFill>
                                  <a:effectLst/>
                                  <a:latin typeface="Cambria Math" panose="02040503050406030204" pitchFamily="18" charset="0"/>
                                  <a:ea typeface="+mn-ea"/>
                                  <a:cs typeface="+mn-cs"/>
                                </a:rPr>
                              </m:ctrlPr>
                            </m:fPr>
                            <m:num>
                              <m:r>
                                <a:rPr lang="en-US" sz="1600" b="0" i="1" kern="1200">
                                  <a:solidFill>
                                    <a:schemeClr val="tx1"/>
                                  </a:solidFill>
                                  <a:effectLst/>
                                  <a:latin typeface="Cambria Math" panose="02040503050406030204" pitchFamily="18" charset="0"/>
                                  <a:ea typeface="+mn-ea"/>
                                  <a:cs typeface="+mn-cs"/>
                                </a:rPr>
                                <m:t>𝑓</m:t>
                              </m:r>
                            </m:num>
                            <m:den>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𝑓</m:t>
                                  </m:r>
                                </m:e>
                                <m:sub>
                                  <m:r>
                                    <a:rPr lang="en-US" sz="1600" b="0" i="1" kern="1200">
                                      <a:solidFill>
                                        <a:schemeClr val="tx1"/>
                                      </a:solidFill>
                                      <a:effectLst/>
                                      <a:latin typeface="Cambria Math" panose="02040503050406030204" pitchFamily="18" charset="0"/>
                                      <a:ea typeface="+mn-ea"/>
                                      <a:cs typeface="+mn-cs"/>
                                    </a:rPr>
                                    <m:t>𝑐</m:t>
                                  </m:r>
                                </m:sub>
                              </m:sSub>
                            </m:den>
                          </m:f>
                        </m:den>
                      </m:f>
                    </m:e>
                  </m:d>
                </m:oMath>
              </a14:m>
              <a:endParaRPr lang="en-US" sz="1600" b="0" i="1" kern="1200">
                <a:solidFill>
                  <a:schemeClr val="tx1"/>
                </a:solidFill>
                <a:effectLst/>
                <a:latin typeface="Cambria Math" panose="02040503050406030204" pitchFamily="18" charset="0"/>
                <a:ea typeface="+mn-ea"/>
                <a:cs typeface="+mn-cs"/>
              </a:endParaRPr>
            </a:p>
            <a:p>
              <a:r>
                <a:rPr lang="en-US" sz="1600" b="0" kern="1200">
                  <a:solidFill>
                    <a:schemeClr val="tx1"/>
                  </a:solidFill>
                  <a:effectLst/>
                  <a:ea typeface="+mn-ea"/>
                  <a:cs typeface="+mn-cs"/>
                </a:rPr>
                <a:t>	</a:t>
              </a:r>
              <a14:m>
                <m:oMath xmlns:m="http://schemas.openxmlformats.org/officeDocument/2006/math">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r>
                        <a:rPr lang="en-US" sz="1800" b="0" i="0"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den>
                      </m:f>
                      <m:d>
                        <m:dPr>
                          <m:ctrlPr>
                            <a:rPr lang="en-US" sz="1800" b="0" i="1" kern="1200">
                              <a:solidFill>
                                <a:schemeClr val="tx1"/>
                              </a:solidFill>
                              <a:effectLst/>
                              <a:latin typeface="Cambria Math" panose="02040503050406030204" pitchFamily="18" charset="0"/>
                              <a:ea typeface="+mn-ea"/>
                              <a:cs typeface="+mn-cs"/>
                            </a:rPr>
                          </m:ctrlPr>
                        </m:dPr>
                        <m:e>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1</m:t>
                              </m:r>
                            </m:num>
                            <m:den>
                              <m:r>
                                <a:rPr lang="en-US"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𝑓</m:t>
                                  </m:r>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𝑓</m:t>
                                      </m:r>
                                    </m:e>
                                    <m:sub>
                                      <m:r>
                                        <a:rPr lang="en-US" sz="1800" b="0" i="1" kern="1200">
                                          <a:solidFill>
                                            <a:schemeClr val="tx1"/>
                                          </a:solidFill>
                                          <a:effectLst/>
                                          <a:latin typeface="Cambria Math" panose="02040503050406030204" pitchFamily="18" charset="0"/>
                                          <a:ea typeface="+mn-ea"/>
                                          <a:cs typeface="+mn-cs"/>
                                        </a:rPr>
                                        <m:t>𝑐</m:t>
                                      </m:r>
                                    </m:sub>
                                  </m:sSub>
                                </m:den>
                              </m:f>
                            </m:den>
                          </m:f>
                        </m:e>
                      </m:d>
                    </m:e>
                  </m:d>
                </m:oMath>
              </a14:m>
              <a:endParaRPr lang="en-US" sz="1600" b="0">
                <a:solidFill>
                  <a:schemeClr val="tx1"/>
                </a:solidFill>
              </a:endParaRPr>
            </a:p>
          </xdr:txBody>
        </xdr:sp>
      </mc:Choice>
      <mc:Fallback xmlns="">
        <xdr:sp macro="" textlink="">
          <xdr:nvSpPr>
            <xdr:cNvPr id="7" name="Content Placeholder 2">
              <a:extLst>
                <a:ext uri="{FF2B5EF4-FFF2-40B4-BE49-F238E27FC236}">
                  <a16:creationId xmlns:a16="http://schemas.microsoft.com/office/drawing/2014/main" id="{FFFA1F9A-40F4-4B1F-AE3B-EA7FFF3F13BD}"/>
                </a:ext>
              </a:extLst>
            </xdr:cNvPr>
            <xdr:cNvSpPr txBox="1">
              <a:spLocks/>
            </xdr:cNvSpPr>
          </xdr:nvSpPr>
          <xdr:spPr>
            <a:xfrm>
              <a:off x="8423673" y="2867422"/>
              <a:ext cx="4504531" cy="248046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CA" sz="1400" b="1" i="0">
                  <a:solidFill>
                    <a:schemeClr val="tx1"/>
                  </a:solidFill>
                  <a:latin typeface="Cambria Math" panose="02040503050406030204" pitchFamily="18" charset="0"/>
                </a:rPr>
                <a:t>𝟏+𝑹_𝑭/𝑹_</a:t>
              </a:r>
              <a:r>
                <a:rPr lang="en-US" sz="1400" b="1" i="0">
                  <a:solidFill>
                    <a:schemeClr val="tx1"/>
                  </a:solidFill>
                  <a:latin typeface="Cambria Math" panose="02040503050406030204" pitchFamily="18" charset="0"/>
                </a:rPr>
                <a:t>𝟏</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𝐹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Cambria Math" panose="02040503050406030204" pitchFamily="18" charset="0"/>
                  <a:ea typeface="+mn-ea"/>
                  <a:cs typeface="+mn-cs"/>
                </a:rPr>
                <a:t>𝑉_𝑜𝑢𝑡/𝑉_</a:t>
              </a:r>
              <a:r>
                <a:rPr lang="en-US" sz="1600" b="0" i="0" kern="1200">
                  <a:solidFill>
                    <a:schemeClr val="tx1"/>
                  </a:solidFill>
                  <a:effectLst/>
                  <a:latin typeface="Cambria Math" panose="02040503050406030204" pitchFamily="18" charset="0"/>
                  <a:ea typeface="+mn-ea"/>
                  <a:cs typeface="+mn-cs"/>
                </a:rPr>
                <a:t>𝑖𝑛 =</a:t>
              </a:r>
              <a:r>
                <a:rPr lang="en-US" sz="1600" kern="1200">
                  <a:solidFill>
                    <a:schemeClr val="tx1"/>
                  </a:solidFill>
                  <a:effectLst/>
                  <a:latin typeface="+mn-lt"/>
                  <a:ea typeface="+mn-ea"/>
                  <a:cs typeface="+mn-cs"/>
                </a:rPr>
                <a:t> </a:t>
              </a:r>
              <a:r>
                <a:rPr lang="en-US" sz="1600" b="0" i="0" kern="1200">
                  <a:solidFill>
                    <a:schemeClr val="tx1"/>
                  </a:solidFill>
                  <a:effectLst/>
                  <a:latin typeface="Cambria Math" panose="02040503050406030204" pitchFamily="18" charset="0"/>
                  <a:ea typeface="+mn-ea"/>
                  <a:cs typeface="+mn-cs"/>
                </a:rPr>
                <a:t>1+𝑅_𝐹/𝑅_1  (1/(1+𝑓/𝑓_𝑐 ))</a:t>
              </a:r>
              <a:endParaRPr lang="en-US" sz="1600" b="0" i="1" kern="1200">
                <a:solidFill>
                  <a:schemeClr val="tx1"/>
                </a:solidFill>
                <a:effectLst/>
                <a:latin typeface="Cambria Math" panose="02040503050406030204" pitchFamily="18" charset="0"/>
                <a:ea typeface="+mn-ea"/>
                <a:cs typeface="+mn-cs"/>
              </a:endParaRPr>
            </a:p>
            <a:p>
              <a:r>
                <a:rPr lang="en-US" sz="1600" b="0" kern="1200">
                  <a:solidFill>
                    <a:schemeClr val="tx1"/>
                  </a:solidFill>
                  <a:effectLst/>
                  <a:ea typeface="+mn-ea"/>
                  <a:cs typeface="+mn-cs"/>
                </a:rPr>
                <a:t>	</a:t>
              </a:r>
              <a:r>
                <a:rPr lang="en-US" sz="1600" b="0" i="0" kern="1200">
                  <a:solidFill>
                    <a:schemeClr val="tx1"/>
                  </a:solidFill>
                  <a:effectLst/>
                  <a:latin typeface="Cambria Math" panose="02040503050406030204" pitchFamily="18" charset="0"/>
                  <a:ea typeface="+mn-ea"/>
                  <a:cs typeface="+mn-cs"/>
                </a:rPr>
                <a:t>→〖𝐺𝑎𝑖𝑛〗_𝑑𝐵=20×𝑙𝑜𝑔(</a:t>
              </a:r>
              <a:r>
                <a:rPr lang="en-US" sz="1800" b="0" i="0" kern="1200">
                  <a:solidFill>
                    <a:schemeClr val="tx1"/>
                  </a:solidFill>
                  <a:effectLst/>
                  <a:latin typeface="+mn-lt"/>
                  <a:ea typeface="+mn-ea"/>
                  <a:cs typeface="+mn-cs"/>
                </a:rPr>
                <a:t>1+𝑅_𝐹/𝑅_1  (1/(1+𝑓/𝑓_𝑐 ))</a:t>
              </a:r>
              <a:r>
                <a:rPr lang="en-US" sz="1600" b="0" i="0" kern="1200">
                  <a:solidFill>
                    <a:schemeClr val="tx1"/>
                  </a:solidFill>
                  <a:effectLst/>
                  <a:latin typeface="Cambria Math" panose="02040503050406030204" pitchFamily="18" charset="0"/>
                  <a:ea typeface="+mn-ea"/>
                  <a:cs typeface="+mn-cs"/>
                </a:rPr>
                <a:t>)</a:t>
              </a:r>
              <a:endParaRPr lang="en-US" sz="1600" b="0">
                <a:solidFill>
                  <a:schemeClr val="tx1"/>
                </a:solidFill>
              </a:endParaRPr>
            </a:p>
          </xdr:txBody>
        </xdr:sp>
      </mc:Fallback>
    </mc:AlternateContent>
    <xdr:clientData/>
  </xdr:twoCellAnchor>
  <xdr:twoCellAnchor editAs="oneCell">
    <xdr:from>
      <xdr:col>34</xdr:col>
      <xdr:colOff>575469</xdr:colOff>
      <xdr:row>0</xdr:row>
      <xdr:rowOff>208359</xdr:rowOff>
    </xdr:from>
    <xdr:to>
      <xdr:col>42</xdr:col>
      <xdr:colOff>379811</xdr:colOff>
      <xdr:row>31</xdr:row>
      <xdr:rowOff>37306</xdr:rowOff>
    </xdr:to>
    <xdr:pic>
      <xdr:nvPicPr>
        <xdr:cNvPr id="8" name="Picture 7">
          <a:extLst>
            <a:ext uri="{FF2B5EF4-FFF2-40B4-BE49-F238E27FC236}">
              <a16:creationId xmlns:a16="http://schemas.microsoft.com/office/drawing/2014/main" id="{B74ACEA9-40F3-794F-E0F6-AE467E48704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480860" y="208359"/>
          <a:ext cx="4646216" cy="616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579437</xdr:colOff>
      <xdr:row>11</xdr:row>
      <xdr:rowOff>37306</xdr:rowOff>
    </xdr:from>
    <xdr:to>
      <xdr:col>12</xdr:col>
      <xdr:colOff>432593</xdr:colOff>
      <xdr:row>25</xdr:row>
      <xdr:rowOff>141289</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513953</xdr:colOff>
      <xdr:row>8</xdr:row>
      <xdr:rowOff>166689</xdr:rowOff>
    </xdr:from>
    <xdr:to>
      <xdr:col>17</xdr:col>
      <xdr:colOff>0</xdr:colOff>
      <xdr:row>14</xdr:row>
      <xdr:rowOff>89298</xdr:rowOff>
    </xdr:to>
    <xdr:sp macro="" textlink="">
      <xdr:nvSpPr>
        <xdr:cNvPr id="4" name="TextBox 6">
          <a:extLst>
            <a:ext uri="{FF2B5EF4-FFF2-40B4-BE49-F238E27FC236}">
              <a16:creationId xmlns:a16="http://schemas.microsoft.com/office/drawing/2014/main" id="{00000000-0008-0000-0100-000004000000}"/>
            </a:ext>
          </a:extLst>
        </xdr:cNvPr>
        <xdr:cNvSpPr txBox="1"/>
      </xdr:nvSpPr>
      <xdr:spPr>
        <a:xfrm>
          <a:off x="7727156" y="2190752"/>
          <a:ext cx="2512219" cy="1063624"/>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Comparator</a:t>
          </a:r>
        </a:p>
        <a:p>
          <a:pPr algn="ctr"/>
          <a:r>
            <a:rPr lang="en-US" sz="1800"/>
            <a:t>If V</a:t>
          </a:r>
          <a:r>
            <a:rPr lang="en-US" sz="1800" baseline="-25000"/>
            <a:t>in(+)</a:t>
          </a:r>
          <a:r>
            <a:rPr lang="en-US" sz="1800"/>
            <a:t> &gt; V</a:t>
          </a:r>
          <a:r>
            <a:rPr lang="en-US" sz="1800" baseline="-25000"/>
            <a:t>in(-) </a:t>
          </a:r>
          <a:r>
            <a:rPr lang="en-US" sz="1800">
              <a:sym typeface="Wingdings" panose="05000000000000000000" pitchFamily="2" charset="2"/>
            </a:rPr>
            <a:t></a:t>
          </a:r>
          <a:r>
            <a:rPr lang="en-US" sz="1800"/>
            <a:t> V</a:t>
          </a:r>
          <a:r>
            <a:rPr lang="en-US" sz="1800" baseline="-25000"/>
            <a:t>out</a:t>
          </a:r>
          <a:r>
            <a:rPr lang="en-US" sz="1800"/>
            <a:t> </a:t>
          </a:r>
          <a:r>
            <a:rPr lang="en-US" sz="1800">
              <a:sym typeface="Symbol" panose="05050102010706020507" pitchFamily="18" charset="2"/>
            </a:rPr>
            <a:t>=</a:t>
          </a:r>
          <a:r>
            <a:rPr lang="en-US" sz="1800"/>
            <a:t> V</a:t>
          </a:r>
          <a:r>
            <a:rPr lang="en-US" sz="1800" baseline="30000"/>
            <a:t>+</a:t>
          </a:r>
        </a:p>
        <a:p>
          <a:pPr algn="ctr"/>
          <a:r>
            <a:rPr lang="en-US" sz="1800"/>
            <a:t>If V</a:t>
          </a:r>
          <a:r>
            <a:rPr lang="en-US" sz="1800" baseline="-25000"/>
            <a:t>in(+)</a:t>
          </a:r>
          <a:r>
            <a:rPr lang="en-US" sz="1800"/>
            <a:t> &lt; V</a:t>
          </a:r>
          <a:r>
            <a:rPr lang="en-US" sz="1800" baseline="-25000"/>
            <a:t>in(-) </a:t>
          </a:r>
          <a:r>
            <a:rPr lang="en-US" sz="1800">
              <a:sym typeface="Wingdings" panose="05000000000000000000" pitchFamily="2" charset="2"/>
            </a:rPr>
            <a:t></a:t>
          </a:r>
          <a:r>
            <a:rPr lang="en-US" sz="1800"/>
            <a:t> V</a:t>
          </a:r>
          <a:r>
            <a:rPr lang="en-US" sz="1800" baseline="-25000"/>
            <a:t>out</a:t>
          </a:r>
          <a:r>
            <a:rPr lang="en-US" sz="1800"/>
            <a:t> </a:t>
          </a:r>
          <a:r>
            <a:rPr lang="en-US" sz="1800">
              <a:sym typeface="Symbol" panose="05050102010706020507" pitchFamily="18" charset="2"/>
            </a:rPr>
            <a:t>=</a:t>
          </a:r>
          <a:r>
            <a:rPr lang="en-US" sz="1800"/>
            <a:t> V</a:t>
          </a:r>
          <a:r>
            <a:rPr lang="en-US" sz="1800" baseline="30000"/>
            <a:t>-</a:t>
          </a:r>
          <a:endParaRPr lang="en-US" sz="1800"/>
        </a:p>
      </xdr:txBody>
    </xdr:sp>
    <xdr:clientData/>
  </xdr:twoCellAnchor>
  <xdr:twoCellAnchor editAs="oneCell">
    <xdr:from>
      <xdr:col>12</xdr:col>
      <xdr:colOff>619126</xdr:colOff>
      <xdr:row>0</xdr:row>
      <xdr:rowOff>468313</xdr:rowOff>
    </xdr:from>
    <xdr:to>
      <xdr:col>17</xdr:col>
      <xdr:colOff>268288</xdr:colOff>
      <xdr:row>8</xdr:row>
      <xdr:rowOff>15875</xdr:rowOff>
    </xdr:to>
    <xdr:pic>
      <xdr:nvPicPr>
        <xdr:cNvPr id="6" name="Picture 5">
          <a:extLst>
            <a:ext uri="{FF2B5EF4-FFF2-40B4-BE49-F238E27FC236}">
              <a16:creationId xmlns:a16="http://schemas.microsoft.com/office/drawing/2014/main" id="{08E44EF3-AE13-4761-9CA7-D17BA0A771BE}"/>
            </a:ext>
          </a:extLst>
        </xdr:cNvPr>
        <xdr:cNvPicPr>
          <a:picLocks noChangeAspect="1"/>
        </xdr:cNvPicPr>
      </xdr:nvPicPr>
      <xdr:blipFill rotWithShape="1">
        <a:blip xmlns:r="http://schemas.openxmlformats.org/officeDocument/2006/relationships" r:embed="rId2"/>
        <a:srcRect b="8430"/>
        <a:stretch/>
      </xdr:blipFill>
      <xdr:spPr>
        <a:xfrm>
          <a:off x="8334376" y="468313"/>
          <a:ext cx="2784475" cy="15081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134940</xdr:colOff>
      <xdr:row>19</xdr:row>
      <xdr:rowOff>86914</xdr:rowOff>
    </xdr:from>
    <xdr:to>
      <xdr:col>13</xdr:col>
      <xdr:colOff>470299</xdr:colOff>
      <xdr:row>34</xdr:row>
      <xdr:rowOff>12303</xdr:rowOff>
    </xdr:to>
    <xdr:graphicFrame macro="">
      <xdr:nvGraphicFramePr>
        <xdr:cNvPr id="2" name="Chart 1">
          <a:extLst>
            <a:ext uri="{FF2B5EF4-FFF2-40B4-BE49-F238E27FC236}">
              <a16:creationId xmlns:a16="http://schemas.microsoft.com/office/drawing/2014/main" id="{3D399B78-1057-48F3-9F1C-274CA2630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35719</xdr:colOff>
      <xdr:row>46</xdr:row>
      <xdr:rowOff>27383</xdr:rowOff>
    </xdr:from>
    <xdr:to>
      <xdr:col>14</xdr:col>
      <xdr:colOff>242093</xdr:colOff>
      <xdr:row>60</xdr:row>
      <xdr:rowOff>131364</xdr:rowOff>
    </xdr:to>
    <xdr:graphicFrame macro="">
      <xdr:nvGraphicFramePr>
        <xdr:cNvPr id="3" name="Chart 2">
          <a:extLst>
            <a:ext uri="{FF2B5EF4-FFF2-40B4-BE49-F238E27FC236}">
              <a16:creationId xmlns:a16="http://schemas.microsoft.com/office/drawing/2014/main" id="{347DF72F-D32A-45A2-8EB4-9063457F4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357189</xdr:colOff>
      <xdr:row>10</xdr:row>
      <xdr:rowOff>128985</xdr:rowOff>
    </xdr:from>
    <xdr:to>
      <xdr:col>17</xdr:col>
      <xdr:colOff>506017</xdr:colOff>
      <xdr:row>19</xdr:row>
      <xdr:rowOff>154149</xdr:rowOff>
    </xdr:to>
    <mc:AlternateContent xmlns:mc="http://schemas.openxmlformats.org/markup-compatibility/2006" xmlns:a14="http://schemas.microsoft.com/office/drawing/2010/main">
      <mc:Choice Requires="a14">
        <xdr:sp macro="" textlink="">
          <xdr:nvSpPr>
            <xdr:cNvPr id="6" name="Content Placeholder 2">
              <a:extLst>
                <a:ext uri="{FF2B5EF4-FFF2-40B4-BE49-F238E27FC236}">
                  <a16:creationId xmlns:a16="http://schemas.microsoft.com/office/drawing/2014/main" id="{FD4F91BD-BFFD-4CCB-B946-8CAA77E1677A}"/>
                </a:ext>
              </a:extLst>
            </xdr:cNvPr>
            <xdr:cNvSpPr txBox="1">
              <a:spLocks/>
            </xdr:cNvSpPr>
          </xdr:nvSpPr>
          <xdr:spPr>
            <a:xfrm>
              <a:off x="8215314" y="2510235"/>
              <a:ext cx="3175000"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i="1">
                      <a:solidFill>
                        <a:schemeClr val="tx1"/>
                      </a:solidFill>
                      <a:latin typeface="Cambria Math" panose="02040503050406030204" pitchFamily="18" charset="0"/>
                    </a:rPr>
                    <m:t>𝟏</m:t>
                  </m:r>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𝒃</m:t>
                              </m:r>
                            </m:sub>
                          </m:sSub>
                        </m:den>
                      </m:f>
                    </m:e>
                  </m:d>
                </m:oMath>
              </a14:m>
              <a:endParaRPr lang="en-US" sz="1400">
                <a:solidFill>
                  <a:schemeClr val="tx1"/>
                </a:solidFill>
              </a:endParaRPr>
            </a:p>
            <a:p>
              <a:r>
                <a:rPr lang="en-US" sz="1600">
                  <a:solidFill>
                    <a:sysClr val="windowText" lastClr="000000"/>
                  </a:solidFill>
                </a:rPr>
                <a:t>Cutoff Frequency: </a:t>
              </a:r>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𝑓</m:t>
                      </m:r>
                    </m:e>
                    <m:sub>
                      <m:r>
                        <a:rPr lang="en-US" sz="1600" i="1">
                          <a:solidFill>
                            <a:sysClr val="windowText" lastClr="000000"/>
                          </a:solidFill>
                          <a:latin typeface="Cambria Math" panose="02040503050406030204" pitchFamily="18" charset="0"/>
                        </a:rPr>
                        <m:t>𝑐</m:t>
                      </m:r>
                    </m:sub>
                  </m:sSub>
                  <m:r>
                    <a:rPr lang="en-US" sz="1600" i="1">
                      <a:solidFill>
                        <a:sysClr val="windowText" lastClr="000000"/>
                      </a:solidFill>
                      <a:latin typeface="Cambria Math" panose="02040503050406030204" pitchFamily="18" charset="0"/>
                    </a:rPr>
                    <m:t>=</m:t>
                  </m:r>
                  <m:f>
                    <m:fPr>
                      <m:ctrlPr>
                        <a:rPr lang="en-US" sz="1600" i="1">
                          <a:solidFill>
                            <a:sysClr val="windowText" lastClr="000000"/>
                          </a:solidFill>
                          <a:latin typeface="Cambria Math" panose="02040503050406030204" pitchFamily="18" charset="0"/>
                        </a:rPr>
                      </m:ctrlPr>
                    </m:fPr>
                    <m:num>
                      <m:r>
                        <a:rPr lang="en-US" sz="1600" i="1">
                          <a:solidFill>
                            <a:sysClr val="windowText" lastClr="000000"/>
                          </a:solidFill>
                          <a:latin typeface="Cambria Math" panose="02040503050406030204" pitchFamily="18" charset="0"/>
                        </a:rPr>
                        <m:t>1</m:t>
                      </m:r>
                    </m:num>
                    <m:den>
                      <m:r>
                        <a:rPr lang="en-US" sz="1600" i="1">
                          <a:solidFill>
                            <a:sysClr val="windowText" lastClr="000000"/>
                          </a:solidFill>
                          <a:latin typeface="Cambria Math" panose="02040503050406030204" pitchFamily="18" charset="0"/>
                        </a:rPr>
                        <m:t>2</m:t>
                      </m:r>
                      <m:r>
                        <a:rPr lang="en-US" sz="1600" i="1">
                          <a:solidFill>
                            <a:sysClr val="windowText" lastClr="000000"/>
                          </a:solidFill>
                          <a:latin typeface="Cambria Math" panose="02040503050406030204" pitchFamily="18" charset="0"/>
                        </a:rPr>
                        <m:t>𝜋</m:t>
                      </m:r>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𝑅</m:t>
                          </m:r>
                        </m:e>
                        <m:sub>
                          <m:r>
                            <a:rPr lang="en-US" sz="1600" b="1" i="1">
                              <a:solidFill>
                                <a:sysClr val="windowText" lastClr="000000"/>
                              </a:solidFill>
                              <a:latin typeface="Cambria Math" panose="02040503050406030204" pitchFamily="18" charset="0"/>
                            </a:rPr>
                            <m:t>𝟏</m:t>
                          </m:r>
                        </m:sub>
                      </m:sSub>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𝐶</m:t>
                          </m:r>
                        </m:e>
                        <m:sub>
                          <m:r>
                            <a:rPr lang="en-US" sz="1600" i="1">
                              <a:solidFill>
                                <a:sysClr val="windowText" lastClr="000000"/>
                              </a:solidFill>
                              <a:latin typeface="Cambria Math" panose="02040503050406030204" pitchFamily="18" charset="0"/>
                            </a:rPr>
                            <m:t>1</m:t>
                          </m:r>
                        </m:sub>
                      </m:sSub>
                    </m:den>
                  </m:f>
                </m:oMath>
              </a14:m>
              <a:endParaRPr lang="en-US" sz="1400" b="0">
                <a:solidFill>
                  <a:sysClr val="windowText" lastClr="000000"/>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f>
                    <m:fPr>
                      <m:ctrlPr>
                        <a:rPr lang="en-US" sz="1400" i="1">
                          <a:solidFill>
                            <a:sysClr val="windowText" lastClr="000000"/>
                          </a:solidFill>
                          <a:latin typeface="Cambria Math" panose="02040503050406030204" pitchFamily="18" charset="0"/>
                        </a:rPr>
                      </m:ctrlPr>
                    </m:fPr>
                    <m:num>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𝐴</m:t>
                          </m:r>
                        </m:e>
                        <m:sub>
                          <m:r>
                            <a:rPr lang="en-US" sz="1400" b="0" i="1">
                              <a:solidFill>
                                <a:sysClr val="windowText" lastClr="000000"/>
                              </a:solidFill>
                              <a:latin typeface="Cambria Math" panose="02040503050406030204" pitchFamily="18" charset="0"/>
                            </a:rPr>
                            <m:t>𝑉</m:t>
                          </m:r>
                        </m:sub>
                      </m:sSub>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num>
                    <m:den>
                      <m:rad>
                        <m:radPr>
                          <m:degHide m:val="on"/>
                          <m:ctrlPr>
                            <a:rPr lang="en-US" sz="1400" i="1">
                              <a:solidFill>
                                <a:sysClr val="windowText" lastClr="000000"/>
                              </a:solidFill>
                              <a:latin typeface="Cambria Math" panose="02040503050406030204" pitchFamily="18" charset="0"/>
                            </a:rPr>
                          </m:ctrlPr>
                        </m:radPr>
                        <m:deg/>
                        <m:e>
                          <m:r>
                            <a:rPr lang="en-US" sz="1400" b="0" i="1">
                              <a:solidFill>
                                <a:sysClr val="windowText" lastClr="000000"/>
                              </a:solidFill>
                              <a:latin typeface="Cambria Math" panose="02040503050406030204" pitchFamily="18" charset="0"/>
                            </a:rPr>
                            <m:t>1+</m:t>
                          </m:r>
                          <m:sSup>
                            <m:sSupPr>
                              <m:ctrlPr>
                                <a:rPr lang="en-US" sz="1400" b="0" i="1">
                                  <a:solidFill>
                                    <a:sysClr val="windowText" lastClr="000000"/>
                                  </a:solidFill>
                                  <a:latin typeface="Cambria Math" panose="02040503050406030204" pitchFamily="18" charset="0"/>
                                </a:rPr>
                              </m:ctrlPr>
                            </m:sSupPr>
                            <m:e>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𝑓</m:t>
                                          </m:r>
                                        </m:e>
                                        <m:sub>
                                          <m:r>
                                            <a:rPr lang="en-US" sz="1400" i="1">
                                              <a:solidFill>
                                                <a:sysClr val="windowText" lastClr="000000"/>
                                              </a:solidFill>
                                              <a:latin typeface="Cambria Math" panose="02040503050406030204" pitchFamily="18" charset="0"/>
                                            </a:rPr>
                                            <m:t>𝑐</m:t>
                                          </m:r>
                                        </m:sub>
                                      </m:sSub>
                                    </m:den>
                                  </m:f>
                                </m:e>
                              </m:d>
                            </m:e>
                            <m:sup>
                              <m:r>
                                <a:rPr lang="en-US" sz="1400" b="0" i="1">
                                  <a:solidFill>
                                    <a:sysClr val="windowText" lastClr="000000"/>
                                  </a:solidFill>
                                  <a:latin typeface="Cambria Math" panose="02040503050406030204" pitchFamily="18" charset="0"/>
                                </a:rPr>
                                <m:t>2</m:t>
                              </m:r>
                            </m:sup>
                          </m:sSup>
                        </m:e>
                      </m:rad>
                    </m:den>
                  </m:f>
                </m:oMath>
              </a14:m>
              <a:endParaRPr lang="en-US" sz="1400" b="0">
                <a:solidFill>
                  <a:schemeClr val="tx1"/>
                </a:solidFill>
              </a:endParaRPr>
            </a:p>
          </xdr:txBody>
        </xdr:sp>
      </mc:Choice>
      <mc:Fallback xmlns="">
        <xdr:sp macro="" textlink="">
          <xdr:nvSpPr>
            <xdr:cNvPr id="6" name="Content Placeholder 2">
              <a:extLst>
                <a:ext uri="{FF2B5EF4-FFF2-40B4-BE49-F238E27FC236}">
                  <a16:creationId xmlns:a16="http://schemas.microsoft.com/office/drawing/2014/main" id="{FD4F91BD-BFFD-4CCB-B946-8CAA77E1677A}"/>
                </a:ext>
              </a:extLst>
            </xdr:cNvPr>
            <xdr:cNvSpPr txBox="1">
              <a:spLocks/>
            </xdr:cNvSpPr>
          </xdr:nvSpPr>
          <xdr:spPr>
            <a:xfrm>
              <a:off x="8215314" y="2510235"/>
              <a:ext cx="3175000"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r>
                <a:rPr lang="en-US" sz="1400" i="0">
                  <a:solidFill>
                    <a:schemeClr val="tx1"/>
                  </a:solidFill>
                  <a:latin typeface="Cambria Math" panose="02040503050406030204" pitchFamily="18" charset="0"/>
                </a:rPr>
                <a:t>〖 𝑨〗_𝒗=𝟏+(𝑹_𝑭∕𝑹_</a:t>
              </a:r>
              <a:r>
                <a:rPr lang="en-US" sz="1400" b="1" i="0">
                  <a:solidFill>
                    <a:schemeClr val="tx1"/>
                  </a:solidFill>
                  <a:latin typeface="Cambria Math" panose="02040503050406030204" pitchFamily="18" charset="0"/>
                </a:rPr>
                <a:t>𝒃 )</a:t>
              </a:r>
              <a:endParaRPr lang="en-US" sz="1400">
                <a:solidFill>
                  <a:schemeClr val="tx1"/>
                </a:solidFill>
              </a:endParaRPr>
            </a:p>
            <a:p>
              <a:r>
                <a:rPr lang="en-US" sz="1600">
                  <a:solidFill>
                    <a:sysClr val="windowText" lastClr="000000"/>
                  </a:solidFill>
                </a:rPr>
                <a:t>Cutoff Frequency: </a:t>
              </a:r>
              <a:r>
                <a:rPr lang="en-US" sz="1600" i="0">
                  <a:solidFill>
                    <a:sysClr val="windowText" lastClr="000000"/>
                  </a:solidFill>
                  <a:latin typeface="Cambria Math" panose="02040503050406030204" pitchFamily="18" charset="0"/>
                </a:rPr>
                <a:t>𝑓_𝑐=1/(2𝜋𝑅_</a:t>
              </a:r>
              <a:r>
                <a:rPr lang="en-US" sz="1600" b="1" i="0">
                  <a:solidFill>
                    <a:sysClr val="windowText" lastClr="000000"/>
                  </a:solidFill>
                  <a:latin typeface="Cambria Math" panose="02040503050406030204" pitchFamily="18" charset="0"/>
                </a:rPr>
                <a:t>𝟏 </a:t>
              </a:r>
              <a:r>
                <a:rPr lang="en-US" sz="1600" i="0">
                  <a:solidFill>
                    <a:sysClr val="windowText" lastClr="000000"/>
                  </a:solidFill>
                  <a:latin typeface="Cambria Math" panose="02040503050406030204" pitchFamily="18" charset="0"/>
                </a:rPr>
                <a:t>𝐶_1 )</a:t>
              </a:r>
              <a:endParaRPr lang="en-US" sz="1400" b="0">
                <a:solidFill>
                  <a:sysClr val="windowText" lastClr="000000"/>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a:t>
              </a:r>
              <a:r>
                <a:rPr lang="en-US" sz="1400" i="0">
                  <a:solidFill>
                    <a:sysClr val="windowText" lastClr="000000"/>
                  </a:solidFill>
                  <a:latin typeface="Cambria Math" panose="02040503050406030204" pitchFamily="18" charset="0"/>
                </a:rPr>
                <a:t> (</a:t>
              </a:r>
              <a:r>
                <a:rPr lang="en-US" sz="1400" b="0" i="0">
                  <a:solidFill>
                    <a:sysClr val="windowText" lastClr="000000"/>
                  </a:solidFill>
                  <a:latin typeface="Cambria Math" panose="02040503050406030204" pitchFamily="18" charset="0"/>
                </a:rPr>
                <a:t>𝐴_𝑉 (𝑓/𝑓_𝑐 ))/√(1+(</a:t>
              </a:r>
              <a:r>
                <a:rPr lang="en-US" sz="1400" i="0">
                  <a:solidFill>
                    <a:sysClr val="windowText" lastClr="000000"/>
                  </a:solidFill>
                  <a:latin typeface="Cambria Math" panose="02040503050406030204" pitchFamily="18" charset="0"/>
                </a:rPr>
                <a:t>𝑓/𝑓_𝑐 )</a:t>
              </a:r>
              <a:r>
                <a:rPr lang="en-US" sz="1400" b="0" i="0">
                  <a:solidFill>
                    <a:sysClr val="windowText" lastClr="000000"/>
                  </a:solidFill>
                  <a:latin typeface="Cambria Math" panose="02040503050406030204" pitchFamily="18" charset="0"/>
                </a:rPr>
                <a:t>^2 )</a:t>
              </a:r>
              <a:endParaRPr lang="en-US" sz="1400" b="0">
                <a:solidFill>
                  <a:schemeClr val="tx1"/>
                </a:solidFill>
              </a:endParaRPr>
            </a:p>
          </xdr:txBody>
        </xdr:sp>
      </mc:Fallback>
    </mc:AlternateContent>
    <xdr:clientData/>
  </xdr:twoCellAnchor>
  <xdr:twoCellAnchor editAs="oneCell">
    <xdr:from>
      <xdr:col>12</xdr:col>
      <xdr:colOff>390501</xdr:colOff>
      <xdr:row>1</xdr:row>
      <xdr:rowOff>29765</xdr:rowOff>
    </xdr:from>
    <xdr:to>
      <xdr:col>18</xdr:col>
      <xdr:colOff>336408</xdr:colOff>
      <xdr:row>10</xdr:row>
      <xdr:rowOff>50893</xdr:rowOff>
    </xdr:to>
    <xdr:pic>
      <xdr:nvPicPr>
        <xdr:cNvPr id="7" name="Picture 6">
          <a:extLst>
            <a:ext uri="{FF2B5EF4-FFF2-40B4-BE49-F238E27FC236}">
              <a16:creationId xmlns:a16="http://schemas.microsoft.com/office/drawing/2014/main" id="{81165EEB-1420-444D-91B3-18CAD089714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7643392" y="625078"/>
          <a:ext cx="3577314" cy="1795859"/>
        </a:xfrm>
        <a:prstGeom prst="rect">
          <a:avLst/>
        </a:prstGeom>
      </xdr:spPr>
    </xdr:pic>
    <xdr:clientData/>
  </xdr:twoCellAnchor>
  <xdr:twoCellAnchor>
    <xdr:from>
      <xdr:col>14</xdr:col>
      <xdr:colOff>238125</xdr:colOff>
      <xdr:row>0</xdr:row>
      <xdr:rowOff>575468</xdr:rowOff>
    </xdr:from>
    <xdr:to>
      <xdr:col>15</xdr:col>
      <xdr:colOff>426640</xdr:colOff>
      <xdr:row>6</xdr:row>
      <xdr:rowOff>9921</xdr:rowOff>
    </xdr:to>
    <xdr:sp macro="" textlink="">
      <xdr:nvSpPr>
        <xdr:cNvPr id="14" name="Rectangle: Rounded Corners 13">
          <a:extLst>
            <a:ext uri="{FF2B5EF4-FFF2-40B4-BE49-F238E27FC236}">
              <a16:creationId xmlns:a16="http://schemas.microsoft.com/office/drawing/2014/main" id="{7BCB0300-0465-4AF4-83D5-B5FCFCF8BD51}"/>
            </a:ext>
          </a:extLst>
        </xdr:cNvPr>
        <xdr:cNvSpPr/>
      </xdr:nvSpPr>
      <xdr:spPr>
        <a:xfrm>
          <a:off x="9306719" y="575468"/>
          <a:ext cx="793749" cy="1021953"/>
        </a:xfrm>
        <a:prstGeom prst="roundRect">
          <a:avLst/>
        </a:prstGeom>
        <a:noFill/>
        <a:ln w="28575">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17</xdr:col>
      <xdr:colOff>595312</xdr:colOff>
      <xdr:row>10</xdr:row>
      <xdr:rowOff>128985</xdr:rowOff>
    </xdr:from>
    <xdr:to>
      <xdr:col>22</xdr:col>
      <xdr:colOff>595311</xdr:colOff>
      <xdr:row>17</xdr:row>
      <xdr:rowOff>105422</xdr:rowOff>
    </xdr:to>
    <mc:AlternateContent xmlns:mc="http://schemas.openxmlformats.org/markup-compatibility/2006" xmlns:a14="http://schemas.microsoft.com/office/drawing/2010/main">
      <mc:Choice Requires="a14">
        <xdr:sp macro="" textlink="">
          <xdr:nvSpPr>
            <xdr:cNvPr id="8" name="Content Placeholder 2">
              <a:extLst>
                <a:ext uri="{FF2B5EF4-FFF2-40B4-BE49-F238E27FC236}">
                  <a16:creationId xmlns:a16="http://schemas.microsoft.com/office/drawing/2014/main" id="{6D5FAC25-159C-4215-AA94-ECD94A4EDCB8}"/>
                </a:ext>
              </a:extLst>
            </xdr:cNvPr>
            <xdr:cNvSpPr txBox="1">
              <a:spLocks/>
            </xdr:cNvSpPr>
          </xdr:nvSpPr>
          <xdr:spPr>
            <a:xfrm>
              <a:off x="11479609" y="2510235"/>
              <a:ext cx="3026171" cy="132581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𝑖𝑛</m:t>
                      </m:r>
                    </m:sub>
                  </m:sSub>
                  <m:d>
                    <m:dPr>
                      <m:ctrlPr>
                        <a:rPr lang="en-US" sz="1600" b="0" i="1">
                          <a:solidFill>
                            <a:schemeClr val="tx1"/>
                          </a:solidFill>
                          <a:latin typeface="Cambria Math" panose="02040503050406030204" pitchFamily="18" charset="0"/>
                        </a:rPr>
                      </m:ctrlPr>
                    </m:dPr>
                    <m:e>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num>
                        <m:den>
                          <m:rad>
                            <m:radPr>
                              <m:degHide m:val="on"/>
                              <m:ctrlPr>
                                <a:rPr lang="en-CA" sz="1800" b="0" i="1" kern="1200">
                                  <a:solidFill>
                                    <a:schemeClr val="tx1"/>
                                  </a:solidFill>
                                  <a:effectLst/>
                                  <a:latin typeface="Cambria Math" panose="02040503050406030204" pitchFamily="18" charset="0"/>
                                  <a:ea typeface="+mn-ea"/>
                                  <a:cs typeface="+mn-cs"/>
                                </a:rPr>
                              </m:ctrlPr>
                            </m:radPr>
                            <m:deg/>
                            <m:e>
                              <m:sSup>
                                <m:sSupPr>
                                  <m:ctrlPr>
                                    <a:rPr lang="en-CA" sz="1800" b="0" i="1" kern="1200">
                                      <a:solidFill>
                                        <a:schemeClr val="tx1"/>
                                      </a:solidFill>
                                      <a:effectLst/>
                                      <a:latin typeface="Cambria Math" panose="02040503050406030204" pitchFamily="18" charset="0"/>
                                      <a:ea typeface="+mn-ea"/>
                                      <a:cs typeface="+mn-cs"/>
                                    </a:rPr>
                                  </m:ctrlPr>
                                </m:sSupPr>
                                <m:e>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e>
                                <m:sup>
                                  <m:r>
                                    <a:rPr lang="en-CA" sz="1800" b="0" i="1" kern="1200">
                                      <a:solidFill>
                                        <a:schemeClr val="tx1"/>
                                      </a:solidFill>
                                      <a:effectLst/>
                                      <a:latin typeface="Cambria Math" panose="02040503050406030204" pitchFamily="18" charset="0"/>
                                      <a:ea typeface="+mn-ea"/>
                                      <a:cs typeface="+mn-cs"/>
                                    </a:rPr>
                                    <m:t>2</m:t>
                                  </m:r>
                                </m:sup>
                              </m:sSup>
                              <m:r>
                                <a:rPr lang="en-CA" sz="1800" b="0" i="1" kern="1200">
                                  <a:solidFill>
                                    <a:schemeClr val="tx1"/>
                                  </a:solidFill>
                                  <a:effectLst/>
                                  <a:latin typeface="Cambria Math" panose="02040503050406030204" pitchFamily="18" charset="0"/>
                                  <a:ea typeface="+mn-ea"/>
                                  <a:cs typeface="+mn-cs"/>
                                </a:rPr>
                                <m:t>+</m:t>
                              </m:r>
                              <m:sSup>
                                <m:sSupPr>
                                  <m:ctrlPr>
                                    <a:rPr lang="en-CA" sz="1800" b="0" i="1" kern="1200">
                                      <a:solidFill>
                                        <a:schemeClr val="tx1"/>
                                      </a:solidFill>
                                      <a:effectLst/>
                                      <a:latin typeface="Cambria Math" panose="02040503050406030204" pitchFamily="18" charset="0"/>
                                      <a:ea typeface="+mn-ea"/>
                                      <a:cs typeface="+mn-cs"/>
                                    </a:rPr>
                                  </m:ctrlPr>
                                </m:sSupPr>
                                <m:e>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𝑋</m:t>
                                      </m:r>
                                    </m:e>
                                    <m:sub>
                                      <m:r>
                                        <a:rPr lang="en-CA" sz="1800" b="0" i="1" kern="1200">
                                          <a:solidFill>
                                            <a:schemeClr val="tx1"/>
                                          </a:solidFill>
                                          <a:effectLst/>
                                          <a:latin typeface="Cambria Math" panose="02040503050406030204" pitchFamily="18" charset="0"/>
                                          <a:ea typeface="+mn-ea"/>
                                          <a:cs typeface="+mn-cs"/>
                                        </a:rPr>
                                        <m:t>𝐶</m:t>
                                      </m:r>
                                    </m:sub>
                                  </m:sSub>
                                </m:e>
                                <m:sup>
                                  <m:r>
                                    <a:rPr lang="en-CA" sz="1800" b="0" i="1" kern="1200">
                                      <a:solidFill>
                                        <a:schemeClr val="tx1"/>
                                      </a:solidFill>
                                      <a:effectLst/>
                                      <a:latin typeface="Cambria Math" panose="02040503050406030204" pitchFamily="18" charset="0"/>
                                      <a:ea typeface="+mn-ea"/>
                                      <a:cs typeface="+mn-cs"/>
                                    </a:rPr>
                                    <m:t>2</m:t>
                                  </m:r>
                                </m:sup>
                              </m:sSup>
                            </m:e>
                          </m:rad>
                        </m:den>
                      </m:f>
                    </m:e>
                  </m:d>
                  <m:d>
                    <m:dPr>
                      <m:ctrlPr>
                        <a:rPr lang="en-US" sz="1600" b="0" i="1">
                          <a:solidFill>
                            <a:schemeClr val="tx1"/>
                          </a:solidFill>
                          <a:latin typeface="Cambria Math" panose="02040503050406030204" pitchFamily="18" charset="0"/>
                        </a:rPr>
                      </m:ctrlPr>
                    </m:dPr>
                    <m:e>
                      <m:r>
                        <a:rPr lang="en-CA" sz="1600" b="0" i="1">
                          <a:solidFill>
                            <a:schemeClr val="tx1"/>
                          </a:solidFill>
                          <a:latin typeface="Cambria Math" panose="02040503050406030204" pitchFamily="18" charset="0"/>
                        </a:rPr>
                        <m:t>1+</m:t>
                      </m:r>
                      <m:f>
                        <m:fPr>
                          <m:ctrlPr>
                            <a:rPr lang="en-CA" sz="1600" b="0" i="1">
                              <a:solidFill>
                                <a:schemeClr val="tx1"/>
                              </a:solidFill>
                              <a:latin typeface="Cambria Math" panose="02040503050406030204" pitchFamily="18" charset="0"/>
                            </a:rPr>
                          </m:ctrlPr>
                        </m:fPr>
                        <m:num>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𝐹</m:t>
                              </m:r>
                            </m:sub>
                          </m:sSub>
                        </m:num>
                        <m:den>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𝑏</m:t>
                              </m:r>
                            </m:sub>
                          </m:sSub>
                        </m:den>
                      </m:f>
                    </m:e>
                  </m:d>
                </m:oMath>
              </a14:m>
              <a:endParaRPr lang="en-US" sz="1400" b="0">
                <a:solidFill>
                  <a:schemeClr val="tx1"/>
                </a:solidFill>
              </a:endParaRPr>
            </a:p>
          </xdr:txBody>
        </xdr:sp>
      </mc:Choice>
      <mc:Fallback xmlns="">
        <xdr:sp macro="" textlink="">
          <xdr:nvSpPr>
            <xdr:cNvPr id="8" name="Content Placeholder 2">
              <a:extLst>
                <a:ext uri="{FF2B5EF4-FFF2-40B4-BE49-F238E27FC236}">
                  <a16:creationId xmlns:a16="http://schemas.microsoft.com/office/drawing/2014/main" id="{6D5FAC25-159C-4215-AA94-ECD94A4EDCB8}"/>
                </a:ext>
              </a:extLst>
            </xdr:cNvPr>
            <xdr:cNvSpPr txBox="1">
              <a:spLocks/>
            </xdr:cNvSpPr>
          </xdr:nvSpPr>
          <xdr:spPr>
            <a:xfrm>
              <a:off x="11479609" y="2510235"/>
              <a:ext cx="3026171" cy="132581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600" i="0">
                  <a:solidFill>
                    <a:schemeClr val="tx1"/>
                  </a:solidFill>
                  <a:latin typeface="Cambria Math" panose="02040503050406030204" pitchFamily="18" charset="0"/>
                </a:rPr>
                <a:t>𝑉_</a:t>
              </a:r>
              <a:r>
                <a:rPr lang="en-US" sz="1600" b="0" i="0">
                  <a:solidFill>
                    <a:schemeClr val="tx1"/>
                  </a:solidFill>
                  <a:latin typeface="Cambria Math" panose="02040503050406030204" pitchFamily="18" charset="0"/>
                </a:rPr>
                <a:t>𝑖𝑛 (</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1</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√(〖𝑅_1〗^2+〖𝑋_𝐶〗^2 ))</a:t>
              </a:r>
              <a:r>
                <a:rPr lang="en-US" sz="1600" b="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1+𝑅_𝐹/𝑅_𝑏 )</a:t>
              </a:r>
              <a:endParaRPr lang="en-US" sz="1400" b="0">
                <a:solidFill>
                  <a:schemeClr val="tx1"/>
                </a:solidFill>
              </a:endParaRPr>
            </a:p>
          </xdr:txBody>
        </xdr:sp>
      </mc:Fallback>
    </mc:AlternateContent>
    <xdr:clientData/>
  </xdr:twoCellAnchor>
  <xdr:twoCellAnchor editAs="oneCell">
    <xdr:from>
      <xdr:col>24</xdr:col>
      <xdr:colOff>0</xdr:colOff>
      <xdr:row>0</xdr:row>
      <xdr:rowOff>0</xdr:rowOff>
    </xdr:from>
    <xdr:to>
      <xdr:col>24</xdr:col>
      <xdr:colOff>304800</xdr:colOff>
      <xdr:row>0</xdr:row>
      <xdr:rowOff>304800</xdr:rowOff>
    </xdr:to>
    <xdr:sp macro="" textlink="">
      <xdr:nvSpPr>
        <xdr:cNvPr id="18433" name="AutoShape 1">
          <a:extLst>
            <a:ext uri="{FF2B5EF4-FFF2-40B4-BE49-F238E27FC236}">
              <a16:creationId xmlns:a16="http://schemas.microsoft.com/office/drawing/2014/main" id="{F8FA2801-7140-CEEA-1772-93BB74F7BCF8}"/>
            </a:ext>
          </a:extLst>
        </xdr:cNvPr>
        <xdr:cNvSpPr>
          <a:spLocks noChangeAspect="1" noChangeArrowheads="1"/>
        </xdr:cNvSpPr>
      </xdr:nvSpPr>
      <xdr:spPr bwMode="auto">
        <a:xfrm>
          <a:off x="152019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134940</xdr:colOff>
      <xdr:row>19</xdr:row>
      <xdr:rowOff>86914</xdr:rowOff>
    </xdr:from>
    <xdr:to>
      <xdr:col>13</xdr:col>
      <xdr:colOff>470299</xdr:colOff>
      <xdr:row>34</xdr:row>
      <xdr:rowOff>12303</xdr:rowOff>
    </xdr:to>
    <xdr:graphicFrame macro="">
      <xdr:nvGraphicFramePr>
        <xdr:cNvPr id="2" name="Chart 1">
          <a:extLst>
            <a:ext uri="{FF2B5EF4-FFF2-40B4-BE49-F238E27FC236}">
              <a16:creationId xmlns:a16="http://schemas.microsoft.com/office/drawing/2014/main" id="{1316E6B4-042F-4907-BEF8-E35ED5864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313531</xdr:colOff>
      <xdr:row>45</xdr:row>
      <xdr:rowOff>166289</xdr:rowOff>
    </xdr:from>
    <xdr:to>
      <xdr:col>13</xdr:col>
      <xdr:colOff>519906</xdr:colOff>
      <xdr:row>60</xdr:row>
      <xdr:rowOff>71833</xdr:rowOff>
    </xdr:to>
    <xdr:graphicFrame macro="">
      <xdr:nvGraphicFramePr>
        <xdr:cNvPr id="3" name="Chart 2">
          <a:extLst>
            <a:ext uri="{FF2B5EF4-FFF2-40B4-BE49-F238E27FC236}">
              <a16:creationId xmlns:a16="http://schemas.microsoft.com/office/drawing/2014/main" id="{A3A36658-6844-42CC-A326-87948F173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406798</xdr:colOff>
      <xdr:row>0</xdr:row>
      <xdr:rowOff>575469</xdr:rowOff>
    </xdr:from>
    <xdr:to>
      <xdr:col>18</xdr:col>
      <xdr:colOff>435372</xdr:colOff>
      <xdr:row>9</xdr:row>
      <xdr:rowOff>50395</xdr:rowOff>
    </xdr:to>
    <xdr:pic>
      <xdr:nvPicPr>
        <xdr:cNvPr id="12" name="Picture 11">
          <a:extLst>
            <a:ext uri="{FF2B5EF4-FFF2-40B4-BE49-F238E27FC236}">
              <a16:creationId xmlns:a16="http://schemas.microsoft.com/office/drawing/2014/main" id="{1978C6A8-A0B1-4BAE-B8BD-623A1A7BBEE5}"/>
            </a:ext>
          </a:extLst>
        </xdr:cNvPr>
        <xdr:cNvPicPr>
          <a:picLocks noChangeAspect="1"/>
        </xdr:cNvPicPr>
      </xdr:nvPicPr>
      <xdr:blipFill>
        <a:blip xmlns:r="http://schemas.openxmlformats.org/officeDocument/2006/relationships" r:embed="rId3"/>
        <a:stretch>
          <a:fillRect/>
        </a:stretch>
      </xdr:blipFill>
      <xdr:spPr>
        <a:xfrm>
          <a:off x="8264923" y="575469"/>
          <a:ext cx="3659981" cy="1659023"/>
        </a:xfrm>
        <a:prstGeom prst="rect">
          <a:avLst/>
        </a:prstGeom>
      </xdr:spPr>
    </xdr:pic>
    <xdr:clientData/>
  </xdr:twoCellAnchor>
  <xdr:twoCellAnchor>
    <xdr:from>
      <xdr:col>14</xdr:col>
      <xdr:colOff>466330</xdr:colOff>
      <xdr:row>4</xdr:row>
      <xdr:rowOff>6833</xdr:rowOff>
    </xdr:from>
    <xdr:to>
      <xdr:col>16</xdr:col>
      <xdr:colOff>416719</xdr:colOff>
      <xdr:row>7</xdr:row>
      <xdr:rowOff>46520</xdr:rowOff>
    </xdr:to>
    <xdr:sp macro="" textlink="">
      <xdr:nvSpPr>
        <xdr:cNvPr id="13" name="Rectangle: Rounded Corners 12">
          <a:extLst>
            <a:ext uri="{FF2B5EF4-FFF2-40B4-BE49-F238E27FC236}">
              <a16:creationId xmlns:a16="http://schemas.microsoft.com/office/drawing/2014/main" id="{55E52510-732F-447B-9D88-7027C683711D}"/>
            </a:ext>
          </a:extLst>
        </xdr:cNvPr>
        <xdr:cNvSpPr/>
      </xdr:nvSpPr>
      <xdr:spPr>
        <a:xfrm>
          <a:off x="9534924" y="1197458"/>
          <a:ext cx="1160858" cy="635000"/>
        </a:xfrm>
        <a:prstGeom prst="roundRect">
          <a:avLst/>
        </a:prstGeom>
        <a:noFill/>
        <a:ln w="28575">
          <a:solidFill>
            <a:srgbClr val="FF0000"/>
          </a:solidFill>
          <a:prstDash val="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15</xdr:col>
      <xdr:colOff>466328</xdr:colOff>
      <xdr:row>10</xdr:row>
      <xdr:rowOff>0</xdr:rowOff>
    </xdr:from>
    <xdr:to>
      <xdr:col>20</xdr:col>
      <xdr:colOff>79375</xdr:colOff>
      <xdr:row>21</xdr:row>
      <xdr:rowOff>29765</xdr:rowOff>
    </xdr:to>
    <mc:AlternateContent xmlns:mc="http://schemas.openxmlformats.org/markup-compatibility/2006" xmlns:a14="http://schemas.microsoft.com/office/drawing/2010/main">
      <mc:Choice Requires="a14">
        <xdr:sp macro="" textlink="">
          <xdr:nvSpPr>
            <xdr:cNvPr id="14" name="Content Placeholder 2">
              <a:extLst>
                <a:ext uri="{FF2B5EF4-FFF2-40B4-BE49-F238E27FC236}">
                  <a16:creationId xmlns:a16="http://schemas.microsoft.com/office/drawing/2014/main" id="{DF2B2B3E-3C9A-47DF-BD52-CBEB8E7B2028}"/>
                </a:ext>
              </a:extLst>
            </xdr:cNvPr>
            <xdr:cNvSpPr txBox="1">
              <a:spLocks/>
            </xdr:cNvSpPr>
          </xdr:nvSpPr>
          <xdr:spPr>
            <a:xfrm>
              <a:off x="10140156" y="2371328"/>
              <a:ext cx="2639219" cy="212328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i="1" kern="1200">
                        <a:solidFill>
                          <a:schemeClr val="tx1"/>
                        </a:solidFill>
                        <a:effectLst/>
                        <a:latin typeface="Cambria Math" panose="02040503050406030204" pitchFamily="18" charset="0"/>
                        <a:ea typeface="+mn-ea"/>
                        <a:cs typeface="+mn-cs"/>
                      </a:rPr>
                      <m:t>=</m:t>
                    </m:r>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CA" sz="1400" b="0" i="1" kern="1200">
                                    <a:solidFill>
                                      <a:schemeClr val="tx1"/>
                                    </a:solidFill>
                                    <a:effectLst/>
                                    <a:latin typeface="Cambria Math" panose="02040503050406030204" pitchFamily="18" charset="0"/>
                                    <a:ea typeface="+mn-ea"/>
                                    <a:cs typeface="+mn-cs"/>
                                  </a:rPr>
                                  <m:t>𝑏</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𝐴</m:t>
                        </m:r>
                      </m:e>
                      <m:sub>
                        <m:r>
                          <a:rPr lang="en-US" sz="1000" i="1" kern="1200">
                            <a:solidFill>
                              <a:schemeClr val="tx1"/>
                            </a:solidFill>
                            <a:effectLst/>
                            <a:latin typeface="Cambria Math" panose="02040503050406030204" pitchFamily="18" charset="0"/>
                            <a:ea typeface="+mn-ea"/>
                            <a:cs typeface="+mn-cs"/>
                          </a:rPr>
                          <m:t>𝑣</m:t>
                        </m:r>
                      </m:sub>
                    </m:sSub>
                    <m:r>
                      <a:rPr lang="en-US" sz="1000" i="0" kern="1200">
                        <a:solidFill>
                          <a:schemeClr val="tx1"/>
                        </a:solidFill>
                        <a:effectLst/>
                        <a:latin typeface="Cambria Math" panose="02040503050406030204" pitchFamily="18" charset="0"/>
                        <a:ea typeface="+mn-ea"/>
                        <a:cs typeface="+mn-cs"/>
                      </a:rPr>
                      <m:t>=</m:t>
                    </m:r>
                    <m:f>
                      <m:fPr>
                        <m:ctrlPr>
                          <a:rPr lang="en-US" sz="1000" i="1" kern="1200">
                            <a:solidFill>
                              <a:schemeClr val="tx1"/>
                            </a:solidFill>
                            <a:effectLst/>
                            <a:latin typeface="Cambria Math" panose="02040503050406030204" pitchFamily="18" charset="0"/>
                            <a:ea typeface="+mn-ea"/>
                            <a:cs typeface="+mn-cs"/>
                          </a:rPr>
                        </m:ctrlPr>
                      </m:fPr>
                      <m:num>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𝑉</m:t>
                            </m:r>
                          </m:e>
                          <m:sub>
                            <m:r>
                              <a:rPr lang="en-US" sz="1000" i="1" kern="1200">
                                <a:solidFill>
                                  <a:schemeClr val="tx1"/>
                                </a:solidFill>
                                <a:effectLst/>
                                <a:latin typeface="Cambria Math" panose="02040503050406030204" pitchFamily="18" charset="0"/>
                                <a:ea typeface="+mn-ea"/>
                                <a:cs typeface="+mn-cs"/>
                              </a:rPr>
                              <m:t>𝑜𝑢𝑡</m:t>
                            </m:r>
                          </m:sub>
                        </m:sSub>
                      </m:num>
                      <m:den>
                        <m:sSub>
                          <m:sSubPr>
                            <m:ctrlPr>
                              <a:rPr lang="en-US" sz="1000" i="1" kern="1200">
                                <a:solidFill>
                                  <a:schemeClr val="tx1"/>
                                </a:solidFill>
                                <a:effectLst/>
                                <a:latin typeface="Cambria Math" panose="02040503050406030204" pitchFamily="18" charset="0"/>
                                <a:ea typeface="+mn-ea"/>
                                <a:cs typeface="+mn-cs"/>
                              </a:rPr>
                            </m:ctrlPr>
                          </m:sSubPr>
                          <m:e>
                            <m:r>
                              <a:rPr lang="en-US" sz="1000" i="1" kern="1200">
                                <a:solidFill>
                                  <a:schemeClr val="tx1"/>
                                </a:solidFill>
                                <a:effectLst/>
                                <a:latin typeface="Cambria Math" panose="02040503050406030204" pitchFamily="18" charset="0"/>
                                <a:ea typeface="+mn-ea"/>
                                <a:cs typeface="+mn-cs"/>
                              </a:rPr>
                              <m:t>𝑉</m:t>
                            </m:r>
                          </m:e>
                          <m:sub>
                            <m:r>
                              <a:rPr lang="en-US" sz="1000" i="1" kern="1200">
                                <a:solidFill>
                                  <a:schemeClr val="tx1"/>
                                </a:solidFill>
                                <a:effectLst/>
                                <a:latin typeface="Cambria Math" panose="02040503050406030204" pitchFamily="18" charset="0"/>
                                <a:ea typeface="+mn-ea"/>
                                <a:cs typeface="+mn-cs"/>
                              </a:rPr>
                              <m:t>𝑖𝑛</m:t>
                            </m:r>
                          </m:sub>
                        </m:sSub>
                      </m:den>
                    </m:f>
                    <m:r>
                      <a:rPr lang="en-US" sz="10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CA"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CA" sz="1400" b="0" i="1" kern="1200">
                                    <a:solidFill>
                                      <a:schemeClr val="tx1"/>
                                    </a:solidFill>
                                    <a:effectLst/>
                                    <a:latin typeface="Cambria Math" panose="02040503050406030204" pitchFamily="18" charset="0"/>
                                    <a:ea typeface="+mn-ea"/>
                                    <a:cs typeface="+mn-cs"/>
                                  </a:rPr>
                                  <m:t>𝑏</m:t>
                                </m:r>
                              </m:sub>
                            </m:sSub>
                            <m:r>
                              <a:rPr lang="en-CA" sz="1400" b="0" i="1" kern="1200">
                                <a:solidFill>
                                  <a:schemeClr val="tx1"/>
                                </a:solidFill>
                                <a:effectLst/>
                                <a:latin typeface="Cambria Math" panose="02040503050406030204" pitchFamily="18" charset="0"/>
                                <a:ea typeface="+mn-ea"/>
                                <a:cs typeface="+mn-cs"/>
                              </a:rPr>
                              <m:t>||</m:t>
                            </m:r>
                            <m:sSub>
                              <m:sSubPr>
                                <m:ctrlPr>
                                  <a:rPr lang="en-CA" sz="1400" b="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𝑋</m:t>
                                </m:r>
                              </m:e>
                              <m:sub>
                                <m:r>
                                  <a:rPr lang="en-CA" sz="1400" b="0" i="1" kern="1200">
                                    <a:solidFill>
                                      <a:schemeClr val="tx1"/>
                                    </a:solidFill>
                                    <a:effectLst/>
                                    <a:latin typeface="Cambria Math" panose="02040503050406030204" pitchFamily="18" charset="0"/>
                                    <a:ea typeface="+mn-ea"/>
                                    <a:cs typeface="+mn-cs"/>
                                  </a:rPr>
                                  <m:t>𝑐</m:t>
                                </m:r>
                              </m:sub>
                            </m:sSub>
                          </m:den>
                        </m:f>
                      </m:e>
                    </m:d>
                  </m:oMath>
                </m:oMathPara>
              </a14:m>
              <a:endParaRPr lang="en-CA" sz="16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oMath>
                </m:oMathPara>
              </a14:m>
              <a:endParaRPr lang="en-CA" sz="2000">
                <a:effectLst/>
              </a:endParaRPr>
            </a:p>
            <a:p>
              <a:endParaRPr lang="en-CA" sz="2000">
                <a:effectLst/>
              </a:endParaRPr>
            </a:p>
            <a:p>
              <a:endParaRPr lang="en-US" b="0">
                <a:solidFill>
                  <a:schemeClr val="tx1"/>
                </a:solidFill>
              </a:endParaRPr>
            </a:p>
          </xdr:txBody>
        </xdr:sp>
      </mc:Choice>
      <mc:Fallback xmlns="">
        <xdr:sp macro="" textlink="">
          <xdr:nvSpPr>
            <xdr:cNvPr id="14" name="Content Placeholder 2">
              <a:extLst>
                <a:ext uri="{FF2B5EF4-FFF2-40B4-BE49-F238E27FC236}">
                  <a16:creationId xmlns:a16="http://schemas.microsoft.com/office/drawing/2014/main" id="{DF2B2B3E-3C9A-47DF-BD52-CBEB8E7B2028}"/>
                </a:ext>
              </a:extLst>
            </xdr:cNvPr>
            <xdr:cNvSpPr txBox="1">
              <a:spLocks/>
            </xdr:cNvSpPr>
          </xdr:nvSpPr>
          <xdr:spPr>
            <a:xfrm>
              <a:off x="10140156" y="2371328"/>
              <a:ext cx="2639219" cy="2123281"/>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pPr/>
              <a:r>
                <a:rPr lang="en-US" sz="1400" i="0" kern="1200">
                  <a:solidFill>
                    <a:schemeClr val="tx1"/>
                  </a:solidFill>
                  <a:effectLst/>
                  <a:latin typeface="Cambria Math" panose="02040503050406030204" pitchFamily="18" charset="0"/>
                  <a:ea typeface="+mn-ea"/>
                  <a:cs typeface="+mn-cs"/>
                </a:rPr>
                <a:t>𝑉_𝑜𝑢𝑡=</a:t>
              </a:r>
              <a:r>
                <a:rPr lang="en-US" sz="1800" i="0" kern="1200">
                  <a:solidFill>
                    <a:schemeClr val="tx1"/>
                  </a:solidFill>
                  <a:effectLst/>
                  <a:latin typeface="Cambria Math" panose="02040503050406030204" pitchFamily="18" charset="0"/>
                  <a:ea typeface="+mn-ea"/>
                  <a:cs typeface="+mn-cs"/>
                </a:rPr>
                <a:t>𝑉_𝑖𝑛</a:t>
              </a:r>
              <a:r>
                <a:rPr lang="en-US" sz="1400" i="0" kern="1200">
                  <a:solidFill>
                    <a:schemeClr val="tx1"/>
                  </a:solidFill>
                  <a:effectLst/>
                  <a:latin typeface="Cambria Math" panose="02040503050406030204" pitchFamily="18" charset="0"/>
                  <a:ea typeface="+mn-ea"/>
                  <a:cs typeface="+mn-cs"/>
                </a:rPr>
                <a:t> (</a:t>
              </a:r>
              <a:r>
                <a:rPr lang="en-CA"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a:t>
              </a:r>
              <a:r>
                <a:rPr lang="en-CA" sz="1400" b="0" i="0" kern="1200">
                  <a:solidFill>
                    <a:schemeClr val="tx1"/>
                  </a:solidFill>
                  <a:effectLst/>
                  <a:latin typeface="Cambria Math" panose="02040503050406030204" pitchFamily="18" charset="0"/>
                  <a:ea typeface="+mn-ea"/>
                  <a:cs typeface="+mn-cs"/>
                </a:rPr>
                <a:t>𝑏 ||𝑋_𝑐 </a:t>
              </a:r>
              <a:r>
                <a:rPr lang="en-US" sz="1400" b="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endParaRPr lang="en-CA" sz="1600">
                <a:effectLst/>
              </a:endParaRPr>
            </a:p>
            <a:p>
              <a:pPr/>
              <a:r>
                <a:rPr lang="en-US" sz="1000" i="0" kern="1200">
                  <a:solidFill>
                    <a:schemeClr val="tx1"/>
                  </a:solidFill>
                  <a:effectLst/>
                  <a:latin typeface="Cambria Math" panose="02040503050406030204" pitchFamily="18" charset="0"/>
                  <a:ea typeface="+mn-ea"/>
                  <a:cs typeface="+mn-cs"/>
                </a:rPr>
                <a:t>𝐴_𝑣=𝑉_𝑜𝑢𝑡/𝑉_𝑖𝑛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a:t>
              </a:r>
              <a:r>
                <a:rPr lang="en-CA" sz="1400" b="0" i="0" kern="1200">
                  <a:solidFill>
                    <a:schemeClr val="tx1"/>
                  </a:solidFill>
                  <a:effectLst/>
                  <a:latin typeface="Cambria Math" panose="02040503050406030204" pitchFamily="18" charset="0"/>
                  <a:ea typeface="+mn-ea"/>
                  <a:cs typeface="+mn-cs"/>
                </a:rPr>
                <a:t>𝑏 ||𝑋_𝑐 </a:t>
              </a:r>
              <a:r>
                <a:rPr lang="en-US" sz="1400" b="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endParaRPr lang="en-CA" sz="16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a:t>
              </a:r>
              <a:endParaRPr lang="en-CA" sz="2000">
                <a:effectLst/>
              </a:endParaRPr>
            </a:p>
            <a:p>
              <a:endParaRPr lang="en-CA" sz="2000">
                <a:effectLst/>
              </a:endParaRPr>
            </a:p>
            <a:p>
              <a:endParaRPr lang="en-US" b="0">
                <a:solidFill>
                  <a:schemeClr val="tx1"/>
                </a:solidFill>
              </a:endParaRPr>
            </a:p>
          </xdr:txBody>
        </xdr:sp>
      </mc:Fallback>
    </mc:AlternateContent>
    <xdr:clientData/>
  </xdr:twoCellAnchor>
  <xdr:twoCellAnchor editAs="oneCell">
    <xdr:from>
      <xdr:col>13</xdr:col>
      <xdr:colOff>506017</xdr:colOff>
      <xdr:row>23</xdr:row>
      <xdr:rowOff>128985</xdr:rowOff>
    </xdr:from>
    <xdr:to>
      <xdr:col>24</xdr:col>
      <xdr:colOff>231079</xdr:colOff>
      <xdr:row>28</xdr:row>
      <xdr:rowOff>177145</xdr:rowOff>
    </xdr:to>
    <xdr:pic>
      <xdr:nvPicPr>
        <xdr:cNvPr id="15" name="Picture 14">
          <a:extLst>
            <a:ext uri="{FF2B5EF4-FFF2-40B4-BE49-F238E27FC236}">
              <a16:creationId xmlns:a16="http://schemas.microsoft.com/office/drawing/2014/main" id="{459355AA-CA5B-A861-A13F-74D1694EFE74}"/>
            </a:ext>
          </a:extLst>
        </xdr:cNvPr>
        <xdr:cNvPicPr>
          <a:picLocks noChangeAspect="1"/>
        </xdr:cNvPicPr>
      </xdr:nvPicPr>
      <xdr:blipFill>
        <a:blip xmlns:r="http://schemas.openxmlformats.org/officeDocument/2006/relationships" r:embed="rId4"/>
        <a:stretch>
          <a:fillRect/>
        </a:stretch>
      </xdr:blipFill>
      <xdr:spPr>
        <a:xfrm>
          <a:off x="8969376" y="4990704"/>
          <a:ext cx="6382641" cy="990738"/>
        </a:xfrm>
        <a:prstGeom prst="rect">
          <a:avLst/>
        </a:prstGeom>
      </xdr:spPr>
    </xdr:pic>
    <xdr:clientData/>
  </xdr:twoCellAnchor>
  <xdr:twoCellAnchor>
    <xdr:from>
      <xdr:col>10</xdr:col>
      <xdr:colOff>248047</xdr:colOff>
      <xdr:row>10</xdr:row>
      <xdr:rowOff>0</xdr:rowOff>
    </xdr:from>
    <xdr:to>
      <xdr:col>15</xdr:col>
      <xdr:colOff>396875</xdr:colOff>
      <xdr:row>17</xdr:row>
      <xdr:rowOff>148455</xdr:rowOff>
    </xdr:to>
    <mc:AlternateContent xmlns:mc="http://schemas.openxmlformats.org/markup-compatibility/2006" xmlns:a14="http://schemas.microsoft.com/office/drawing/2010/main">
      <mc:Choice Requires="a14">
        <xdr:sp macro="" textlink="">
          <xdr:nvSpPr>
            <xdr:cNvPr id="4" name="Content Placeholder 2">
              <a:extLst>
                <a:ext uri="{FF2B5EF4-FFF2-40B4-BE49-F238E27FC236}">
                  <a16:creationId xmlns:a16="http://schemas.microsoft.com/office/drawing/2014/main" id="{B5D0C411-F636-4BE7-823F-5969F37FA994}"/>
                </a:ext>
              </a:extLst>
            </xdr:cNvPr>
            <xdr:cNvSpPr txBox="1">
              <a:spLocks/>
            </xdr:cNvSpPr>
          </xdr:nvSpPr>
          <xdr:spPr>
            <a:xfrm>
              <a:off x="6895703" y="2371328"/>
              <a:ext cx="3175000" cy="148790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i="1">
                      <a:solidFill>
                        <a:schemeClr val="tx1"/>
                      </a:solidFill>
                      <a:latin typeface="Cambria Math" panose="02040503050406030204" pitchFamily="18" charset="0"/>
                    </a:rPr>
                    <m:t>𝟏</m:t>
                  </m:r>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b="1" i="1">
                                  <a:solidFill>
                                    <a:schemeClr val="tx1"/>
                                  </a:solidFill>
                                  <a:latin typeface="Cambria Math" panose="02040503050406030204" pitchFamily="18" charset="0"/>
                                </a:rPr>
                                <m:t>𝒃</m:t>
                              </m:r>
                            </m:sub>
                          </m:sSub>
                        </m:den>
                      </m:f>
                    </m:e>
                  </m:d>
                </m:oMath>
              </a14:m>
              <a:endParaRPr lang="en-US" sz="1400">
                <a:solidFill>
                  <a:schemeClr val="tx1"/>
                </a:solidFill>
              </a:endParaRPr>
            </a:p>
            <a:p>
              <a:r>
                <a:rPr lang="en-US" sz="1600">
                  <a:solidFill>
                    <a:sysClr val="windowText" lastClr="000000"/>
                  </a:solidFill>
                </a:rPr>
                <a:t>Cutoff Frequency: </a:t>
              </a:r>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𝑓</m:t>
                      </m:r>
                    </m:e>
                    <m:sub>
                      <m:r>
                        <a:rPr lang="en-US" sz="1600" i="1">
                          <a:solidFill>
                            <a:sysClr val="windowText" lastClr="000000"/>
                          </a:solidFill>
                          <a:latin typeface="Cambria Math" panose="02040503050406030204" pitchFamily="18" charset="0"/>
                        </a:rPr>
                        <m:t>𝑐</m:t>
                      </m:r>
                    </m:sub>
                  </m:sSub>
                  <m:r>
                    <a:rPr lang="en-US" sz="1600" i="1">
                      <a:solidFill>
                        <a:sysClr val="windowText" lastClr="000000"/>
                      </a:solidFill>
                      <a:latin typeface="Cambria Math" panose="02040503050406030204" pitchFamily="18" charset="0"/>
                    </a:rPr>
                    <m:t>=</m:t>
                  </m:r>
                  <m:f>
                    <m:fPr>
                      <m:ctrlPr>
                        <a:rPr lang="en-US" sz="1600" i="1">
                          <a:solidFill>
                            <a:sysClr val="windowText" lastClr="000000"/>
                          </a:solidFill>
                          <a:latin typeface="Cambria Math" panose="02040503050406030204" pitchFamily="18" charset="0"/>
                        </a:rPr>
                      </m:ctrlPr>
                    </m:fPr>
                    <m:num>
                      <m:r>
                        <a:rPr lang="en-US" sz="1600" i="1">
                          <a:solidFill>
                            <a:sysClr val="windowText" lastClr="000000"/>
                          </a:solidFill>
                          <a:latin typeface="Cambria Math" panose="02040503050406030204" pitchFamily="18" charset="0"/>
                        </a:rPr>
                        <m:t>1</m:t>
                      </m:r>
                    </m:num>
                    <m:den>
                      <m:r>
                        <a:rPr lang="en-US" sz="1600" i="1">
                          <a:solidFill>
                            <a:sysClr val="windowText" lastClr="000000"/>
                          </a:solidFill>
                          <a:latin typeface="Cambria Math" panose="02040503050406030204" pitchFamily="18" charset="0"/>
                        </a:rPr>
                        <m:t>2</m:t>
                      </m:r>
                      <m:r>
                        <a:rPr lang="en-US" sz="1600" i="1">
                          <a:solidFill>
                            <a:sysClr val="windowText" lastClr="000000"/>
                          </a:solidFill>
                          <a:latin typeface="Cambria Math" panose="02040503050406030204" pitchFamily="18" charset="0"/>
                        </a:rPr>
                        <m:t>𝜋</m:t>
                      </m:r>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𝑅</m:t>
                          </m:r>
                        </m:e>
                        <m:sub>
                          <m:r>
                            <a:rPr lang="en-US" sz="1600" b="1" i="1">
                              <a:solidFill>
                                <a:sysClr val="windowText" lastClr="000000"/>
                              </a:solidFill>
                              <a:latin typeface="Cambria Math" panose="02040503050406030204" pitchFamily="18" charset="0"/>
                            </a:rPr>
                            <m:t>𝒃</m:t>
                          </m:r>
                        </m:sub>
                      </m:sSub>
                      <m:sSub>
                        <m:sSubPr>
                          <m:ctrlPr>
                            <a:rPr lang="en-US" sz="1600" i="1">
                              <a:solidFill>
                                <a:sysClr val="windowText" lastClr="000000"/>
                              </a:solidFill>
                              <a:latin typeface="Cambria Math" panose="02040503050406030204" pitchFamily="18" charset="0"/>
                            </a:rPr>
                          </m:ctrlPr>
                        </m:sSubPr>
                        <m:e>
                          <m:r>
                            <a:rPr lang="en-US" sz="1600" i="1">
                              <a:solidFill>
                                <a:sysClr val="windowText" lastClr="000000"/>
                              </a:solidFill>
                              <a:latin typeface="Cambria Math" panose="02040503050406030204" pitchFamily="18" charset="0"/>
                            </a:rPr>
                            <m:t>𝐶</m:t>
                          </m:r>
                        </m:e>
                        <m:sub>
                          <m:r>
                            <a:rPr lang="en-US" sz="1600" i="1">
                              <a:solidFill>
                                <a:sysClr val="windowText" lastClr="000000"/>
                              </a:solidFill>
                              <a:latin typeface="Cambria Math" panose="02040503050406030204" pitchFamily="18" charset="0"/>
                            </a:rPr>
                            <m:t>1</m:t>
                          </m:r>
                        </m:sub>
                      </m:sSub>
                    </m:den>
                  </m:f>
                </m:oMath>
              </a14:m>
              <a:endParaRPr lang="en-US" sz="1400" b="0">
                <a:solidFill>
                  <a:sysClr val="windowText" lastClr="000000"/>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d>
                    <m:dPr>
                      <m:ctrlPr>
                        <a:rPr lang="en-US" sz="1400" b="0" i="1">
                          <a:solidFill>
                            <a:sysClr val="windowText" lastClr="000000"/>
                          </a:solidFill>
                          <a:latin typeface="Cambria Math" panose="02040503050406030204" pitchFamily="18" charset="0"/>
                        </a:rPr>
                      </m:ctrlPr>
                    </m:dPr>
                    <m:e>
                      <m:r>
                        <a:rPr lang="en-US" sz="1400" b="0" i="1">
                          <a:solidFill>
                            <a:sysClr val="windowText" lastClr="000000"/>
                          </a:solidFill>
                          <a:latin typeface="Cambria Math" panose="02040503050406030204" pitchFamily="18" charset="0"/>
                        </a:rPr>
                        <m:t>1+</m:t>
                      </m:r>
                      <m:f>
                        <m:fPr>
                          <m:ctrlPr>
                            <a:rPr lang="en-US" sz="1400" b="0" i="1">
                              <a:solidFill>
                                <a:sysClr val="windowText" lastClr="000000"/>
                              </a:solidFill>
                              <a:latin typeface="Cambria Math" panose="02040503050406030204" pitchFamily="18" charset="0"/>
                            </a:rPr>
                          </m:ctrlPr>
                        </m:fPr>
                        <m:num>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𝑅</m:t>
                              </m:r>
                            </m:e>
                            <m:sub>
                              <m:r>
                                <a:rPr lang="en-US" sz="1400" b="0" i="1">
                                  <a:solidFill>
                                    <a:sysClr val="windowText" lastClr="000000"/>
                                  </a:solidFill>
                                  <a:latin typeface="Cambria Math" panose="02040503050406030204" pitchFamily="18" charset="0"/>
                                </a:rPr>
                                <m:t>𝐹</m:t>
                              </m:r>
                            </m:sub>
                          </m:sSub>
                        </m:num>
                        <m:den>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𝑅</m:t>
                              </m:r>
                            </m:e>
                            <m:sub>
                              <m:r>
                                <a:rPr lang="en-US" sz="1400" b="0" i="1">
                                  <a:solidFill>
                                    <a:sysClr val="windowText" lastClr="000000"/>
                                  </a:solidFill>
                                  <a:latin typeface="Cambria Math" panose="02040503050406030204" pitchFamily="18" charset="0"/>
                                </a:rPr>
                                <m:t>𝑏</m:t>
                              </m:r>
                            </m:sub>
                          </m:sSub>
                        </m:den>
                      </m:f>
                      <m:d>
                        <m:dPr>
                          <m:ctrlPr>
                            <a:rPr lang="en-US" sz="1400" b="0" i="1">
                              <a:solidFill>
                                <a:sysClr val="windowText" lastClr="000000"/>
                              </a:solidFill>
                              <a:latin typeface="Cambria Math" panose="02040503050406030204" pitchFamily="18" charset="0"/>
                            </a:rPr>
                          </m:ctrlPr>
                        </m:dPr>
                        <m:e>
                          <m:r>
                            <a:rPr lang="en-US" sz="1400" b="0" i="1">
                              <a:solidFill>
                                <a:sysClr val="windowText" lastClr="000000"/>
                              </a:solidFill>
                              <a:latin typeface="Cambria Math" panose="02040503050406030204" pitchFamily="18" charset="0"/>
                            </a:rPr>
                            <m:t>1+</m:t>
                          </m:r>
                          <m:f>
                            <m:fPr>
                              <m:ctrlPr>
                                <a:rPr lang="en-US" sz="1400" b="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b="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e>
                  </m:d>
                </m:oMath>
              </a14:m>
              <a:endParaRPr lang="en-US" sz="1400" b="0">
                <a:solidFill>
                  <a:schemeClr val="tx1"/>
                </a:solidFill>
              </a:endParaRPr>
            </a:p>
          </xdr:txBody>
        </xdr:sp>
      </mc:Choice>
      <mc:Fallback xmlns="">
        <xdr:sp macro="" textlink="">
          <xdr:nvSpPr>
            <xdr:cNvPr id="4" name="Content Placeholder 2">
              <a:extLst>
                <a:ext uri="{FF2B5EF4-FFF2-40B4-BE49-F238E27FC236}">
                  <a16:creationId xmlns:a16="http://schemas.microsoft.com/office/drawing/2014/main" id="{B5D0C411-F636-4BE7-823F-5969F37FA994}"/>
                </a:ext>
              </a:extLst>
            </xdr:cNvPr>
            <xdr:cNvSpPr txBox="1">
              <a:spLocks/>
            </xdr:cNvSpPr>
          </xdr:nvSpPr>
          <xdr:spPr>
            <a:xfrm>
              <a:off x="6895703" y="2371328"/>
              <a:ext cx="3175000" cy="148790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Non-Inverting Amplifying HPF</a:t>
              </a:r>
            </a:p>
            <a:p>
              <a:r>
                <a:rPr lang="en-US" sz="1600">
                  <a:solidFill>
                    <a:schemeClr val="tx1"/>
                  </a:solidFill>
                </a:rPr>
                <a:t>Pass-Region Gain:</a:t>
              </a:r>
              <a:r>
                <a:rPr lang="en-US" sz="1400" i="0">
                  <a:solidFill>
                    <a:schemeClr val="tx1"/>
                  </a:solidFill>
                  <a:latin typeface="Cambria Math" panose="02040503050406030204" pitchFamily="18" charset="0"/>
                </a:rPr>
                <a:t>〖 𝑨〗_𝒗=𝟏+(𝑹_𝑭∕𝑹_</a:t>
              </a:r>
              <a:r>
                <a:rPr lang="en-US" sz="1400" b="1" i="0">
                  <a:solidFill>
                    <a:schemeClr val="tx1"/>
                  </a:solidFill>
                  <a:latin typeface="Cambria Math" panose="02040503050406030204" pitchFamily="18" charset="0"/>
                </a:rPr>
                <a:t>𝒃 )</a:t>
              </a:r>
              <a:endParaRPr lang="en-US" sz="1400">
                <a:solidFill>
                  <a:schemeClr val="tx1"/>
                </a:solidFill>
              </a:endParaRPr>
            </a:p>
            <a:p>
              <a:r>
                <a:rPr lang="en-US" sz="1600">
                  <a:solidFill>
                    <a:sysClr val="windowText" lastClr="000000"/>
                  </a:solidFill>
                </a:rPr>
                <a:t>Cutoff Frequency: </a:t>
              </a:r>
              <a:r>
                <a:rPr lang="en-US" sz="1600" i="0">
                  <a:solidFill>
                    <a:sysClr val="windowText" lastClr="000000"/>
                  </a:solidFill>
                  <a:latin typeface="Cambria Math" panose="02040503050406030204" pitchFamily="18" charset="0"/>
                </a:rPr>
                <a:t>𝑓_𝑐=1/(2𝜋𝑅_</a:t>
              </a:r>
              <a:r>
                <a:rPr lang="en-US" sz="1600" b="1" i="0">
                  <a:solidFill>
                    <a:sysClr val="windowText" lastClr="000000"/>
                  </a:solidFill>
                  <a:latin typeface="Cambria Math" panose="02040503050406030204" pitchFamily="18" charset="0"/>
                </a:rPr>
                <a:t>𝒃 </a:t>
              </a:r>
              <a:r>
                <a:rPr lang="en-US" sz="1600" i="0">
                  <a:solidFill>
                    <a:sysClr val="windowText" lastClr="000000"/>
                  </a:solidFill>
                  <a:latin typeface="Cambria Math" panose="02040503050406030204" pitchFamily="18" charset="0"/>
                </a:rPr>
                <a:t>𝐶_1 )</a:t>
              </a:r>
              <a:endParaRPr lang="en-US" sz="1400" b="0">
                <a:solidFill>
                  <a:sysClr val="windowText" lastClr="000000"/>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(1+𝑅_𝐹/𝑅_𝑏  (1+𝑓/𝑓_𝑐 ))</a:t>
              </a:r>
              <a:endParaRPr lang="en-US" sz="1400" b="0">
                <a:solidFill>
                  <a:schemeClr val="tx1"/>
                </a:solidFill>
              </a:endParaRPr>
            </a:p>
          </xdr:txBody>
        </xdr:sp>
      </mc:Fallback>
    </mc:AlternateContent>
    <xdr:clientData/>
  </xdr:twoCellAnchor>
  <xdr:twoCellAnchor editAs="oneCell">
    <xdr:from>
      <xdr:col>25</xdr:col>
      <xdr:colOff>0</xdr:colOff>
      <xdr:row>1</xdr:row>
      <xdr:rowOff>0</xdr:rowOff>
    </xdr:from>
    <xdr:to>
      <xdr:col>32</xdr:col>
      <xdr:colOff>359965</xdr:colOff>
      <xdr:row>32</xdr:row>
      <xdr:rowOff>136277</xdr:rowOff>
    </xdr:to>
    <xdr:pic>
      <xdr:nvPicPr>
        <xdr:cNvPr id="5" name="Picture 4">
          <a:extLst>
            <a:ext uri="{FF2B5EF4-FFF2-40B4-BE49-F238E27FC236}">
              <a16:creationId xmlns:a16="http://schemas.microsoft.com/office/drawing/2014/main" id="{F2724A89-4DAF-4B3A-A9D0-4AAF26C554B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852321" y="585107"/>
          <a:ext cx="4646215" cy="61666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579438</xdr:colOff>
      <xdr:row>0</xdr:row>
      <xdr:rowOff>315516</xdr:rowOff>
    </xdr:from>
    <xdr:to>
      <xdr:col>14</xdr:col>
      <xdr:colOff>321210</xdr:colOff>
      <xdr:row>12</xdr:row>
      <xdr:rowOff>103767</xdr:rowOff>
    </xdr:to>
    <xdr:pic>
      <xdr:nvPicPr>
        <xdr:cNvPr id="5" name="Picture 4">
          <a:extLst>
            <a:ext uri="{FF2B5EF4-FFF2-40B4-BE49-F238E27FC236}">
              <a16:creationId xmlns:a16="http://schemas.microsoft.com/office/drawing/2014/main" id="{00000000-0008-0000-0700-000005000000}"/>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6889751" y="315516"/>
          <a:ext cx="2250022" cy="2455251"/>
        </a:xfrm>
        <a:prstGeom prst="rect">
          <a:avLst/>
        </a:prstGeom>
      </xdr:spPr>
    </xdr:pic>
    <xdr:clientData/>
  </xdr:twoCellAnchor>
  <xdr:twoCellAnchor>
    <xdr:from>
      <xdr:col>12</xdr:col>
      <xdr:colOff>342129</xdr:colOff>
      <xdr:row>9</xdr:row>
      <xdr:rowOff>132952</xdr:rowOff>
    </xdr:from>
    <xdr:to>
      <xdr:col>16</xdr:col>
      <xdr:colOff>392205</xdr:colOff>
      <xdr:row>17</xdr:row>
      <xdr:rowOff>156881</xdr:rowOff>
    </xdr:to>
    <mc:AlternateContent xmlns:mc="http://schemas.openxmlformats.org/markup-compatibility/2006" xmlns:a14="http://schemas.microsoft.com/office/drawing/2010/main">
      <mc:Choice Requires="a14">
        <xdr:sp macro="" textlink="">
          <xdr:nvSpPr>
            <xdr:cNvPr id="6" name="TextBox 12">
              <a:extLst>
                <a:ext uri="{FF2B5EF4-FFF2-40B4-BE49-F238E27FC236}">
                  <a16:creationId xmlns:a16="http://schemas.microsoft.com/office/drawing/2014/main" id="{00000000-0008-0000-0700-000006000000}"/>
                </a:ext>
              </a:extLst>
            </xdr:cNvPr>
            <xdr:cNvSpPr txBox="1"/>
          </xdr:nvSpPr>
          <xdr:spPr>
            <a:xfrm>
              <a:off x="7659570" y="2351717"/>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e>
                    </m:d>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200" i="1">
                <a:latin typeface="Cambria Math" panose="02040503050406030204" pitchFamily="18" charset="0"/>
              </a:endParaRP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b="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b="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xdr:txBody>
        </xdr:sp>
      </mc:Choice>
      <mc:Fallback xmlns="">
        <xdr:sp macro="" textlink="">
          <xdr:nvSpPr>
            <xdr:cNvPr id="6" name="TextBox 12">
              <a:extLst>
                <a:ext uri="{FF2B5EF4-FFF2-40B4-BE49-F238E27FC236}">
                  <a16:creationId xmlns:a16="http://schemas.microsoft.com/office/drawing/2014/main" id="{00000000-0008-0000-0700-000006000000}"/>
                </a:ext>
              </a:extLst>
            </xdr:cNvPr>
            <xdr:cNvSpPr txBox="1"/>
          </xdr:nvSpPr>
          <xdr:spPr>
            <a:xfrm>
              <a:off x="7659570" y="2351717"/>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r>
                <a:rPr lang="en-US" sz="1400" i="0" kern="1200">
                  <a:solidFill>
                    <a:schemeClr val="tx1"/>
                  </a:solidFill>
                  <a:effectLst/>
                  <a:latin typeface="+mn-lt"/>
                  <a:ea typeface="+mn-ea"/>
                  <a:cs typeface="+mn-cs"/>
                </a:rPr>
                <a:t>𝐴_𝑣=𝑉_𝑜𝑢𝑡/𝑉_𝑖𝑛 =(</a:t>
              </a:r>
              <a:r>
                <a:rPr lang="en-US" sz="1400" b="0" i="0" kern="1200">
                  <a:solidFill>
                    <a:schemeClr val="tx1"/>
                  </a:solidFill>
                  <a:effectLst/>
                  <a:latin typeface="+mn-lt"/>
                  <a:ea typeface="+mn-ea"/>
                  <a:cs typeface="+mn-cs"/>
                </a:rPr>
                <a:t>1+</a:t>
              </a:r>
              <a:r>
                <a:rPr lang="en-US" sz="1400" i="0" kern="1200">
                  <a:solidFill>
                    <a:schemeClr val="tx1"/>
                  </a:solidFill>
                  <a:effectLst/>
                  <a:latin typeface="+mn-lt"/>
                  <a:ea typeface="+mn-ea"/>
                  <a:cs typeface="+mn-cs"/>
                </a:rPr>
                <a:t>𝑅_𝐹/𝑅_1 )</a:t>
              </a:r>
              <a:endParaRPr lang="en-US" sz="1200">
                <a:effectLst/>
              </a:endParaRPr>
            </a:p>
            <a:p>
              <a:r>
                <a:rPr lang="en-US" sz="1400" b="1" i="0" kern="1200">
                  <a:solidFill>
                    <a:schemeClr val="tx1"/>
                  </a:solidFill>
                  <a:effectLst/>
                  <a:latin typeface="+mn-lt"/>
                  <a:ea typeface="+mn-ea"/>
                  <a:cs typeface="+mn-cs"/>
                </a:rPr>
                <a:t>𝑽_𝒐𝒖𝒕=𝑨_𝒗 𝑽_𝒊𝒏+(𝟏−𝑨_𝒗 ) 𝑽_𝒃</a:t>
              </a:r>
              <a:endParaRPr lang="en-US" sz="1200" i="1">
                <a:latin typeface="Cambria Math" panose="02040503050406030204" pitchFamily="18" charset="0"/>
              </a:endParaRPr>
            </a:p>
            <a:p>
              <a:pPr algn="ctr"/>
              <a:r>
                <a:rPr lang="en-US" sz="1200" i="0">
                  <a:latin typeface="Cambria Math" panose="02040503050406030204" pitchFamily="18" charset="0"/>
                </a:rPr>
                <a:t>𝑉_𝑜𝑢𝑡=(</a:t>
              </a:r>
              <a:r>
                <a:rPr lang="en-US" sz="1200" b="0" i="0">
                  <a:latin typeface="Cambria Math" panose="02040503050406030204" pitchFamily="18" charset="0"/>
                </a:rPr>
                <a:t>1+</a:t>
              </a:r>
              <a:r>
                <a:rPr lang="en-US" sz="1200" i="0">
                  <a:latin typeface="Cambria Math" panose="02040503050406030204" pitchFamily="18" charset="0"/>
                </a:rPr>
                <a:t>𝑅_𝐹/𝑅_1 ) 𝑉_𝑖𝑛</a:t>
              </a:r>
              <a:r>
                <a:rPr lang="en-US" sz="1200" b="0" i="0">
                  <a:latin typeface="Cambria Math" panose="02040503050406030204" pitchFamily="18" charset="0"/>
                </a:rPr>
                <a:t>−</a:t>
              </a:r>
              <a:r>
                <a:rPr lang="en-US" sz="1200" i="0">
                  <a:latin typeface="Cambria Math" panose="02040503050406030204" pitchFamily="18" charset="0"/>
                </a:rPr>
                <a:t>(𝑅_𝐹/𝑅_1 ) 𝑉_𝑏</a:t>
              </a:r>
              <a:endParaRPr lang="en-US" sz="1100" baseline="30000"/>
            </a:p>
          </xdr:txBody>
        </xdr:sp>
      </mc:Fallback>
    </mc:AlternateContent>
    <xdr:clientData/>
  </xdr:twoCellAnchor>
</xdr:wsDr>
</file>

<file path=xl/drawings/drawing23.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61A65311-CB36-40F9-81DC-FA7DC35D0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71438</xdr:colOff>
      <xdr:row>0</xdr:row>
      <xdr:rowOff>656563</xdr:rowOff>
    </xdr:from>
    <xdr:to>
      <xdr:col>14</xdr:col>
      <xdr:colOff>458793</xdr:colOff>
      <xdr:row>11</xdr:row>
      <xdr:rowOff>175469</xdr:rowOff>
    </xdr:to>
    <xdr:pic>
      <xdr:nvPicPr>
        <xdr:cNvPr id="3" name="Picture 2">
          <a:extLst>
            <a:ext uri="{FF2B5EF4-FFF2-40B4-BE49-F238E27FC236}">
              <a16:creationId xmlns:a16="http://schemas.microsoft.com/office/drawing/2014/main" id="{AA45419A-BDF4-45FE-99A6-F8825A4ECC9D}"/>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194021" y="656563"/>
          <a:ext cx="2324105" cy="2080073"/>
        </a:xfrm>
        <a:prstGeom prst="rect">
          <a:avLst/>
        </a:prstGeom>
      </xdr:spPr>
    </xdr:pic>
    <xdr:clientData/>
  </xdr:twoCellAnchor>
  <xdr:twoCellAnchor>
    <xdr:from>
      <xdr:col>12</xdr:col>
      <xdr:colOff>605366</xdr:colOff>
      <xdr:row>11</xdr:row>
      <xdr:rowOff>169332</xdr:rowOff>
    </xdr:from>
    <xdr:to>
      <xdr:col>17</xdr:col>
      <xdr:colOff>42334</xdr:colOff>
      <xdr:row>24</xdr:row>
      <xdr:rowOff>76199</xdr:rowOff>
    </xdr:to>
    <mc:AlternateContent xmlns:mc="http://schemas.openxmlformats.org/markup-compatibility/2006" xmlns:a14="http://schemas.microsoft.com/office/drawing/2010/main">
      <mc:Choice Requires="a14">
        <xdr:sp macro="" textlink="">
          <xdr:nvSpPr>
            <xdr:cNvPr id="10" name="TextBox 12">
              <a:extLst>
                <a:ext uri="{FF2B5EF4-FFF2-40B4-BE49-F238E27FC236}">
                  <a16:creationId xmlns:a16="http://schemas.microsoft.com/office/drawing/2014/main" id="{8850C435-5C7F-469E-9326-456F1F1C9CC9}"/>
                </a:ext>
              </a:extLst>
            </xdr:cNvPr>
            <xdr:cNvSpPr txBox="1"/>
          </xdr:nvSpPr>
          <xdr:spPr>
            <a:xfrm>
              <a:off x="7958666" y="2826807"/>
              <a:ext cx="2484968" cy="2383367"/>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e>
                    </m:d>
                  </m:oMath>
                </m:oMathPara>
              </a14:m>
              <a:endParaRPr lang="en-US" sz="1200">
                <a:effectLst/>
              </a:endParaRPr>
            </a:p>
            <a:p>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200" i="1">
                <a:latin typeface="Cambria Math" panose="02040503050406030204" pitchFamily="18" charset="0"/>
              </a:endParaRPr>
            </a:p>
            <a:p>
              <a:endParaRPr lang="en-US" sz="1200"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m:t>
                        </m:r>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CA" sz="1400" b="1" i="1" kern="1200">
                        <a:solidFill>
                          <a:schemeClr val="tx1"/>
                        </a:solidFill>
                        <a:effectLst/>
                        <a:latin typeface="Cambria Math" panose="02040503050406030204" pitchFamily="18" charset="0"/>
                        <a:ea typeface="+mn-ea"/>
                        <a:cs typeface="+mn-cs"/>
                      </a:rPr>
                      <m:t>−</m:t>
                    </m:r>
                    <m:sSub>
                      <m:sSubPr>
                        <m:ctrlPr>
                          <a:rPr lang="en-CA"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𝑽</m:t>
                        </m:r>
                      </m:e>
                      <m:sub>
                        <m:r>
                          <a:rPr lang="en-CA" sz="1400" b="1" i="1" kern="1200">
                            <a:solidFill>
                              <a:schemeClr val="tx1"/>
                            </a:solidFill>
                            <a:effectLst/>
                            <a:latin typeface="Cambria Math" panose="02040503050406030204" pitchFamily="18" charset="0"/>
                            <a:ea typeface="+mn-ea"/>
                            <a:cs typeface="+mn-cs"/>
                          </a:rPr>
                          <m:t>𝒃</m:t>
                        </m:r>
                      </m:sub>
                    </m:sSub>
                    <m:r>
                      <a:rPr lang="en-CA" sz="1400" b="1" i="1" kern="1200">
                        <a:solidFill>
                          <a:schemeClr val="tx1"/>
                        </a:solidFill>
                        <a:effectLst/>
                        <a:latin typeface="Cambria Math" panose="02040503050406030204" pitchFamily="18" charset="0"/>
                        <a:ea typeface="+mn-ea"/>
                        <a:cs typeface="+mn-cs"/>
                      </a:rPr>
                      <m:t>)</m:t>
                    </m:r>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050" i="1">
                <a:latin typeface="Cambria Math" panose="02040503050406030204" pitchFamily="18" charset="0"/>
              </a:endParaRPr>
            </a:p>
            <a:p>
              <a:endParaRPr lang="en-US" sz="1050" i="1">
                <a:latin typeface="Cambria Math" panose="02040503050406030204" pitchFamily="18" charset="0"/>
              </a:endParaRPr>
            </a:p>
            <a:p>
              <a:pPr marL="0" marR="0" lvl="0" indent="0" algn="l" defTabSz="457200" rtl="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CA" sz="1400" b="1" i="1" kern="1200">
                            <a:solidFill>
                              <a:schemeClr val="tx1"/>
                            </a:solidFill>
                            <a:effectLst/>
                            <a:latin typeface="Cambria Math" panose="02040503050406030204" pitchFamily="18" charset="0"/>
                            <a:ea typeface="+mn-ea"/>
                            <a:cs typeface="+mn-cs"/>
                          </a:rPr>
                          <m:t>(</m:t>
                        </m:r>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CA" sz="1400" b="1" i="1" kern="1200">
                        <a:solidFill>
                          <a:schemeClr val="tx1"/>
                        </a:solidFill>
                        <a:effectLst/>
                        <a:latin typeface="Cambria Math" panose="02040503050406030204" pitchFamily="18" charset="0"/>
                        <a:ea typeface="+mn-ea"/>
                        <a:cs typeface="+mn-cs"/>
                      </a:rPr>
                      <m:t>−</m:t>
                    </m:r>
                    <m:f>
                      <m:fPr>
                        <m:ctrlPr>
                          <a:rPr lang="en-CA" sz="1400" b="1" i="1" kern="1200">
                            <a:solidFill>
                              <a:schemeClr val="tx1"/>
                            </a:solidFill>
                            <a:effectLst/>
                            <a:latin typeface="Cambria Math" panose="02040503050406030204" pitchFamily="18" charset="0"/>
                            <a:ea typeface="+mn-ea"/>
                            <a:cs typeface="+mn-cs"/>
                          </a:rPr>
                        </m:ctrlPr>
                      </m:fPr>
                      <m:num>
                        <m:sSup>
                          <m:sSupPr>
                            <m:ctrlPr>
                              <a:rPr lang="en-CA" sz="1400" b="1" i="1" kern="1200">
                                <a:solidFill>
                                  <a:schemeClr val="tx1"/>
                                </a:solidFill>
                                <a:effectLst/>
                                <a:latin typeface="Cambria Math" panose="02040503050406030204" pitchFamily="18" charset="0"/>
                                <a:ea typeface="+mn-ea"/>
                                <a:cs typeface="+mn-cs"/>
                              </a:rPr>
                            </m:ctrlPr>
                          </m:sSupPr>
                          <m:e>
                            <m:r>
                              <a:rPr lang="en-CA" sz="1400" b="1" i="1" kern="1200">
                                <a:solidFill>
                                  <a:schemeClr val="tx1"/>
                                </a:solidFill>
                                <a:effectLst/>
                                <a:latin typeface="Cambria Math" panose="02040503050406030204" pitchFamily="18" charset="0"/>
                                <a:ea typeface="+mn-ea"/>
                                <a:cs typeface="+mn-cs"/>
                              </a:rPr>
                              <m:t>𝑽</m:t>
                            </m:r>
                          </m:e>
                          <m:sup>
                            <m:r>
                              <a:rPr lang="en-CA" sz="1400" b="1" i="1" kern="1200">
                                <a:solidFill>
                                  <a:schemeClr val="tx1"/>
                                </a:solidFill>
                                <a:effectLst/>
                                <a:latin typeface="Cambria Math" panose="02040503050406030204" pitchFamily="18" charset="0"/>
                                <a:ea typeface="+mn-ea"/>
                                <a:cs typeface="+mn-cs"/>
                              </a:rPr>
                              <m:t>+</m:t>
                            </m:r>
                          </m:sup>
                        </m:sSup>
                      </m:num>
                      <m:den>
                        <m:r>
                          <a:rPr lang="en-CA" sz="1400" b="1" i="1" kern="1200">
                            <a:solidFill>
                              <a:schemeClr val="tx1"/>
                            </a:solidFill>
                            <a:effectLst/>
                            <a:latin typeface="Cambria Math" panose="02040503050406030204" pitchFamily="18" charset="0"/>
                            <a:ea typeface="+mn-ea"/>
                            <a:cs typeface="+mn-cs"/>
                          </a:rPr>
                          <m:t>𝟐</m:t>
                        </m:r>
                      </m:den>
                    </m:f>
                    <m:r>
                      <a:rPr lang="en-CA" sz="1400" b="1" i="1" kern="1200">
                        <a:solidFill>
                          <a:schemeClr val="tx1"/>
                        </a:solidFill>
                        <a:effectLst/>
                        <a:latin typeface="Cambria Math" panose="02040503050406030204" pitchFamily="18" charset="0"/>
                        <a:ea typeface="+mn-ea"/>
                        <a:cs typeface="+mn-cs"/>
                      </a:rPr>
                      <m:t>)</m:t>
                    </m:r>
                    <m:r>
                      <a:rPr lang="en-US" sz="1400" b="1" kern="1200">
                        <a:solidFill>
                          <a:schemeClr val="tx1"/>
                        </a:solidFill>
                        <a:effectLst/>
                        <a:latin typeface="Cambria Math" panose="02040503050406030204" pitchFamily="18" charset="0"/>
                        <a:ea typeface="+mn-ea"/>
                        <a:cs typeface="+mn-cs"/>
                      </a:rPr>
                      <m:t>+</m:t>
                    </m:r>
                    <m:f>
                      <m:fPr>
                        <m:ctrlPr>
                          <a:rPr lang="en-CA" sz="1400" b="1" i="1" kern="1200">
                            <a:solidFill>
                              <a:schemeClr val="tx1"/>
                            </a:solidFill>
                            <a:effectLst/>
                            <a:latin typeface="Cambria Math" panose="02040503050406030204" pitchFamily="18" charset="0"/>
                            <a:ea typeface="+mn-ea"/>
                            <a:cs typeface="+mn-cs"/>
                          </a:rPr>
                        </m:ctrlPr>
                      </m:fPr>
                      <m:num>
                        <m:sSup>
                          <m:sSupPr>
                            <m:ctrlPr>
                              <a:rPr lang="en-CA" sz="1400" b="1" i="1" kern="1200">
                                <a:solidFill>
                                  <a:schemeClr val="tx1"/>
                                </a:solidFill>
                                <a:effectLst/>
                                <a:latin typeface="Cambria Math" panose="02040503050406030204" pitchFamily="18" charset="0"/>
                                <a:ea typeface="+mn-ea"/>
                                <a:cs typeface="+mn-cs"/>
                              </a:rPr>
                            </m:ctrlPr>
                          </m:sSupPr>
                          <m:e>
                            <m:r>
                              <a:rPr lang="en-CA" sz="1400" b="1" i="1" kern="1200">
                                <a:solidFill>
                                  <a:schemeClr val="tx1"/>
                                </a:solidFill>
                                <a:effectLst/>
                                <a:latin typeface="Cambria Math" panose="02040503050406030204" pitchFamily="18" charset="0"/>
                                <a:ea typeface="+mn-ea"/>
                                <a:cs typeface="+mn-cs"/>
                              </a:rPr>
                              <m:t>𝑽</m:t>
                            </m:r>
                          </m:e>
                          <m:sup>
                            <m:r>
                              <a:rPr lang="en-CA" sz="1400" b="1" i="1" kern="1200">
                                <a:solidFill>
                                  <a:schemeClr val="tx1"/>
                                </a:solidFill>
                                <a:effectLst/>
                                <a:latin typeface="Cambria Math" panose="02040503050406030204" pitchFamily="18" charset="0"/>
                                <a:ea typeface="+mn-ea"/>
                                <a:cs typeface="+mn-cs"/>
                              </a:rPr>
                              <m:t>+</m:t>
                            </m:r>
                          </m:sup>
                        </m:sSup>
                      </m:num>
                      <m:den>
                        <m:r>
                          <a:rPr lang="en-CA" sz="1400" b="1" i="1" kern="1200">
                            <a:solidFill>
                              <a:schemeClr val="tx1"/>
                            </a:solidFill>
                            <a:effectLst/>
                            <a:latin typeface="Cambria Math" panose="02040503050406030204" pitchFamily="18" charset="0"/>
                            <a:ea typeface="+mn-ea"/>
                            <a:cs typeface="+mn-cs"/>
                          </a:rPr>
                          <m:t>𝟐</m:t>
                        </m:r>
                      </m:den>
                    </m:f>
                  </m:oMath>
                </m:oMathPara>
              </a14:m>
              <a:endParaRPr lang="en-CA" sz="1400">
                <a:effectLst/>
              </a:endParaRPr>
            </a:p>
            <a:p>
              <a:endParaRPr lang="en-US" sz="1050" i="1">
                <a:latin typeface="Cambria Math" panose="02040503050406030204" pitchFamily="18" charset="0"/>
              </a:endParaRPr>
            </a:p>
          </xdr:txBody>
        </xdr:sp>
      </mc:Choice>
      <mc:Fallback xmlns="">
        <xdr:sp macro="" textlink="">
          <xdr:nvSpPr>
            <xdr:cNvPr id="10" name="TextBox 12">
              <a:extLst>
                <a:ext uri="{FF2B5EF4-FFF2-40B4-BE49-F238E27FC236}">
                  <a16:creationId xmlns:a16="http://schemas.microsoft.com/office/drawing/2014/main" id="{8850C435-5C7F-469E-9326-456F1F1C9CC9}"/>
                </a:ext>
              </a:extLst>
            </xdr:cNvPr>
            <xdr:cNvSpPr txBox="1"/>
          </xdr:nvSpPr>
          <xdr:spPr>
            <a:xfrm>
              <a:off x="7958666" y="2826807"/>
              <a:ext cx="2484968" cy="2383367"/>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r>
                <a:rPr lang="en-US" sz="1400" i="0" kern="1200">
                  <a:solidFill>
                    <a:schemeClr val="tx1"/>
                  </a:solidFill>
                  <a:effectLst/>
                  <a:latin typeface="Cambria Math" panose="02040503050406030204" pitchFamily="18" charset="0"/>
                  <a:ea typeface="+mn-ea"/>
                  <a:cs typeface="+mn-cs"/>
                </a:rPr>
                <a:t>𝐴_𝑣=𝑉_𝑜𝑢𝑡/𝑉_𝑖𝑛 =(</a:t>
              </a:r>
              <a:r>
                <a:rPr lang="en-US" sz="1400" b="0" i="0" kern="1200">
                  <a:solidFill>
                    <a:schemeClr val="tx1"/>
                  </a:solidFill>
                  <a:effectLst/>
                  <a:latin typeface="Cambria Math" panose="02040503050406030204" pitchFamily="18" charset="0"/>
                  <a:ea typeface="+mn-ea"/>
                  <a:cs typeface="+mn-cs"/>
                </a:rPr>
                <a:t>1+</a:t>
              </a:r>
              <a:r>
                <a:rPr lang="en-US" sz="1400" i="0" kern="1200">
                  <a:solidFill>
                    <a:schemeClr val="tx1"/>
                  </a:solidFill>
                  <a:effectLst/>
                  <a:latin typeface="Cambria Math" panose="02040503050406030204" pitchFamily="18" charset="0"/>
                  <a:ea typeface="+mn-ea"/>
                  <a:cs typeface="+mn-cs"/>
                </a:rPr>
                <a:t>𝑅_𝐹/𝑅_1 )</a:t>
              </a:r>
              <a:endParaRPr lang="en-US" sz="1200">
                <a:effectLst/>
              </a:endParaRPr>
            </a:p>
            <a:p>
              <a:pPr/>
              <a:endParaRPr lang="en-US" sz="1200">
                <a:effectLst/>
              </a:endParaRPr>
            </a:p>
            <a:p>
              <a:pPr/>
              <a:r>
                <a:rPr lang="en-US" sz="1400" b="1" i="0" kern="1200">
                  <a:solidFill>
                    <a:schemeClr val="tx1"/>
                  </a:solidFill>
                  <a:effectLst/>
                  <a:latin typeface="Cambria Math" panose="02040503050406030204" pitchFamily="18" charset="0"/>
                  <a:ea typeface="+mn-ea"/>
                  <a:cs typeface="+mn-cs"/>
                </a:rPr>
                <a:t>𝑽_𝒐𝒖𝒕=𝑨_𝒗 𝑽_𝒊𝒏+(𝟏−𝑨_𝒗 ) 𝑽_𝒃</a:t>
              </a:r>
              <a:endParaRPr lang="en-US" sz="1200" i="1">
                <a:latin typeface="Cambria Math" panose="02040503050406030204" pitchFamily="18" charset="0"/>
              </a:endParaRPr>
            </a:p>
            <a:p>
              <a:endParaRPr lang="en-US" sz="1200" i="1">
                <a:latin typeface="Cambria Math" panose="02040503050406030204" pitchFamily="18" charset="0"/>
              </a:endParaRPr>
            </a:p>
            <a:p>
              <a:pPr/>
              <a:r>
                <a:rPr lang="en-US" sz="1400" b="1" i="0" kern="1200">
                  <a:solidFill>
                    <a:schemeClr val="tx1"/>
                  </a:solidFill>
                  <a:effectLst/>
                  <a:latin typeface="Cambria Math" panose="02040503050406030204" pitchFamily="18" charset="0"/>
                  <a:ea typeface="+mn-ea"/>
                  <a:cs typeface="+mn-cs"/>
                </a:rPr>
                <a:t>𝑽_𝒐𝒖𝒕=𝑨_𝒗 〖</a:t>
              </a:r>
              <a:r>
                <a:rPr lang="en-CA" sz="1400" b="1" i="0" kern="1200">
                  <a:solidFill>
                    <a:schemeClr val="tx1"/>
                  </a:solidFill>
                  <a:effectLst/>
                  <a:latin typeface="Cambria Math" panose="02040503050406030204" pitchFamily="18" charset="0"/>
                  <a:ea typeface="+mn-ea"/>
                  <a:cs typeface="+mn-cs"/>
                </a:rPr>
                <a:t>(</a:t>
              </a:r>
              <a:r>
                <a:rPr lang="en-US" sz="1400" b="1" i="0" kern="1200">
                  <a:solidFill>
                    <a:schemeClr val="tx1"/>
                  </a:solidFill>
                  <a:effectLst/>
                  <a:latin typeface="Cambria Math" panose="02040503050406030204" pitchFamily="18" charset="0"/>
                  <a:ea typeface="+mn-ea"/>
                  <a:cs typeface="+mn-cs"/>
                </a:rPr>
                <a:t>𝑽〗_𝒊𝒏</a:t>
              </a:r>
              <a:r>
                <a:rPr lang="en-CA" sz="1400" b="1" i="0" kern="1200">
                  <a:solidFill>
                    <a:schemeClr val="tx1"/>
                  </a:solidFill>
                  <a:effectLst/>
                  <a:latin typeface="Cambria Math" panose="02040503050406030204" pitchFamily="18" charset="0"/>
                  <a:ea typeface="+mn-ea"/>
                  <a:cs typeface="+mn-cs"/>
                </a:rPr>
                <a:t>−𝑽_𝒃)</a:t>
              </a:r>
              <a:r>
                <a:rPr lang="en-US" sz="1400" b="1" i="0" kern="1200">
                  <a:solidFill>
                    <a:schemeClr val="tx1"/>
                  </a:solidFill>
                  <a:effectLst/>
                  <a:latin typeface="Cambria Math" panose="02040503050406030204" pitchFamily="18" charset="0"/>
                  <a:ea typeface="+mn-ea"/>
                  <a:cs typeface="+mn-cs"/>
                </a:rPr>
                <a:t>+𝑽_𝒃</a:t>
              </a:r>
              <a:endParaRPr lang="en-US" sz="1050" i="1">
                <a:latin typeface="Cambria Math" panose="02040503050406030204" pitchFamily="18" charset="0"/>
              </a:endParaRPr>
            </a:p>
            <a:p>
              <a:endParaRPr lang="en-US" sz="1050" i="1">
                <a:latin typeface="Cambria Math" panose="02040503050406030204" pitchFamily="18" charset="0"/>
              </a:endParaRPr>
            </a:p>
            <a:p>
              <a:pPr marL="0" marR="0" lvl="0" indent="0" algn="l" defTabSz="457200" rtl="0" eaLnBrk="1" fontAlgn="auto" latinLnBrk="0" hangingPunct="1">
                <a:lnSpc>
                  <a:spcPct val="100000"/>
                </a:lnSpc>
                <a:spcBef>
                  <a:spcPts val="0"/>
                </a:spcBef>
                <a:spcAft>
                  <a:spcPts val="0"/>
                </a:spcAft>
                <a:buClrTx/>
                <a:buSzTx/>
                <a:buFontTx/>
                <a:buNone/>
                <a:tabLst/>
                <a:defRPr/>
              </a:pPr>
              <a:r>
                <a:rPr lang="en-US" sz="1400" b="1" i="0" kern="1200">
                  <a:solidFill>
                    <a:schemeClr val="tx1"/>
                  </a:solidFill>
                  <a:effectLst/>
                  <a:latin typeface="Cambria Math" panose="02040503050406030204" pitchFamily="18" charset="0"/>
                  <a:ea typeface="+mn-ea"/>
                  <a:cs typeface="+mn-cs"/>
                </a:rPr>
                <a:t>𝑽_𝒐𝒖𝒕=𝑨_𝒗 〖</a:t>
              </a:r>
              <a:r>
                <a:rPr lang="en-CA" sz="1400" b="1" i="0" kern="1200">
                  <a:solidFill>
                    <a:schemeClr val="tx1"/>
                  </a:solidFill>
                  <a:effectLst/>
                  <a:latin typeface="Cambria Math" panose="02040503050406030204" pitchFamily="18" charset="0"/>
                  <a:ea typeface="+mn-ea"/>
                  <a:cs typeface="+mn-cs"/>
                </a:rPr>
                <a:t>(</a:t>
              </a:r>
              <a:r>
                <a:rPr lang="en-US" sz="1400" b="1" i="0" kern="1200">
                  <a:solidFill>
                    <a:schemeClr val="tx1"/>
                  </a:solidFill>
                  <a:effectLst/>
                  <a:latin typeface="Cambria Math" panose="02040503050406030204" pitchFamily="18" charset="0"/>
                  <a:ea typeface="+mn-ea"/>
                  <a:cs typeface="+mn-cs"/>
                </a:rPr>
                <a:t>𝑽〗_𝒊𝒏</a:t>
              </a:r>
              <a:r>
                <a:rPr lang="en-CA" sz="1400" b="1" i="0" kern="1200">
                  <a:solidFill>
                    <a:schemeClr val="tx1"/>
                  </a:solidFill>
                  <a:effectLst/>
                  <a:latin typeface="Cambria Math" panose="02040503050406030204" pitchFamily="18" charset="0"/>
                  <a:ea typeface="+mn-ea"/>
                  <a:cs typeface="+mn-cs"/>
                </a:rPr>
                <a:t>−𝑽^+/𝟐)</a:t>
              </a:r>
              <a:r>
                <a:rPr lang="en-US" sz="1400" b="1" i="0" kern="1200">
                  <a:solidFill>
                    <a:schemeClr val="tx1"/>
                  </a:solidFill>
                  <a:effectLst/>
                  <a:latin typeface="Cambria Math" panose="02040503050406030204" pitchFamily="18" charset="0"/>
                  <a:ea typeface="+mn-ea"/>
                  <a:cs typeface="+mn-cs"/>
                </a:rPr>
                <a:t>+</a:t>
              </a:r>
              <a:r>
                <a:rPr lang="en-CA" sz="1400" b="1" i="0" kern="1200">
                  <a:solidFill>
                    <a:schemeClr val="tx1"/>
                  </a:solidFill>
                  <a:effectLst/>
                  <a:latin typeface="Cambria Math" panose="02040503050406030204" pitchFamily="18" charset="0"/>
                  <a:ea typeface="+mn-ea"/>
                  <a:cs typeface="+mn-cs"/>
                </a:rPr>
                <a:t>𝑽^+/𝟐</a:t>
              </a:r>
              <a:endParaRPr lang="en-CA" sz="1400">
                <a:effectLst/>
              </a:endParaRPr>
            </a:p>
            <a:p>
              <a:endParaRPr lang="en-US" sz="1050" i="1">
                <a:latin typeface="Cambria Math" panose="02040503050406030204" pitchFamily="18" charset="0"/>
              </a:endParaRPr>
            </a:p>
          </xdr:txBody>
        </xdr:sp>
      </mc:Fallback>
    </mc:AlternateContent>
    <xdr:clientData/>
  </xdr:twoCellAnchor>
  <xdr:twoCellAnchor editAs="oneCell">
    <xdr:from>
      <xdr:col>17</xdr:col>
      <xdr:colOff>276225</xdr:colOff>
      <xdr:row>11</xdr:row>
      <xdr:rowOff>76200</xdr:rowOff>
    </xdr:from>
    <xdr:to>
      <xdr:col>23</xdr:col>
      <xdr:colOff>161925</xdr:colOff>
      <xdr:row>22</xdr:row>
      <xdr:rowOff>148185</xdr:rowOff>
    </xdr:to>
    <xdr:pic>
      <xdr:nvPicPr>
        <xdr:cNvPr id="4" name="Picture 3">
          <a:extLst>
            <a:ext uri="{FF2B5EF4-FFF2-40B4-BE49-F238E27FC236}">
              <a16:creationId xmlns:a16="http://schemas.microsoft.com/office/drawing/2014/main" id="{9EBC5183-4174-C0A2-934E-639294527FFE}"/>
            </a:ext>
          </a:extLst>
        </xdr:cNvPr>
        <xdr:cNvPicPr>
          <a:picLocks noChangeAspect="1"/>
        </xdr:cNvPicPr>
      </xdr:nvPicPr>
      <xdr:blipFill>
        <a:blip xmlns:r="http://schemas.openxmlformats.org/officeDocument/2006/relationships" r:embed="rId3"/>
        <a:stretch>
          <a:fillRect/>
        </a:stretch>
      </xdr:blipFill>
      <xdr:spPr>
        <a:xfrm>
          <a:off x="10677525" y="2733675"/>
          <a:ext cx="3543300" cy="216748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4ADEC7C-275F-4A06-8E1F-8B48A698D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468313</xdr:colOff>
      <xdr:row>0</xdr:row>
      <xdr:rowOff>117079</xdr:rowOff>
    </xdr:from>
    <xdr:to>
      <xdr:col>17</xdr:col>
      <xdr:colOff>210085</xdr:colOff>
      <xdr:row>11</xdr:row>
      <xdr:rowOff>105752</xdr:rowOff>
    </xdr:to>
    <xdr:pic>
      <xdr:nvPicPr>
        <xdr:cNvPr id="3" name="Picture 2">
          <a:extLst>
            <a:ext uri="{FF2B5EF4-FFF2-40B4-BE49-F238E27FC236}">
              <a16:creationId xmlns:a16="http://schemas.microsoft.com/office/drawing/2014/main" id="{0FAACE94-9C11-4715-825F-9CE225A54A1C}"/>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8659813" y="117079"/>
          <a:ext cx="2250022" cy="2455251"/>
        </a:xfrm>
        <a:prstGeom prst="rect">
          <a:avLst/>
        </a:prstGeom>
      </xdr:spPr>
    </xdr:pic>
    <xdr:clientData/>
  </xdr:twoCellAnchor>
  <xdr:twoCellAnchor>
    <xdr:from>
      <xdr:col>13</xdr:col>
      <xdr:colOff>336177</xdr:colOff>
      <xdr:row>12</xdr:row>
      <xdr:rowOff>89647</xdr:rowOff>
    </xdr:from>
    <xdr:to>
      <xdr:col>17</xdr:col>
      <xdr:colOff>386253</xdr:colOff>
      <xdr:row>20</xdr:row>
      <xdr:rowOff>113576</xdr:rowOff>
    </xdr:to>
    <mc:AlternateContent xmlns:mc="http://schemas.openxmlformats.org/markup-compatibility/2006" xmlns:a14="http://schemas.microsoft.com/office/drawing/2010/main">
      <mc:Choice Requires="a14">
        <xdr:sp macro="" textlink="">
          <xdr:nvSpPr>
            <xdr:cNvPr id="6" name="TextBox 12">
              <a:extLst>
                <a:ext uri="{FF2B5EF4-FFF2-40B4-BE49-F238E27FC236}">
                  <a16:creationId xmlns:a16="http://schemas.microsoft.com/office/drawing/2014/main" id="{56CEBC11-3FDE-4A36-9489-297CEBD6D677}"/>
                </a:ext>
              </a:extLst>
            </xdr:cNvPr>
            <xdr:cNvSpPr txBox="1"/>
          </xdr:nvSpPr>
          <xdr:spPr>
            <a:xfrm>
              <a:off x="8583706" y="2857500"/>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𝐴</m:t>
                        </m:r>
                      </m:e>
                      <m:sub>
                        <m:r>
                          <a:rPr lang="en-US" sz="1400" i="1" kern="1200">
                            <a:solidFill>
                              <a:schemeClr val="tx1"/>
                            </a:solidFill>
                            <a:effectLst/>
                            <a:latin typeface="Cambria Math" panose="02040503050406030204" pitchFamily="18" charset="0"/>
                            <a:ea typeface="+mn-ea"/>
                            <a:cs typeface="+mn-cs"/>
                          </a:rPr>
                          <m:t>𝑣</m:t>
                        </m:r>
                      </m:sub>
                    </m:sSub>
                    <m:r>
                      <a:rPr lang="en-US" sz="1400" i="0"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𝑖𝑛</m:t>
                            </m:r>
                          </m:sub>
                        </m:sSub>
                      </m:den>
                    </m:f>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b="0" i="1"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1</m:t>
                                </m:r>
                              </m:sub>
                            </m:sSub>
                          </m:den>
                        </m:f>
                      </m:e>
                    </m:d>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𝒐𝒖𝒕</m:t>
                        </m:r>
                      </m:sub>
                    </m:sSub>
                    <m:r>
                      <a:rPr lang="en-US" sz="1400" b="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𝒊𝒏</m:t>
                        </m:r>
                      </m:sub>
                    </m:sSub>
                    <m:r>
                      <a:rPr lang="en-US" sz="1400" b="1" kern="1200">
                        <a:solidFill>
                          <a:schemeClr val="tx1"/>
                        </a:solidFill>
                        <a:effectLst/>
                        <a:latin typeface="Cambria Math" panose="02040503050406030204" pitchFamily="18" charset="0"/>
                        <a:ea typeface="+mn-ea"/>
                        <a:cs typeface="+mn-cs"/>
                      </a:rPr>
                      <m:t>+</m:t>
                    </m:r>
                    <m:d>
                      <m:dPr>
                        <m:ctrlPr>
                          <a:rPr lang="en-US" sz="1400" b="1" i="1" kern="1200">
                            <a:solidFill>
                              <a:schemeClr val="tx1"/>
                            </a:solidFill>
                            <a:effectLst/>
                            <a:latin typeface="Cambria Math" panose="02040503050406030204" pitchFamily="18" charset="0"/>
                            <a:ea typeface="+mn-ea"/>
                            <a:cs typeface="+mn-cs"/>
                          </a:rPr>
                        </m:ctrlPr>
                      </m:dPr>
                      <m:e>
                        <m:r>
                          <a:rPr lang="en-US" sz="1400" b="1" i="1" kern="1200">
                            <a:solidFill>
                              <a:schemeClr val="tx1"/>
                            </a:solidFill>
                            <a:effectLst/>
                            <a:latin typeface="Cambria Math" panose="02040503050406030204" pitchFamily="18" charset="0"/>
                            <a:ea typeface="+mn-ea"/>
                            <a:cs typeface="+mn-cs"/>
                          </a:rPr>
                          <m:t>𝟏</m:t>
                        </m:r>
                        <m:r>
                          <a:rPr lang="en-US" sz="1400" b="1" i="1" kern="1200">
                            <a:solidFill>
                              <a:schemeClr val="tx1"/>
                            </a:solidFill>
                            <a:effectLst/>
                            <a:latin typeface="Cambria Math" panose="02040503050406030204" pitchFamily="18" charset="0"/>
                            <a:ea typeface="+mn-ea"/>
                            <a:cs typeface="+mn-cs"/>
                          </a:rPr>
                          <m:t>−</m:t>
                        </m:r>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𝑨</m:t>
                            </m:r>
                          </m:e>
                          <m:sub>
                            <m:r>
                              <a:rPr lang="en-US" sz="1400" b="1" i="1" kern="1200">
                                <a:solidFill>
                                  <a:schemeClr val="tx1"/>
                                </a:solidFill>
                                <a:effectLst/>
                                <a:latin typeface="Cambria Math" panose="02040503050406030204" pitchFamily="18" charset="0"/>
                                <a:ea typeface="+mn-ea"/>
                                <a:cs typeface="+mn-cs"/>
                              </a:rPr>
                              <m:t>𝒗</m:t>
                            </m:r>
                          </m:sub>
                        </m:sSub>
                      </m:e>
                    </m:d>
                    <m:sSub>
                      <m:sSubPr>
                        <m:ctrlPr>
                          <a:rPr lang="en-US" sz="1400" b="1" i="1" kern="1200">
                            <a:solidFill>
                              <a:schemeClr val="tx1"/>
                            </a:solidFill>
                            <a:effectLst/>
                            <a:latin typeface="Cambria Math" panose="02040503050406030204" pitchFamily="18" charset="0"/>
                            <a:ea typeface="+mn-ea"/>
                            <a:cs typeface="+mn-cs"/>
                          </a:rPr>
                        </m:ctrlPr>
                      </m:sSubPr>
                      <m:e>
                        <m:r>
                          <a:rPr lang="en-US" sz="1400" b="1" i="1" kern="1200">
                            <a:solidFill>
                              <a:schemeClr val="tx1"/>
                            </a:solidFill>
                            <a:effectLst/>
                            <a:latin typeface="Cambria Math" panose="02040503050406030204" pitchFamily="18" charset="0"/>
                            <a:ea typeface="+mn-ea"/>
                            <a:cs typeface="+mn-cs"/>
                          </a:rPr>
                          <m:t>𝑽</m:t>
                        </m:r>
                      </m:e>
                      <m:sub>
                        <m:r>
                          <a:rPr lang="en-US" sz="1400" b="1" i="1" kern="1200">
                            <a:solidFill>
                              <a:schemeClr val="tx1"/>
                            </a:solidFill>
                            <a:effectLst/>
                            <a:latin typeface="Cambria Math" panose="02040503050406030204" pitchFamily="18" charset="0"/>
                            <a:ea typeface="+mn-ea"/>
                            <a:cs typeface="+mn-cs"/>
                          </a:rPr>
                          <m:t>𝒃</m:t>
                        </m:r>
                      </m:sub>
                    </m:sSub>
                  </m:oMath>
                </m:oMathPara>
              </a14:m>
              <a:endParaRPr lang="en-US" sz="1200" i="1">
                <a:latin typeface="Cambria Math" panose="02040503050406030204" pitchFamily="18" charset="0"/>
              </a:endParaRPr>
            </a:p>
            <a:p>
              <a:pPr algn="ct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b="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sub>
                    </m:sSub>
                    <m:r>
                      <a:rPr lang="en-US" sz="1200" b="0" i="1">
                        <a:latin typeface="Cambria Math" panose="02040503050406030204" pitchFamily="18" charset="0"/>
                      </a:rPr>
                      <m:t>−</m:t>
                    </m:r>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𝑏</m:t>
                        </m:r>
                      </m:sub>
                    </m:sSub>
                  </m:oMath>
                </m:oMathPara>
              </a14:m>
              <a:endParaRPr lang="en-US" sz="1100" baseline="30000"/>
            </a:p>
          </xdr:txBody>
        </xdr:sp>
      </mc:Choice>
      <mc:Fallback xmlns="">
        <xdr:sp macro="" textlink="">
          <xdr:nvSpPr>
            <xdr:cNvPr id="6" name="TextBox 12">
              <a:extLst>
                <a:ext uri="{FF2B5EF4-FFF2-40B4-BE49-F238E27FC236}">
                  <a16:creationId xmlns:a16="http://schemas.microsoft.com/office/drawing/2014/main" id="{56CEBC11-3FDE-4A36-9489-297CEBD6D677}"/>
                </a:ext>
              </a:extLst>
            </xdr:cNvPr>
            <xdr:cNvSpPr txBox="1"/>
          </xdr:nvSpPr>
          <xdr:spPr>
            <a:xfrm>
              <a:off x="8583706" y="2857500"/>
              <a:ext cx="2470547" cy="1547929"/>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Non-Inverting + Bias</a:t>
              </a:r>
            </a:p>
            <a:p>
              <a:r>
                <a:rPr lang="en-US" sz="1400" i="0" kern="1200">
                  <a:solidFill>
                    <a:schemeClr val="tx1"/>
                  </a:solidFill>
                  <a:effectLst/>
                  <a:latin typeface="+mn-lt"/>
                  <a:ea typeface="+mn-ea"/>
                  <a:cs typeface="+mn-cs"/>
                </a:rPr>
                <a:t>𝐴_𝑣=𝑉_𝑜𝑢𝑡/𝑉_𝑖𝑛 =(</a:t>
              </a:r>
              <a:r>
                <a:rPr lang="en-US" sz="1400" b="0" i="0" kern="1200">
                  <a:solidFill>
                    <a:schemeClr val="tx1"/>
                  </a:solidFill>
                  <a:effectLst/>
                  <a:latin typeface="+mn-lt"/>
                  <a:ea typeface="+mn-ea"/>
                  <a:cs typeface="+mn-cs"/>
                </a:rPr>
                <a:t>1+</a:t>
              </a:r>
              <a:r>
                <a:rPr lang="en-US" sz="1400" i="0" kern="1200">
                  <a:solidFill>
                    <a:schemeClr val="tx1"/>
                  </a:solidFill>
                  <a:effectLst/>
                  <a:latin typeface="+mn-lt"/>
                  <a:ea typeface="+mn-ea"/>
                  <a:cs typeface="+mn-cs"/>
                </a:rPr>
                <a:t>𝑅_𝐹/𝑅_1 )</a:t>
              </a:r>
              <a:endParaRPr lang="en-US" sz="1200">
                <a:effectLst/>
              </a:endParaRPr>
            </a:p>
            <a:p>
              <a:r>
                <a:rPr lang="en-US" sz="1400" b="1" i="0" kern="1200">
                  <a:solidFill>
                    <a:schemeClr val="tx1"/>
                  </a:solidFill>
                  <a:effectLst/>
                  <a:latin typeface="+mn-lt"/>
                  <a:ea typeface="+mn-ea"/>
                  <a:cs typeface="+mn-cs"/>
                </a:rPr>
                <a:t>𝑽_𝒐𝒖𝒕=𝑨_𝒗 𝑽_𝒊𝒏+(𝟏−𝑨_𝒗 ) 𝑽_𝒃</a:t>
              </a:r>
              <a:endParaRPr lang="en-US" sz="1200" i="1">
                <a:latin typeface="Cambria Math" panose="02040503050406030204" pitchFamily="18" charset="0"/>
              </a:endParaRPr>
            </a:p>
            <a:p>
              <a:pPr algn="ctr"/>
              <a:r>
                <a:rPr lang="en-US" sz="1200" i="0">
                  <a:latin typeface="Cambria Math" panose="02040503050406030204" pitchFamily="18" charset="0"/>
                </a:rPr>
                <a:t>𝑉_𝑜𝑢𝑡=(</a:t>
              </a:r>
              <a:r>
                <a:rPr lang="en-US" sz="1200" b="0" i="0">
                  <a:latin typeface="Cambria Math" panose="02040503050406030204" pitchFamily="18" charset="0"/>
                </a:rPr>
                <a:t>1+</a:t>
              </a:r>
              <a:r>
                <a:rPr lang="en-US" sz="1200" i="0">
                  <a:latin typeface="Cambria Math" panose="02040503050406030204" pitchFamily="18" charset="0"/>
                </a:rPr>
                <a:t>𝑅_𝐹/𝑅_1 ) 𝑉_𝑖𝑛</a:t>
              </a:r>
              <a:r>
                <a:rPr lang="en-US" sz="1200" b="0" i="0">
                  <a:latin typeface="Cambria Math" panose="02040503050406030204" pitchFamily="18" charset="0"/>
                </a:rPr>
                <a:t>−</a:t>
              </a:r>
              <a:r>
                <a:rPr lang="en-US" sz="1200" i="0">
                  <a:latin typeface="Cambria Math" panose="02040503050406030204" pitchFamily="18" charset="0"/>
                </a:rPr>
                <a:t>(𝑅_𝐹/𝑅_1 ) 𝑉_𝑏</a:t>
              </a:r>
              <a:endParaRPr lang="en-US" sz="1100" baseline="30000"/>
            </a:p>
          </xdr:txBody>
        </xdr:sp>
      </mc:Fallback>
    </mc:AlternateContent>
    <xdr:clientData/>
  </xdr:twoCellAnchor>
</xdr:wsDr>
</file>

<file path=xl/drawings/drawing25.xml><?xml version="1.0" encoding="utf-8"?>
<xdr:wsDr xmlns:xdr="http://schemas.openxmlformats.org/drawingml/2006/spreadsheetDrawing" xmlns:a="http://schemas.openxmlformats.org/drawingml/2006/main">
  <xdr:twoCellAnchor>
    <xdr:from>
      <xdr:col>5</xdr:col>
      <xdr:colOff>581424</xdr:colOff>
      <xdr:row>13</xdr:row>
      <xdr:rowOff>7539</xdr:rowOff>
    </xdr:from>
    <xdr:to>
      <xdr:col>12</xdr:col>
      <xdr:colOff>311549</xdr:colOff>
      <xdr:row>27</xdr:row>
      <xdr:rowOff>121443</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436562</xdr:colOff>
      <xdr:row>0</xdr:row>
      <xdr:rowOff>349251</xdr:rowOff>
    </xdr:from>
    <xdr:to>
      <xdr:col>17</xdr:col>
      <xdr:colOff>462881</xdr:colOff>
      <xdr:row>11</xdr:row>
      <xdr:rowOff>102761</xdr:rowOff>
    </xdr:to>
    <xdr:pic>
      <xdr:nvPicPr>
        <xdr:cNvPr id="6" name="Picture 5">
          <a:extLst>
            <a:ext uri="{FF2B5EF4-FFF2-40B4-BE49-F238E27FC236}">
              <a16:creationId xmlns:a16="http://schemas.microsoft.com/office/drawing/2014/main" id="{00000000-0008-0000-0800-000006000000}"/>
            </a:ext>
          </a:extLst>
        </xdr:cNvPr>
        <xdr:cNvPicPr/>
      </xdr:nvPicPr>
      <xdr:blipFill>
        <a:blip xmlns:r="http://schemas.openxmlformats.org/officeDocument/2006/relationships" r:embed="rId2" cstate="hqprint">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7758906" y="349251"/>
          <a:ext cx="3052491" cy="2333198"/>
        </a:xfrm>
        <a:prstGeom prst="rect">
          <a:avLst/>
        </a:prstGeom>
      </xdr:spPr>
    </xdr:pic>
    <xdr:clientData/>
  </xdr:twoCellAnchor>
  <xdr:twoCellAnchor>
    <xdr:from>
      <xdr:col>12</xdr:col>
      <xdr:colOff>426641</xdr:colOff>
      <xdr:row>12</xdr:row>
      <xdr:rowOff>19845</xdr:rowOff>
    </xdr:from>
    <xdr:to>
      <xdr:col>18</xdr:col>
      <xdr:colOff>158750</xdr:colOff>
      <xdr:row>23</xdr:row>
      <xdr:rowOff>59533</xdr:rowOff>
    </xdr:to>
    <mc:AlternateContent xmlns:mc="http://schemas.openxmlformats.org/markup-compatibility/2006" xmlns:a14="http://schemas.microsoft.com/office/drawing/2010/main">
      <mc:Choice Requires="a14">
        <xdr:sp macro="" textlink="">
          <xdr:nvSpPr>
            <xdr:cNvPr id="8" name="TextBox 8">
              <a:extLst>
                <a:ext uri="{FF2B5EF4-FFF2-40B4-BE49-F238E27FC236}">
                  <a16:creationId xmlns:a16="http://schemas.microsoft.com/office/drawing/2014/main" id="{00000000-0008-0000-0800-000008000000}"/>
                </a:ext>
              </a:extLst>
            </xdr:cNvPr>
            <xdr:cNvSpPr txBox="1"/>
          </xdr:nvSpPr>
          <xdr:spPr>
            <a:xfrm>
              <a:off x="7748985" y="2778126"/>
              <a:ext cx="3363515"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Differential Amplifier</a:t>
              </a:r>
            </a:p>
            <a:p>
              <a:pPr/>
              <a14:m>
                <m:oMathPara xmlns:m="http://schemas.openxmlformats.org/officeDocument/2006/math">
                  <m:oMathParaPr>
                    <m:jc m:val="centerGroup"/>
                  </m:oMathParaPr>
                  <m:oMath xmlns:m="http://schemas.openxmlformats.org/officeDocument/2006/math">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𝑜𝑢𝑡</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r>
                          <a:rPr lang="en-US" sz="1200" i="1">
                            <a:latin typeface="Cambria Math" panose="02040503050406030204" pitchFamily="18" charset="0"/>
                          </a:rPr>
                          <m:t>,1</m:t>
                        </m:r>
                      </m:sub>
                    </m:sSub>
                    <m:r>
                      <a:rPr lang="en-US" sz="1200" i="1">
                        <a:latin typeface="Cambria Math" panose="02040503050406030204" pitchFamily="18" charset="0"/>
                      </a:rPr>
                      <m:t>+</m:t>
                    </m:r>
                    <m:d>
                      <m:dPr>
                        <m:ctrlPr>
                          <a:rPr lang="en-US" sz="1200" i="1">
                            <a:latin typeface="Cambria Math" panose="02040503050406030204" pitchFamily="18" charset="0"/>
                          </a:rPr>
                        </m:ctrlPr>
                      </m:dPr>
                      <m:e>
                        <m:r>
                          <a:rPr lang="en-US" sz="1200" i="1">
                            <a:latin typeface="Cambria Math" panose="02040503050406030204" pitchFamily="18" charset="0"/>
                          </a:rPr>
                          <m:t>1+</m:t>
                        </m:r>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𝐹</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1</m:t>
                                </m:r>
                              </m:sub>
                            </m:sSub>
                          </m:den>
                        </m:f>
                      </m:e>
                    </m:d>
                    <m:d>
                      <m:dPr>
                        <m:ctrlPr>
                          <a:rPr lang="en-US" sz="1200" i="1">
                            <a:latin typeface="Cambria Math" panose="02040503050406030204" pitchFamily="18" charset="0"/>
                          </a:rPr>
                        </m:ctrlPr>
                      </m:dPr>
                      <m:e>
                        <m:f>
                          <m:fPr>
                            <m:ctrlPr>
                              <a:rPr lang="en-US" sz="1200" i="1">
                                <a:latin typeface="Cambria Math" panose="02040503050406030204" pitchFamily="18" charset="0"/>
                              </a:rPr>
                            </m:ctrlPr>
                          </m:fPr>
                          <m:num>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3</m:t>
                                </m:r>
                              </m:sub>
                            </m:sSub>
                          </m:num>
                          <m:den>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2</m:t>
                                </m:r>
                              </m:sub>
                            </m:sSub>
                            <m:r>
                              <a:rPr lang="en-US" sz="1200" i="1">
                                <a:latin typeface="Cambria Math" panose="02040503050406030204" pitchFamily="18" charset="0"/>
                              </a:rPr>
                              <m:t>+</m:t>
                            </m:r>
                            <m:sSub>
                              <m:sSubPr>
                                <m:ctrlPr>
                                  <a:rPr lang="en-US" sz="1200" i="1">
                                    <a:latin typeface="Cambria Math" panose="02040503050406030204" pitchFamily="18" charset="0"/>
                                  </a:rPr>
                                </m:ctrlPr>
                              </m:sSubPr>
                              <m:e>
                                <m:r>
                                  <a:rPr lang="en-US" sz="1200" i="1">
                                    <a:latin typeface="Cambria Math" panose="02040503050406030204" pitchFamily="18" charset="0"/>
                                  </a:rPr>
                                  <m:t>𝑅</m:t>
                                </m:r>
                              </m:e>
                              <m:sub>
                                <m:r>
                                  <a:rPr lang="en-US" sz="1200" i="1">
                                    <a:latin typeface="Cambria Math" panose="02040503050406030204" pitchFamily="18" charset="0"/>
                                  </a:rPr>
                                  <m:t>3</m:t>
                                </m:r>
                              </m:sub>
                            </m:sSub>
                          </m:den>
                        </m:f>
                      </m:e>
                    </m:d>
                    <m:sSub>
                      <m:sSubPr>
                        <m:ctrlPr>
                          <a:rPr lang="en-US" sz="1200" i="1">
                            <a:latin typeface="Cambria Math" panose="02040503050406030204" pitchFamily="18" charset="0"/>
                          </a:rPr>
                        </m:ctrlPr>
                      </m:sSubPr>
                      <m:e>
                        <m:r>
                          <a:rPr lang="en-US" sz="1200" i="1">
                            <a:latin typeface="Cambria Math" panose="02040503050406030204" pitchFamily="18" charset="0"/>
                          </a:rPr>
                          <m:t>𝑉</m:t>
                        </m:r>
                      </m:e>
                      <m:sub>
                        <m:r>
                          <a:rPr lang="en-US" sz="1200" i="1">
                            <a:latin typeface="Cambria Math" panose="02040503050406030204" pitchFamily="18" charset="0"/>
                          </a:rPr>
                          <m:t>𝑖𝑛</m:t>
                        </m:r>
                        <m:r>
                          <a:rPr lang="en-US" sz="1200" i="1">
                            <a:latin typeface="Cambria Math" panose="02040503050406030204" pitchFamily="18" charset="0"/>
                          </a:rPr>
                          <m:t>,2</m:t>
                        </m:r>
                      </m:sub>
                    </m:sSub>
                  </m:oMath>
                </m:oMathPara>
              </a14:m>
              <a:endParaRPr lang="en-US" sz="1200"/>
            </a:p>
            <a:p>
              <a:r>
                <a:rPr lang="en-US" sz="1400" i="1"/>
                <a:t>If R</a:t>
              </a:r>
              <a:r>
                <a:rPr lang="en-US" sz="1400" i="1" baseline="-25000"/>
                <a:t>1</a:t>
              </a:r>
              <a:r>
                <a:rPr lang="en-US" sz="1400" i="1"/>
                <a:t>=R</a:t>
              </a:r>
              <a:r>
                <a:rPr lang="en-US" sz="1400" i="1" baseline="-25000"/>
                <a:t>2</a:t>
              </a:r>
              <a:r>
                <a:rPr lang="en-US" sz="1400" i="1"/>
                <a:t>, and R</a:t>
              </a:r>
              <a:r>
                <a:rPr lang="en-US" sz="1400" i="1" baseline="-25000"/>
                <a:t>3</a:t>
              </a:r>
              <a:r>
                <a:rPr lang="en-US" sz="1400" i="1"/>
                <a:t>=R</a:t>
              </a:r>
              <a:r>
                <a:rPr lang="en-US" sz="1400" i="1" baseline="-25000"/>
                <a:t>F</a:t>
              </a:r>
              <a:r>
                <a:rPr lang="en-US" sz="1400" i="1"/>
                <a:t>:</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d>
                      <m:dPr>
                        <m:ctrlPr>
                          <a:rPr lang="en-US" sz="1600" i="1">
                            <a:latin typeface="Cambria Math" panose="02040503050406030204" pitchFamily="18" charset="0"/>
                          </a:rPr>
                        </m:ctrlPr>
                      </m:dPr>
                      <m:e>
                        <m:f>
                          <m:fPr>
                            <m:ctrlPr>
                              <a:rPr lang="en-US" sz="1600" i="1">
                                <a:latin typeface="Cambria Math" panose="02040503050406030204" pitchFamily="18" charset="0"/>
                              </a:rPr>
                            </m:ctrlPr>
                          </m:fPr>
                          <m:num>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US" sz="1600" i="1">
                                    <a:latin typeface="Cambria Math" panose="02040503050406030204" pitchFamily="18" charset="0"/>
                                  </a:rPr>
                                  <m:t>𝐹</m:t>
                                </m:r>
                              </m:sub>
                            </m:sSub>
                          </m:num>
                          <m:den>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US" sz="1600" i="1">
                                    <a:latin typeface="Cambria Math" panose="02040503050406030204" pitchFamily="18" charset="0"/>
                                  </a:rPr>
                                  <m:t>1</m:t>
                                </m:r>
                              </m:sub>
                            </m:sSub>
                          </m:den>
                        </m:f>
                      </m:e>
                    </m:d>
                    <m:d>
                      <m:dPr>
                        <m:ctrlPr>
                          <a:rPr lang="en-US" sz="1600" i="1">
                            <a:latin typeface="Cambria Math" panose="02040503050406030204" pitchFamily="18" charset="0"/>
                          </a:rPr>
                        </m:ctrlPr>
                      </m:dPr>
                      <m:e>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,2</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,1</m:t>
                            </m:r>
                          </m:sub>
                        </m:sSub>
                      </m:e>
                    </m:d>
                  </m:oMath>
                </m:oMathPara>
              </a14:m>
              <a:endParaRPr lang="en-US" sz="1200"/>
            </a:p>
            <a:p>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,2</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𝑖𝑛</m:t>
                        </m:r>
                        <m:r>
                          <a:rPr lang="en-US" sz="1600" i="1">
                            <a:latin typeface="Cambria Math" panose="02040503050406030204" pitchFamily="18" charset="0"/>
                          </a:rPr>
                          <m:t>,1</m:t>
                        </m:r>
                      </m:sub>
                    </m:sSub>
                  </m:oMath>
                </m:oMathPara>
              </a14:m>
              <a:endParaRPr lang="en-US" sz="1200"/>
            </a:p>
            <a:p>
              <a:endParaRPr lang="en-US" sz="1200"/>
            </a:p>
          </xdr:txBody>
        </xdr:sp>
      </mc:Choice>
      <mc:Fallback xmlns="">
        <xdr:sp macro="" textlink="">
          <xdr:nvSpPr>
            <xdr:cNvPr id="8" name="TextBox 8">
              <a:extLst>
                <a:ext uri="{FF2B5EF4-FFF2-40B4-BE49-F238E27FC236}">
                  <a16:creationId xmlns:a16="http://schemas.microsoft.com/office/drawing/2014/main" id="{00000000-0008-0000-0800-000008000000}"/>
                </a:ext>
              </a:extLst>
            </xdr:cNvPr>
            <xdr:cNvSpPr txBox="1"/>
          </xdr:nvSpPr>
          <xdr:spPr>
            <a:xfrm>
              <a:off x="7748985" y="2778126"/>
              <a:ext cx="3363515"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Differential Amplifier</a:t>
              </a:r>
            </a:p>
            <a:p>
              <a:pPr/>
              <a:r>
                <a:rPr lang="en-US" sz="1200" i="0">
                  <a:latin typeface="Cambria Math" panose="02040503050406030204" pitchFamily="18" charset="0"/>
                </a:rPr>
                <a:t>𝑉_𝑜𝑢𝑡=(−𝑅_𝐹/𝑅_1 ) 𝑉_(𝑖𝑛,1)+(1+𝑅_𝐹/𝑅_1 )(𝑅_3/(𝑅_2+𝑅_3 )) 𝑉_(𝑖𝑛,2)</a:t>
              </a:r>
              <a:endParaRPr lang="en-US" sz="1200"/>
            </a:p>
            <a:p>
              <a:r>
                <a:rPr lang="en-US" sz="1400" i="1"/>
                <a:t>If R</a:t>
              </a:r>
              <a:r>
                <a:rPr lang="en-US" sz="1400" i="1" baseline="-25000"/>
                <a:t>1</a:t>
              </a:r>
              <a:r>
                <a:rPr lang="en-US" sz="1400" i="1"/>
                <a:t>=R</a:t>
              </a:r>
              <a:r>
                <a:rPr lang="en-US" sz="1400" i="1" baseline="-25000"/>
                <a:t>2</a:t>
              </a:r>
              <a:r>
                <a:rPr lang="en-US" sz="1400" i="1"/>
                <a:t>, and R</a:t>
              </a:r>
              <a:r>
                <a:rPr lang="en-US" sz="1400" i="1" baseline="-25000"/>
                <a:t>3</a:t>
              </a:r>
              <a:r>
                <a:rPr lang="en-US" sz="1400" i="1"/>
                <a:t>=R</a:t>
              </a:r>
              <a:r>
                <a:rPr lang="en-US" sz="1400" i="1" baseline="-25000"/>
                <a:t>F</a:t>
              </a:r>
              <a:r>
                <a:rPr lang="en-US" sz="1400" i="1"/>
                <a:t>:</a:t>
              </a:r>
            </a:p>
            <a:p>
              <a:pPr/>
              <a:r>
                <a:rPr lang="en-US" sz="1600" i="0">
                  <a:latin typeface="Cambria Math" panose="02040503050406030204" pitchFamily="18" charset="0"/>
                </a:rPr>
                <a:t>𝑉_𝑜𝑢𝑡=(𝑅_𝐹/𝑅_1 )(𝑉_(𝑖𝑛,2)−𝑉_(𝑖𝑛,1) )</a:t>
              </a:r>
              <a:endParaRPr lang="en-US" sz="1200"/>
            </a:p>
            <a:p>
              <a:r>
                <a:rPr lang="en-US" sz="1400" i="1"/>
                <a:t>If all resistor values equal:</a:t>
              </a:r>
            </a:p>
            <a:p>
              <a:pPr/>
              <a:r>
                <a:rPr lang="en-US" sz="1600" i="0">
                  <a:latin typeface="Cambria Math" panose="02040503050406030204" pitchFamily="18" charset="0"/>
                </a:rPr>
                <a:t>𝑉_𝑜𝑢𝑡=𝑉_(𝑖𝑛,2)−𝑉_(𝑖𝑛,1)</a:t>
              </a:r>
              <a:endParaRPr lang="en-US" sz="1200"/>
            </a:p>
            <a:p>
              <a:endParaRPr lang="en-US" sz="1200"/>
            </a:p>
          </xdr:txBody>
        </xdr:sp>
      </mc:Fallback>
    </mc:AlternateContent>
    <xdr:clientData/>
  </xdr:twoCellAnchor>
</xdr:wsDr>
</file>

<file path=xl/drawings/drawing26.xml><?xml version="1.0" encoding="utf-8"?>
<xdr:wsDr xmlns:xdr="http://schemas.openxmlformats.org/drawingml/2006/spreadsheetDrawing" xmlns:a="http://schemas.openxmlformats.org/drawingml/2006/main">
  <xdr:twoCellAnchor>
    <xdr:from>
      <xdr:col>5</xdr:col>
      <xdr:colOff>561580</xdr:colOff>
      <xdr:row>13</xdr:row>
      <xdr:rowOff>37305</xdr:rowOff>
    </xdr:from>
    <xdr:to>
      <xdr:col>12</xdr:col>
      <xdr:colOff>291705</xdr:colOff>
      <xdr:row>27</xdr:row>
      <xdr:rowOff>151209</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515937</xdr:colOff>
      <xdr:row>0</xdr:row>
      <xdr:rowOff>369501</xdr:rowOff>
    </xdr:from>
    <xdr:to>
      <xdr:col>19</xdr:col>
      <xdr:colOff>5954</xdr:colOff>
      <xdr:row>10</xdr:row>
      <xdr:rowOff>116682</xdr:rowOff>
    </xdr:to>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2"/>
        <a:stretch>
          <a:fillRect/>
        </a:stretch>
      </xdr:blipFill>
      <xdr:spPr>
        <a:xfrm>
          <a:off x="7838281" y="369501"/>
          <a:ext cx="3726657" cy="2108587"/>
        </a:xfrm>
        <a:prstGeom prst="rect">
          <a:avLst/>
        </a:prstGeom>
      </xdr:spPr>
    </xdr:pic>
    <xdr:clientData/>
  </xdr:twoCellAnchor>
  <xdr:twoCellAnchor>
    <xdr:from>
      <xdr:col>12</xdr:col>
      <xdr:colOff>486172</xdr:colOff>
      <xdr:row>11</xdr:row>
      <xdr:rowOff>9921</xdr:rowOff>
    </xdr:from>
    <xdr:to>
      <xdr:col>19</xdr:col>
      <xdr:colOff>240395</xdr:colOff>
      <xdr:row>18</xdr:row>
      <xdr:rowOff>68142</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00000000-0008-0000-0900-000006000000}"/>
                </a:ext>
              </a:extLst>
            </xdr:cNvPr>
            <xdr:cNvSpPr txBox="1"/>
          </xdr:nvSpPr>
          <xdr:spPr>
            <a:xfrm>
              <a:off x="7808516" y="2569765"/>
              <a:ext cx="3990863"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den>
                        </m:f>
                        <m:r>
                          <a:rPr lang="en-US" sz="140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r>
                          <a:rPr lang="en-US" sz="1400">
                            <a:latin typeface="Cambria Math" panose="02040503050406030204" pitchFamily="18" charset="0"/>
                          </a:rPr>
                          <m:t>+</m:t>
                        </m:r>
                        <m:r>
                          <a:rPr lang="en-US" sz="1400" b="0" i="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m:rPr>
                                    <m:sty m:val="p"/>
                                  </m:rPr>
                                  <a:rPr lang="en-US" sz="1400" b="0" i="0">
                                    <a:latin typeface="Cambria Math" panose="02040503050406030204" pitchFamily="18" charset="0"/>
                                  </a:rPr>
                                  <m:t>n</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m:rPr>
                                    <m:sty m:val="p"/>
                                  </m:rPr>
                                  <a:rPr lang="en-US" sz="1400" b="0" i="0">
                                    <a:latin typeface="Cambria Math" panose="02040503050406030204" pitchFamily="18" charset="0"/>
                                  </a:rPr>
                                  <m:t>n</m:t>
                                </m:r>
                              </m:sub>
                            </m:sSub>
                          </m:den>
                        </m:f>
                      </m:e>
                    </m:d>
                  </m:oMath>
                </m:oMathPara>
              </a14:m>
              <a:endParaRPr lang="en-US" sz="1200"/>
            </a:p>
            <a:p>
              <a:pPr>
                <a:spcBef>
                  <a:spcPts val="600"/>
                </a:spcBef>
                <a:spcAft>
                  <a:spcPts val="600"/>
                </a:spcAft>
              </a:pPr>
              <a:r>
                <a:rPr lang="en-US" sz="1200" i="1"/>
                <a:t>If all resistor values equal:</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r>
                      <a:rPr lang="en-US" sz="1400" b="0" i="1">
                        <a:latin typeface="Cambria Math" panose="02040503050406030204" pitchFamily="18" charset="0"/>
                      </a:rPr>
                      <m:t>−</m:t>
                    </m:r>
                    <m:d>
                      <m:dPr>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1</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2</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b="0" i="1">
                                <a:latin typeface="Cambria Math" panose="02040503050406030204" pitchFamily="18" charset="0"/>
                              </a:rPr>
                              <m:t>…+</m:t>
                            </m:r>
                            <m:r>
                              <a:rPr lang="en-US" sz="1400" i="1">
                                <a:latin typeface="Cambria Math" panose="02040503050406030204" pitchFamily="18" charset="0"/>
                              </a:rPr>
                              <m:t>𝑉</m:t>
                            </m:r>
                          </m:e>
                          <m:sub>
                            <m:r>
                              <a:rPr lang="en-US" sz="1400" b="0" i="1">
                                <a:latin typeface="Cambria Math" panose="02040503050406030204" pitchFamily="18" charset="0"/>
                              </a:rPr>
                              <m:t>𝑛</m:t>
                            </m:r>
                          </m:sub>
                        </m:sSub>
                      </m:e>
                    </m:d>
                  </m:oMath>
                </m:oMathPara>
              </a14:m>
              <a:endParaRPr lang="en-US" sz="1200"/>
            </a:p>
          </xdr:txBody>
        </xdr:sp>
      </mc:Choice>
      <mc:Fallback xmlns="">
        <xdr:sp macro="" textlink="">
          <xdr:nvSpPr>
            <xdr:cNvPr id="6" name="TextBox 8">
              <a:extLst>
                <a:ext uri="{FF2B5EF4-FFF2-40B4-BE49-F238E27FC236}">
                  <a16:creationId xmlns:a16="http://schemas.microsoft.com/office/drawing/2014/main" id="{00000000-0008-0000-0900-000006000000}"/>
                </a:ext>
              </a:extLst>
            </xdr:cNvPr>
            <xdr:cNvSpPr txBox="1"/>
          </xdr:nvSpPr>
          <xdr:spPr>
            <a:xfrm>
              <a:off x="7808516" y="2569765"/>
              <a:ext cx="3990863" cy="1387752"/>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r>
                <a:rPr lang="en-US" sz="1400" i="0">
                  <a:latin typeface="Cambria Math" panose="02040503050406030204" pitchFamily="18" charset="0"/>
                </a:rPr>
                <a:t>𝑉_𝑜𝑢𝑡=−𝑅_𝐹 (𝑉_1/𝑅_1 +𝑉_2/𝑅_2 +</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n/</a:t>
              </a:r>
              <a:r>
                <a:rPr lang="en-US" sz="1400" i="0">
                  <a:latin typeface="Cambria Math" panose="02040503050406030204" pitchFamily="18" charset="0"/>
                </a:rPr>
                <a:t>𝑅_</a:t>
              </a:r>
              <a:r>
                <a:rPr lang="en-US" sz="1400" b="0" i="0">
                  <a:latin typeface="Cambria Math" panose="02040503050406030204" pitchFamily="18" charset="0"/>
                </a:rPr>
                <a:t>n )</a:t>
              </a:r>
              <a:endParaRPr lang="en-US" sz="1200"/>
            </a:p>
            <a:p>
              <a:pPr>
                <a:spcBef>
                  <a:spcPts val="600"/>
                </a:spcBef>
                <a:spcAft>
                  <a:spcPts val="600"/>
                </a:spcAft>
              </a:pPr>
              <a:r>
                <a:rPr lang="en-US" sz="1200" i="1"/>
                <a:t>If all resistor values equal:</a:t>
              </a:r>
            </a:p>
            <a:p>
              <a:pPr/>
              <a:r>
                <a:rPr lang="en-US" sz="1400" i="0">
                  <a:latin typeface="Cambria Math" panose="02040503050406030204" pitchFamily="18" charset="0"/>
                </a:rPr>
                <a:t>𝑉_𝑜𝑢𝑡=</a:t>
              </a:r>
              <a:r>
                <a:rPr lang="en-US" sz="1400" b="0" i="0">
                  <a:latin typeface="Cambria Math" panose="02040503050406030204" pitchFamily="18" charset="0"/>
                </a:rPr>
                <a:t>−</a:t>
              </a:r>
              <a:r>
                <a:rPr lang="en-US" sz="1400" i="0">
                  <a:latin typeface="Cambria Math" panose="02040503050406030204" pitchFamily="18" charset="0"/>
                </a:rPr>
                <a:t>(𝑉_1+𝑉_2+〖</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𝑛 )</a:t>
              </a:r>
              <a:endParaRPr lang="en-US" sz="1200"/>
            </a:p>
          </xdr:txBody>
        </xdr:sp>
      </mc:Fallback>
    </mc:AlternateContent>
    <xdr:clientData/>
  </xdr:twoCellAnchor>
</xdr:wsDr>
</file>

<file path=xl/drawings/drawing27.xml><?xml version="1.0" encoding="utf-8"?>
<xdr:wsDr xmlns:xdr="http://schemas.openxmlformats.org/drawingml/2006/spreadsheetDrawing" xmlns:a="http://schemas.openxmlformats.org/drawingml/2006/main">
  <xdr:twoCellAnchor>
    <xdr:from>
      <xdr:col>5</xdr:col>
      <xdr:colOff>541737</xdr:colOff>
      <xdr:row>14</xdr:row>
      <xdr:rowOff>106758</xdr:rowOff>
    </xdr:from>
    <xdr:to>
      <xdr:col>12</xdr:col>
      <xdr:colOff>271862</xdr:colOff>
      <xdr:row>29</xdr:row>
      <xdr:rowOff>32146</xdr:rowOff>
    </xdr:to>
    <xdr:graphicFrame macro="">
      <xdr:nvGraphicFramePr>
        <xdr:cNvPr id="2" name="Chart 1">
          <a:extLst>
            <a:ext uri="{FF2B5EF4-FFF2-40B4-BE49-F238E27FC236}">
              <a16:creationId xmlns:a16="http://schemas.microsoft.com/office/drawing/2014/main" id="{71126F74-BE16-4FF3-95D8-DAC833443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160306</xdr:colOff>
      <xdr:row>1</xdr:row>
      <xdr:rowOff>42079</xdr:rowOff>
    </xdr:from>
    <xdr:to>
      <xdr:col>17</xdr:col>
      <xdr:colOff>252444</xdr:colOff>
      <xdr:row>11</xdr:row>
      <xdr:rowOff>166291</xdr:rowOff>
    </xdr:to>
    <xdr:pic>
      <xdr:nvPicPr>
        <xdr:cNvPr id="3" name="Picture 2">
          <a:extLst>
            <a:ext uri="{FF2B5EF4-FFF2-40B4-BE49-F238E27FC236}">
              <a16:creationId xmlns:a16="http://schemas.microsoft.com/office/drawing/2014/main" id="{954643CB-0BBD-4F2B-A074-0DFD81E5A5C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6877415" y="637392"/>
          <a:ext cx="3723545" cy="2108587"/>
        </a:xfrm>
        <a:prstGeom prst="rect">
          <a:avLst/>
        </a:prstGeom>
      </xdr:spPr>
    </xdr:pic>
    <xdr:clientData/>
  </xdr:twoCellAnchor>
  <xdr:twoCellAnchor>
    <xdr:from>
      <xdr:col>12</xdr:col>
      <xdr:colOff>119063</xdr:colOff>
      <xdr:row>11</xdr:row>
      <xdr:rowOff>178591</xdr:rowOff>
    </xdr:from>
    <xdr:to>
      <xdr:col>17</xdr:col>
      <xdr:colOff>565546</xdr:colOff>
      <xdr:row>23</xdr:row>
      <xdr:rowOff>79375</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72F94F4A-6488-4759-8AB6-D5F669D1E34B}"/>
                </a:ext>
              </a:extLst>
            </xdr:cNvPr>
            <xdr:cNvSpPr txBox="1"/>
          </xdr:nvSpPr>
          <xdr:spPr>
            <a:xfrm>
              <a:off x="7441407" y="2758279"/>
              <a:ext cx="3472655" cy="2182815"/>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den>
                        </m:f>
                        <m:r>
                          <a:rPr lang="en-US" sz="140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r>
                          <a:rPr lang="en-US" sz="1400">
                            <a:latin typeface="Cambria Math" panose="02040503050406030204" pitchFamily="18" charset="0"/>
                          </a:rPr>
                          <m:t>+</m:t>
                        </m:r>
                        <m:r>
                          <a:rPr lang="en-US" sz="1400" b="0" i="0">
                            <a:latin typeface="Cambria Math" panose="02040503050406030204" pitchFamily="18" charset="0"/>
                          </a:rPr>
                          <m:t>…+</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m:rPr>
                                    <m:sty m:val="p"/>
                                  </m:rPr>
                                  <a:rPr lang="en-US" sz="1400" b="0" i="0">
                                    <a:latin typeface="Cambria Math" panose="02040503050406030204" pitchFamily="18" charset="0"/>
                                  </a:rPr>
                                  <m:t>n</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m:rPr>
                                    <m:sty m:val="p"/>
                                  </m:rPr>
                                  <a:rPr lang="en-US" sz="1400" b="0" i="0">
                                    <a:latin typeface="Cambria Math" panose="02040503050406030204" pitchFamily="18" charset="0"/>
                                  </a:rPr>
                                  <m:t>n</m:t>
                                </m:r>
                              </m:sub>
                            </m:sSub>
                          </m:den>
                        </m:f>
                      </m:e>
                    </m:d>
                  </m:oMath>
                </m:oMathPara>
              </a14:m>
              <a:endParaRPr lang="en-US" sz="1200"/>
            </a:p>
            <a:p>
              <a:pPr rtl="0" eaLnBrk="1" fontAlgn="auto" latinLnBrk="0" hangingPunct="1"/>
              <a:r>
                <a:rPr lang="en-US" sz="1200" i="1" kern="1200">
                  <a:solidFill>
                    <a:schemeClr val="tx1"/>
                  </a:solidFill>
                  <a:latin typeface="+mn-lt"/>
                  <a:ea typeface="+mn-ea"/>
                  <a:cs typeface="+mn-cs"/>
                </a:rPr>
                <a:t>If R</a:t>
              </a:r>
              <a:r>
                <a:rPr lang="en-US" sz="1200" i="1" kern="1200" baseline="-25000">
                  <a:solidFill>
                    <a:schemeClr val="tx1"/>
                  </a:solidFill>
                  <a:latin typeface="+mn-lt"/>
                  <a:ea typeface="+mn-ea"/>
                  <a:cs typeface="+mn-cs"/>
                </a:rPr>
                <a:t>1</a:t>
              </a:r>
              <a:r>
                <a:rPr lang="en-US" sz="1200" i="1" kern="1200">
                  <a:solidFill>
                    <a:schemeClr val="tx1"/>
                  </a:solidFill>
                  <a:latin typeface="+mn-lt"/>
                  <a:ea typeface="+mn-ea"/>
                  <a:cs typeface="+mn-cs"/>
                </a:rPr>
                <a:t> = R</a:t>
              </a:r>
              <a:r>
                <a:rPr lang="en-US" sz="1200" i="1" kern="1200" baseline="-25000">
                  <a:solidFill>
                    <a:schemeClr val="tx1"/>
                  </a:solidFill>
                  <a:latin typeface="+mn-lt"/>
                  <a:ea typeface="+mn-ea"/>
                  <a:cs typeface="+mn-cs"/>
                </a:rPr>
                <a:t>2</a:t>
              </a:r>
              <a:r>
                <a:rPr lang="en-US" sz="1200" i="1" kern="1200">
                  <a:solidFill>
                    <a:schemeClr val="tx1"/>
                  </a:solidFill>
                  <a:latin typeface="+mn-lt"/>
                  <a:ea typeface="+mn-ea"/>
                  <a:cs typeface="+mn-cs"/>
                </a:rPr>
                <a:t> = ... = R</a:t>
              </a:r>
              <a:r>
                <a:rPr lang="en-US" sz="1200" i="1" kern="1200" baseline="-25000">
                  <a:solidFill>
                    <a:schemeClr val="tx1"/>
                  </a:solidFill>
                  <a:latin typeface="+mn-lt"/>
                  <a:ea typeface="+mn-ea"/>
                  <a:cs typeface="+mn-cs"/>
                </a:rPr>
                <a:t>n</a:t>
              </a:r>
              <a:r>
                <a:rPr lang="en-US" sz="1200" i="1" kern="1200">
                  <a:solidFill>
                    <a:schemeClr val="tx1"/>
                  </a:solidFill>
                  <a:latin typeface="+mn-lt"/>
                  <a:ea typeface="+mn-ea"/>
                  <a:cs typeface="+mn-cs"/>
                </a:rPr>
                <a:t>:</a:t>
              </a:r>
              <a:endParaRPr lang="en-CA" sz="1200" i="1" kern="1200">
                <a:solidFill>
                  <a:schemeClr val="tx1"/>
                </a:solidFill>
                <a:latin typeface="+mn-lt"/>
                <a:ea typeface="+mn-ea"/>
                <a:cs typeface="+mn-cs"/>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b="0" i="1" kern="1200">
                                <a:solidFill>
                                  <a:schemeClr val="tx1"/>
                                </a:solidFill>
                                <a:effectLst/>
                                <a:latin typeface="Cambria Math" panose="02040503050406030204" pitchFamily="18" charset="0"/>
                                <a:ea typeface="+mn-ea"/>
                                <a:cs typeface="+mn-cs"/>
                              </a:rPr>
                              <m:t>1</m:t>
                            </m:r>
                          </m:sub>
                        </m:sSub>
                      </m:den>
                    </m:f>
                    <m:d>
                      <m:dPr>
                        <m:ctrlPr>
                          <a:rPr lang="en-US" sz="1400" i="1" kern="1200">
                            <a:solidFill>
                              <a:schemeClr val="tx1"/>
                            </a:solidFill>
                            <a:effectLst/>
                            <a:latin typeface="Cambria Math" panose="02040503050406030204" pitchFamily="18" charset="0"/>
                            <a:ea typeface="+mn-ea"/>
                            <a:cs typeface="+mn-cs"/>
                          </a:rPr>
                        </m:ctrlPr>
                      </m:dPr>
                      <m:e>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1</m:t>
                            </m:r>
                          </m:sub>
                        </m:sSub>
                        <m:r>
                          <a:rPr lang="en-US" sz="1400" b="0" i="1" kern="1200">
                            <a:solidFill>
                              <a:schemeClr val="tx1"/>
                            </a:solidFill>
                            <a:effectLst/>
                            <a:latin typeface="Cambria Math" panose="02040503050406030204" pitchFamily="18" charset="0"/>
                            <a:ea typeface="+mn-ea"/>
                            <a:cs typeface="+mn-cs"/>
                          </a:rPr>
                          <m:t>+</m:t>
                        </m:r>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b="0" i="0" kern="1200">
                                <a:solidFill>
                                  <a:schemeClr val="tx1"/>
                                </a:solidFill>
                                <a:effectLst/>
                                <a:latin typeface="Cambria Math" panose="02040503050406030204" pitchFamily="18" charset="0"/>
                                <a:ea typeface="+mn-ea"/>
                                <a:cs typeface="+mn-cs"/>
                              </a:rPr>
                              <m:t>2</m:t>
                            </m:r>
                          </m:sub>
                        </m:sSub>
                        <m:r>
                          <a:rPr lang="en-US" sz="1400" b="0" i="1" kern="1200">
                            <a:solidFill>
                              <a:schemeClr val="tx1"/>
                            </a:solidFill>
                            <a:effectLst/>
                            <a:latin typeface="Cambria Math" panose="02040503050406030204" pitchFamily="18" charset="0"/>
                            <a:ea typeface="+mn-ea"/>
                            <a:cs typeface="+mn-cs"/>
                          </a:rPr>
                          <m:t>+…+</m:t>
                        </m:r>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b="0" i="1" kern="1200">
                                <a:solidFill>
                                  <a:schemeClr val="tx1"/>
                                </a:solidFill>
                                <a:effectLst/>
                                <a:latin typeface="Cambria Math" panose="02040503050406030204" pitchFamily="18" charset="0"/>
                                <a:ea typeface="+mn-ea"/>
                                <a:cs typeface="+mn-cs"/>
                              </a:rPr>
                              <m:t>𝑛</m:t>
                            </m:r>
                          </m:sub>
                        </m:sSub>
                      </m:e>
                    </m:d>
                  </m:oMath>
                </m:oMathPara>
              </a14:m>
              <a:endParaRPr lang="en-US" sz="1400" i="1"/>
            </a:p>
            <a:p>
              <a:pPr>
                <a:spcBef>
                  <a:spcPts val="600"/>
                </a:spcBef>
                <a:spcAft>
                  <a:spcPts val="600"/>
                </a:spcAft>
              </a:pPr>
              <a:r>
                <a:rPr lang="en-US" sz="1200" i="1"/>
                <a:t>If all resistor values equal:</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i="1">
                        <a:latin typeface="Cambria Math" panose="02040503050406030204" pitchFamily="18" charset="0"/>
                      </a:rPr>
                      <m:t>=</m:t>
                    </m:r>
                    <m:r>
                      <a:rPr lang="en-US" sz="1400" b="0" i="1">
                        <a:latin typeface="Cambria Math" panose="02040503050406030204" pitchFamily="18" charset="0"/>
                      </a:rPr>
                      <m:t>−</m:t>
                    </m:r>
                    <m:d>
                      <m:dPr>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1</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2</m:t>
                            </m:r>
                          </m:sub>
                        </m:sSub>
                        <m:r>
                          <a:rPr lang="en-US" sz="1400" i="1">
                            <a:latin typeface="Cambria Math" panose="02040503050406030204" pitchFamily="18" charset="0"/>
                          </a:rPr>
                          <m:t>+</m:t>
                        </m:r>
                        <m:sSub>
                          <m:sSubPr>
                            <m:ctrlPr>
                              <a:rPr lang="en-US" sz="1400" i="1">
                                <a:latin typeface="Cambria Math" panose="02040503050406030204" pitchFamily="18" charset="0"/>
                              </a:rPr>
                            </m:ctrlPr>
                          </m:sSubPr>
                          <m:e>
                            <m:r>
                              <a:rPr lang="en-US" sz="1400" b="0" i="1">
                                <a:latin typeface="Cambria Math" panose="02040503050406030204" pitchFamily="18" charset="0"/>
                              </a:rPr>
                              <m:t>…+</m:t>
                            </m:r>
                            <m:r>
                              <a:rPr lang="en-US" sz="1400" i="1">
                                <a:latin typeface="Cambria Math" panose="02040503050406030204" pitchFamily="18" charset="0"/>
                              </a:rPr>
                              <m:t>𝑉</m:t>
                            </m:r>
                          </m:e>
                          <m:sub>
                            <m:r>
                              <a:rPr lang="en-US" sz="1400" b="0" i="1">
                                <a:latin typeface="Cambria Math" panose="02040503050406030204" pitchFamily="18" charset="0"/>
                              </a:rPr>
                              <m:t>𝑛</m:t>
                            </m:r>
                          </m:sub>
                        </m:sSub>
                      </m:e>
                    </m:d>
                  </m:oMath>
                </m:oMathPara>
              </a14:m>
              <a:endParaRPr lang="en-US" sz="1200"/>
            </a:p>
          </xdr:txBody>
        </xdr:sp>
      </mc:Choice>
      <mc:Fallback xmlns="">
        <xdr:sp macro="" textlink="">
          <xdr:nvSpPr>
            <xdr:cNvPr id="4" name="TextBox 8">
              <a:extLst>
                <a:ext uri="{FF2B5EF4-FFF2-40B4-BE49-F238E27FC236}">
                  <a16:creationId xmlns:a16="http://schemas.microsoft.com/office/drawing/2014/main" id="{72F94F4A-6488-4759-8AB6-D5F669D1E34B}"/>
                </a:ext>
              </a:extLst>
            </xdr:cNvPr>
            <xdr:cNvSpPr txBox="1"/>
          </xdr:nvSpPr>
          <xdr:spPr>
            <a:xfrm>
              <a:off x="7441407" y="2758279"/>
              <a:ext cx="3472655" cy="2182815"/>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(Inverting)</a:t>
              </a:r>
            </a:p>
            <a:p>
              <a:pPr/>
              <a:r>
                <a:rPr lang="en-US" sz="1400" i="0">
                  <a:latin typeface="Cambria Math" panose="02040503050406030204" pitchFamily="18" charset="0"/>
                </a:rPr>
                <a:t>𝑉_𝑜𝑢𝑡=−𝑅_𝐹 (𝑉_1/𝑅_1 +𝑉_2/𝑅_2 +</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n/</a:t>
              </a:r>
              <a:r>
                <a:rPr lang="en-US" sz="1400" i="0">
                  <a:latin typeface="Cambria Math" panose="02040503050406030204" pitchFamily="18" charset="0"/>
                </a:rPr>
                <a:t>𝑅_</a:t>
              </a:r>
              <a:r>
                <a:rPr lang="en-US" sz="1400" b="0" i="0">
                  <a:latin typeface="Cambria Math" panose="02040503050406030204" pitchFamily="18" charset="0"/>
                </a:rPr>
                <a:t>n )</a:t>
              </a:r>
              <a:endParaRPr lang="en-US" sz="1200"/>
            </a:p>
            <a:p>
              <a:pPr rtl="0" eaLnBrk="1" fontAlgn="auto" latinLnBrk="0" hangingPunct="1"/>
              <a:r>
                <a:rPr lang="en-US" sz="1200" i="1" kern="1200">
                  <a:solidFill>
                    <a:schemeClr val="tx1"/>
                  </a:solidFill>
                  <a:latin typeface="+mn-lt"/>
                  <a:ea typeface="+mn-ea"/>
                  <a:cs typeface="+mn-cs"/>
                </a:rPr>
                <a:t>If R</a:t>
              </a:r>
              <a:r>
                <a:rPr lang="en-US" sz="1200" i="1" kern="1200" baseline="-25000">
                  <a:solidFill>
                    <a:schemeClr val="tx1"/>
                  </a:solidFill>
                  <a:latin typeface="+mn-lt"/>
                  <a:ea typeface="+mn-ea"/>
                  <a:cs typeface="+mn-cs"/>
                </a:rPr>
                <a:t>1</a:t>
              </a:r>
              <a:r>
                <a:rPr lang="en-US" sz="1200" i="1" kern="1200">
                  <a:solidFill>
                    <a:schemeClr val="tx1"/>
                  </a:solidFill>
                  <a:latin typeface="+mn-lt"/>
                  <a:ea typeface="+mn-ea"/>
                  <a:cs typeface="+mn-cs"/>
                </a:rPr>
                <a:t> = R</a:t>
              </a:r>
              <a:r>
                <a:rPr lang="en-US" sz="1200" i="1" kern="1200" baseline="-25000">
                  <a:solidFill>
                    <a:schemeClr val="tx1"/>
                  </a:solidFill>
                  <a:latin typeface="+mn-lt"/>
                  <a:ea typeface="+mn-ea"/>
                  <a:cs typeface="+mn-cs"/>
                </a:rPr>
                <a:t>2</a:t>
              </a:r>
              <a:r>
                <a:rPr lang="en-US" sz="1200" i="1" kern="1200">
                  <a:solidFill>
                    <a:schemeClr val="tx1"/>
                  </a:solidFill>
                  <a:latin typeface="+mn-lt"/>
                  <a:ea typeface="+mn-ea"/>
                  <a:cs typeface="+mn-cs"/>
                </a:rPr>
                <a:t> = ... = R</a:t>
              </a:r>
              <a:r>
                <a:rPr lang="en-US" sz="1200" i="1" kern="1200" baseline="-25000">
                  <a:solidFill>
                    <a:schemeClr val="tx1"/>
                  </a:solidFill>
                  <a:latin typeface="+mn-lt"/>
                  <a:ea typeface="+mn-ea"/>
                  <a:cs typeface="+mn-cs"/>
                </a:rPr>
                <a:t>n</a:t>
              </a:r>
              <a:r>
                <a:rPr lang="en-US" sz="1200" i="1" kern="1200">
                  <a:solidFill>
                    <a:schemeClr val="tx1"/>
                  </a:solidFill>
                  <a:latin typeface="+mn-lt"/>
                  <a:ea typeface="+mn-ea"/>
                  <a:cs typeface="+mn-cs"/>
                </a:rPr>
                <a:t>:</a:t>
              </a:r>
              <a:endParaRPr lang="en-CA" sz="1200" i="1" kern="1200">
                <a:solidFill>
                  <a:schemeClr val="tx1"/>
                </a:solidFill>
                <a:latin typeface="+mn-lt"/>
                <a:ea typeface="+mn-ea"/>
                <a:cs typeface="+mn-cs"/>
              </a:endParaRPr>
            </a:p>
            <a:p>
              <a:r>
                <a:rPr lang="en-US" sz="1400" i="0" kern="1200">
                  <a:solidFill>
                    <a:schemeClr val="tx1"/>
                  </a:solidFill>
                  <a:effectLst/>
                  <a:latin typeface="+mn-lt"/>
                  <a:ea typeface="+mn-ea"/>
                  <a:cs typeface="+mn-cs"/>
                </a:rPr>
                <a:t>𝑉_𝑜𝑢𝑡=−𝑅_𝐹/𝑅_</a:t>
              </a:r>
              <a:r>
                <a:rPr lang="en-US" sz="1400" b="0" i="0" kern="1200">
                  <a:solidFill>
                    <a:schemeClr val="tx1"/>
                  </a:solidFill>
                  <a:effectLst/>
                  <a:latin typeface="+mn-lt"/>
                  <a:ea typeface="+mn-ea"/>
                  <a:cs typeface="+mn-cs"/>
                </a:rPr>
                <a:t>1  </a:t>
              </a:r>
              <a:r>
                <a:rPr lang="en-US" sz="1400" i="0" kern="1200">
                  <a:solidFill>
                    <a:schemeClr val="tx1"/>
                  </a:solidFill>
                  <a:effectLst/>
                  <a:latin typeface="+mn-lt"/>
                  <a:ea typeface="+mn-ea"/>
                  <a:cs typeface="+mn-cs"/>
                </a:rPr>
                <a:t>(𝑉_1</a:t>
              </a:r>
              <a:r>
                <a:rPr lang="en-US" sz="1400" b="0" i="0" kern="1200">
                  <a:solidFill>
                    <a:schemeClr val="tx1"/>
                  </a:solidFill>
                  <a:effectLst/>
                  <a:latin typeface="+mn-lt"/>
                  <a:ea typeface="+mn-ea"/>
                  <a:cs typeface="+mn-cs"/>
                </a:rPr>
                <a:t>+</a:t>
              </a:r>
              <a:r>
                <a:rPr lang="en-US" sz="1400" i="0" kern="1200">
                  <a:solidFill>
                    <a:schemeClr val="tx1"/>
                  </a:solidFill>
                  <a:effectLst/>
                  <a:latin typeface="+mn-lt"/>
                  <a:ea typeface="+mn-ea"/>
                  <a:cs typeface="+mn-cs"/>
                </a:rPr>
                <a:t>𝑉_</a:t>
              </a:r>
              <a:r>
                <a:rPr lang="en-US" sz="1400" b="0" i="0" kern="1200">
                  <a:solidFill>
                    <a:schemeClr val="tx1"/>
                  </a:solidFill>
                  <a:effectLst/>
                  <a:latin typeface="+mn-lt"/>
                  <a:ea typeface="+mn-ea"/>
                  <a:cs typeface="+mn-cs"/>
                </a:rPr>
                <a:t>2+…+</a:t>
              </a:r>
              <a:r>
                <a:rPr lang="en-US" sz="1400" i="0" kern="1200">
                  <a:solidFill>
                    <a:schemeClr val="tx1"/>
                  </a:solidFill>
                  <a:effectLst/>
                  <a:latin typeface="+mn-lt"/>
                  <a:ea typeface="+mn-ea"/>
                  <a:cs typeface="+mn-cs"/>
                </a:rPr>
                <a:t>𝑉_</a:t>
              </a:r>
              <a:r>
                <a:rPr lang="en-US" sz="1400" b="0" i="0" kern="1200">
                  <a:solidFill>
                    <a:schemeClr val="tx1"/>
                  </a:solidFill>
                  <a:effectLst/>
                  <a:latin typeface="+mn-lt"/>
                  <a:ea typeface="+mn-ea"/>
                  <a:cs typeface="+mn-cs"/>
                </a:rPr>
                <a:t>𝑛 )</a:t>
              </a:r>
              <a:endParaRPr lang="en-US" sz="1400" i="1"/>
            </a:p>
            <a:p>
              <a:pPr>
                <a:spcBef>
                  <a:spcPts val="600"/>
                </a:spcBef>
                <a:spcAft>
                  <a:spcPts val="600"/>
                </a:spcAft>
              </a:pPr>
              <a:r>
                <a:rPr lang="en-US" sz="1200" i="1"/>
                <a:t>If all resistor values equal:</a:t>
              </a:r>
            </a:p>
            <a:p>
              <a:pPr/>
              <a:r>
                <a:rPr lang="en-US" sz="1400" i="0">
                  <a:latin typeface="Cambria Math" panose="02040503050406030204" pitchFamily="18" charset="0"/>
                </a:rPr>
                <a:t>𝑉_𝑜𝑢𝑡=</a:t>
              </a:r>
              <a:r>
                <a:rPr lang="en-US" sz="1400" b="0" i="0">
                  <a:latin typeface="Cambria Math" panose="02040503050406030204" pitchFamily="18" charset="0"/>
                </a:rPr>
                <a:t>−</a:t>
              </a:r>
              <a:r>
                <a:rPr lang="en-US" sz="1400" i="0">
                  <a:latin typeface="Cambria Math" panose="02040503050406030204" pitchFamily="18" charset="0"/>
                </a:rPr>
                <a:t>(𝑉_1+𝑉_2+〖</a:t>
              </a:r>
              <a:r>
                <a:rPr lang="en-US" sz="1400" b="0" i="0">
                  <a:latin typeface="Cambria Math" panose="02040503050406030204" pitchFamily="18" charset="0"/>
                </a:rPr>
                <a:t>…+</a:t>
              </a:r>
              <a:r>
                <a:rPr lang="en-US" sz="1400" i="0">
                  <a:latin typeface="Cambria Math" panose="02040503050406030204" pitchFamily="18" charset="0"/>
                </a:rPr>
                <a:t>𝑉〗_</a:t>
              </a:r>
              <a:r>
                <a:rPr lang="en-US" sz="1400" b="0" i="0">
                  <a:latin typeface="Cambria Math" panose="02040503050406030204" pitchFamily="18" charset="0"/>
                </a:rPr>
                <a:t>𝑛 )</a:t>
              </a:r>
              <a:endParaRPr lang="en-US" sz="1200"/>
            </a:p>
          </xdr:txBody>
        </xdr:sp>
      </mc:Fallback>
    </mc:AlternateContent>
    <xdr:clientData/>
  </xdr:twoCellAnchor>
</xdr:wsDr>
</file>

<file path=xl/drawings/drawing28.xml><?xml version="1.0" encoding="utf-8"?>
<xdr:wsDr xmlns:xdr="http://schemas.openxmlformats.org/drawingml/2006/spreadsheetDrawing" xmlns:a="http://schemas.openxmlformats.org/drawingml/2006/main">
  <xdr:twoCellAnchor>
    <xdr:from>
      <xdr:col>5</xdr:col>
      <xdr:colOff>502047</xdr:colOff>
      <xdr:row>13</xdr:row>
      <xdr:rowOff>67071</xdr:rowOff>
    </xdr:from>
    <xdr:to>
      <xdr:col>12</xdr:col>
      <xdr:colOff>355202</xdr:colOff>
      <xdr:row>27</xdr:row>
      <xdr:rowOff>184944</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412752</xdr:colOff>
      <xdr:row>1</xdr:row>
      <xdr:rowOff>75406</xdr:rowOff>
    </xdr:from>
    <xdr:to>
      <xdr:col>21</xdr:col>
      <xdr:colOff>416878</xdr:colOff>
      <xdr:row>4</xdr:row>
      <xdr:rowOff>67786</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2"/>
        <a:stretch>
          <a:fillRect/>
        </a:stretch>
      </xdr:blipFill>
      <xdr:spPr>
        <a:xfrm>
          <a:off x="8886033" y="670719"/>
          <a:ext cx="4240767" cy="587692"/>
        </a:xfrm>
        <a:prstGeom prst="rect">
          <a:avLst/>
        </a:prstGeom>
      </xdr:spPr>
    </xdr:pic>
    <xdr:clientData/>
  </xdr:twoCellAnchor>
  <xdr:twoCellAnchor>
    <xdr:from>
      <xdr:col>15</xdr:col>
      <xdr:colOff>9922</xdr:colOff>
      <xdr:row>16</xdr:row>
      <xdr:rowOff>138907</xdr:rowOff>
    </xdr:from>
    <xdr:to>
      <xdr:col>22</xdr:col>
      <xdr:colOff>357187</xdr:colOff>
      <xdr:row>30</xdr:row>
      <xdr:rowOff>49610</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00000000-0008-0000-0A00-000005000000}"/>
                </a:ext>
              </a:extLst>
            </xdr:cNvPr>
            <xdr:cNvSpPr txBox="1"/>
          </xdr:nvSpPr>
          <xdr:spPr>
            <a:xfrm>
              <a:off x="8999141" y="3621485"/>
              <a:ext cx="4583905" cy="254992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3</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e>
                    </m:d>
                  </m:oMath>
                </m:oMathPara>
              </a14:m>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3</m:t>
                                </m:r>
                              </m:sub>
                            </m:sSub>
                          </m:den>
                        </m:f>
                      </m:e>
                    </m:d>
                    <m:d>
                      <m:dPr>
                        <m:begChr m:val="["/>
                        <m:endChr m:val="]"/>
                        <m:ctrlPr>
                          <a:rPr lang="en-US" sz="1400" i="1" kern="1200">
                            <a:solidFill>
                              <a:schemeClr val="tx1"/>
                            </a:solidFill>
                            <a:effectLst/>
                            <a:latin typeface="Cambria Math" panose="02040503050406030204" pitchFamily="18" charset="0"/>
                            <a:ea typeface="+mn-ea"/>
                            <a:cs typeface="+mn-cs"/>
                          </a:rPr>
                        </m:ctrlPr>
                      </m:dPr>
                      <m:e>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1</m:t>
                                </m:r>
                              </m:sub>
                            </m:sSub>
                            <m:r>
                              <a:rPr lang="en-US" sz="1400" kern="1200">
                                <a:solidFill>
                                  <a:schemeClr val="tx1"/>
                                </a:solidFill>
                                <a:effectLst/>
                                <a:latin typeface="Cambria Math" panose="02040503050406030204" pitchFamily="18" charset="0"/>
                                <a:ea typeface="+mn-ea"/>
                                <a:cs typeface="+mn-cs"/>
                              </a:rPr>
                              <m:t>+</m:t>
                            </m:r>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2</m:t>
                                </m:r>
                              </m:sub>
                            </m:sSub>
                          </m:num>
                          <m:den>
                            <m:r>
                              <a:rPr lang="en-CA" sz="1400" b="0" i="1" kern="1200">
                                <a:solidFill>
                                  <a:schemeClr val="tx1"/>
                                </a:solidFill>
                                <a:effectLst/>
                                <a:latin typeface="Cambria Math" panose="02040503050406030204" pitchFamily="18" charset="0"/>
                                <a:ea typeface="+mn-ea"/>
                                <a:cs typeface="+mn-cs"/>
                              </a:rPr>
                              <m:t>2</m:t>
                            </m:r>
                          </m:den>
                        </m:f>
                      </m:e>
                    </m:d>
                    <m:r>
                      <a:rPr lang="en-CA" sz="1400" b="0" i="1" kern="1200">
                        <a:solidFill>
                          <a:schemeClr val="tx1"/>
                        </a:solidFill>
                        <a:effectLst/>
                        <a:latin typeface="Cambria Math" panose="02040503050406030204" pitchFamily="18" charset="0"/>
                        <a:ea typeface="+mn-ea"/>
                        <a:cs typeface="+mn-cs"/>
                      </a:rPr>
                      <m:t>=</m:t>
                    </m:r>
                    <m:d>
                      <m:dPr>
                        <m:ctrlPr>
                          <a:rPr lang="en-CA" sz="1400" b="0" i="1" kern="1200">
                            <a:solidFill>
                              <a:schemeClr val="tx1"/>
                            </a:solidFill>
                            <a:effectLst/>
                            <a:latin typeface="Cambria Math" panose="02040503050406030204" pitchFamily="18" charset="0"/>
                            <a:ea typeface="+mn-ea"/>
                            <a:cs typeface="+mn-cs"/>
                          </a:rPr>
                        </m:ctrlPr>
                      </m:dPr>
                      <m:e>
                        <m:f>
                          <m:fPr>
                            <m:ctrlPr>
                              <a:rPr lang="en-CA" sz="1400" b="0" i="1" kern="1200">
                                <a:solidFill>
                                  <a:schemeClr val="tx1"/>
                                </a:solidFill>
                                <a:effectLst/>
                                <a:latin typeface="Cambria Math" panose="02040503050406030204" pitchFamily="18" charset="0"/>
                                <a:ea typeface="+mn-ea"/>
                                <a:cs typeface="+mn-cs"/>
                              </a:rPr>
                            </m:ctrlPr>
                          </m:fPr>
                          <m:num>
                            <m:r>
                              <a:rPr lang="en-US" sz="1400"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3</m:t>
                                    </m:r>
                                  </m:sub>
                                </m:sSub>
                              </m:den>
                            </m:f>
                          </m:num>
                          <m:den>
                            <m:r>
                              <a:rPr lang="en-CA" sz="1400" b="0" i="1" kern="1200">
                                <a:solidFill>
                                  <a:schemeClr val="tx1"/>
                                </a:solidFill>
                                <a:effectLst/>
                                <a:latin typeface="Cambria Math" panose="02040503050406030204" pitchFamily="18" charset="0"/>
                                <a:ea typeface="+mn-ea"/>
                                <a:cs typeface="+mn-cs"/>
                              </a:rPr>
                              <m:t>2</m:t>
                            </m:r>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1</m:t>
                        </m:r>
                      </m:sub>
                    </m:sSub>
                    <m:r>
                      <a:rPr lang="en-CA" sz="1400" b="0" i="1" kern="1200">
                        <a:solidFill>
                          <a:schemeClr val="tx1"/>
                        </a:solidFill>
                        <a:effectLst/>
                        <a:latin typeface="Cambria Math" panose="02040503050406030204" pitchFamily="18" charset="0"/>
                        <a:ea typeface="+mn-ea"/>
                        <a:cs typeface="+mn-cs"/>
                      </a:rPr>
                      <m:t>+</m:t>
                    </m:r>
                    <m:d>
                      <m:dPr>
                        <m:ctrlPr>
                          <a:rPr lang="en-CA" sz="1400" b="0" i="1" kern="1200">
                            <a:solidFill>
                              <a:schemeClr val="tx1"/>
                            </a:solidFill>
                            <a:effectLst/>
                            <a:latin typeface="Cambria Math" panose="02040503050406030204" pitchFamily="18" charset="0"/>
                            <a:ea typeface="+mn-ea"/>
                            <a:cs typeface="+mn-cs"/>
                          </a:rPr>
                        </m:ctrlPr>
                      </m:dPr>
                      <m:e>
                        <m:f>
                          <m:fPr>
                            <m:ctrlPr>
                              <a:rPr lang="en-CA" sz="1400" b="0" i="1" kern="1200">
                                <a:solidFill>
                                  <a:schemeClr val="tx1"/>
                                </a:solidFill>
                                <a:effectLst/>
                                <a:latin typeface="Cambria Math" panose="02040503050406030204" pitchFamily="18" charset="0"/>
                                <a:ea typeface="+mn-ea"/>
                                <a:cs typeface="+mn-cs"/>
                              </a:rPr>
                            </m:ctrlPr>
                          </m:fPr>
                          <m:num>
                            <m:r>
                              <a:rPr lang="en-US" sz="1400"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3</m:t>
                                    </m:r>
                                  </m:sub>
                                </m:sSub>
                              </m:den>
                            </m:f>
                          </m:num>
                          <m:den>
                            <m:r>
                              <a:rPr lang="en-CA" sz="1400" b="0" i="1" kern="1200">
                                <a:solidFill>
                                  <a:schemeClr val="tx1"/>
                                </a:solidFill>
                                <a:effectLst/>
                                <a:latin typeface="Cambria Math" panose="02040503050406030204" pitchFamily="18" charset="0"/>
                                <a:ea typeface="+mn-ea"/>
                                <a:cs typeface="+mn-cs"/>
                              </a:rPr>
                              <m:t>2</m:t>
                            </m:r>
                          </m:den>
                        </m:f>
                      </m:e>
                    </m:d>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CA" sz="1400" b="0" i="0" kern="1200">
                            <a:solidFill>
                              <a:schemeClr val="tx1"/>
                            </a:solidFill>
                            <a:effectLst/>
                            <a:latin typeface="Cambria Math" panose="02040503050406030204" pitchFamily="18" charset="0"/>
                            <a:ea typeface="+mn-ea"/>
                            <a:cs typeface="+mn-cs"/>
                          </a:rPr>
                          <m:t>2</m:t>
                        </m:r>
                      </m:sub>
                    </m:sSub>
                  </m:oMath>
                </m:oMathPara>
              </a14:m>
              <a:endParaRPr lang="en-US" sz="1400" i="1"/>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mlns="">
        <xdr:sp macro="" textlink="">
          <xdr:nvSpPr>
            <xdr:cNvPr id="5" name="TextBox 8">
              <a:extLst>
                <a:ext uri="{FF2B5EF4-FFF2-40B4-BE49-F238E27FC236}">
                  <a16:creationId xmlns:a16="http://schemas.microsoft.com/office/drawing/2014/main" id="{00000000-0008-0000-0A00-000005000000}"/>
                </a:ext>
              </a:extLst>
            </xdr:cNvPr>
            <xdr:cNvSpPr txBox="1"/>
          </xdr:nvSpPr>
          <xdr:spPr>
            <a:xfrm>
              <a:off x="8999141" y="3621485"/>
              <a:ext cx="4583905" cy="254992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𝑉_𝑜𝑢𝑡=(1+𝑅_𝐹/𝑅_3 )[𝑉_1 (𝑅_2/(𝑅_1+𝑅_2 ))+𝑉_2 (𝑅_1/(𝑅_1+𝑅_2 ))]</a:t>
              </a:r>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r>
                <a:rPr lang="en-US" sz="1400" i="0" kern="1200">
                  <a:solidFill>
                    <a:schemeClr val="tx1"/>
                  </a:solidFill>
                  <a:effectLst/>
                  <a:latin typeface="+mn-lt"/>
                  <a:ea typeface="+mn-ea"/>
                  <a:cs typeface="+mn-cs"/>
                </a:rPr>
                <a:t>𝑉_𝑜𝑢𝑡=(1+𝑅_𝐹/𝑅_3 )[(𝑉_1+𝑉_2)/</a:t>
              </a:r>
              <a:r>
                <a:rPr lang="en-CA" sz="1400" b="0" i="0" kern="1200">
                  <a:solidFill>
                    <a:schemeClr val="tx1"/>
                  </a:solidFill>
                  <a:effectLst/>
                  <a:latin typeface="+mn-lt"/>
                  <a:ea typeface="+mn-ea"/>
                  <a:cs typeface="+mn-cs"/>
                </a:rPr>
                <a:t>2]=((</a:t>
              </a:r>
              <a:r>
                <a:rPr lang="en-US" sz="1400" i="0" kern="1200">
                  <a:solidFill>
                    <a:schemeClr val="tx1"/>
                  </a:solidFill>
                  <a:effectLst/>
                  <a:latin typeface="+mn-lt"/>
                  <a:ea typeface="+mn-ea"/>
                  <a:cs typeface="+mn-cs"/>
                </a:rPr>
                <a:t>1+𝑅_𝐹/𝑅_3 </a:t>
              </a:r>
              <a:r>
                <a:rPr lang="en-CA" sz="1400" b="0" i="0" kern="1200">
                  <a:solidFill>
                    <a:schemeClr val="tx1"/>
                  </a:solidFill>
                  <a:effectLst/>
                  <a:latin typeface="+mn-lt"/>
                  <a:ea typeface="+mn-ea"/>
                  <a:cs typeface="+mn-cs"/>
                </a:rPr>
                <a:t>)/2)</a:t>
              </a:r>
              <a:r>
                <a:rPr lang="en-US" sz="1400" b="0" i="0" kern="1200">
                  <a:solidFill>
                    <a:schemeClr val="tx1"/>
                  </a:solidFill>
                  <a:effectLst/>
                  <a:latin typeface="+mn-lt"/>
                  <a:ea typeface="+mn-ea"/>
                  <a:cs typeface="+mn-cs"/>
                </a:rPr>
                <a:t> </a:t>
              </a:r>
              <a:r>
                <a:rPr lang="en-US" sz="1400" i="0" kern="1200">
                  <a:solidFill>
                    <a:schemeClr val="tx1"/>
                  </a:solidFill>
                  <a:effectLst/>
                  <a:latin typeface="+mn-lt"/>
                  <a:ea typeface="+mn-ea"/>
                  <a:cs typeface="+mn-cs"/>
                </a:rPr>
                <a:t>𝑉_1</a:t>
              </a:r>
              <a:r>
                <a:rPr lang="en-CA" sz="1400" b="0" i="0" kern="1200">
                  <a:solidFill>
                    <a:schemeClr val="tx1"/>
                  </a:solidFill>
                  <a:effectLst/>
                  <a:latin typeface="+mn-lt"/>
                  <a:ea typeface="+mn-ea"/>
                  <a:cs typeface="+mn-cs"/>
                </a:rPr>
                <a:t>+((</a:t>
              </a:r>
              <a:r>
                <a:rPr lang="en-US" sz="1400" i="0" kern="1200">
                  <a:solidFill>
                    <a:schemeClr val="tx1"/>
                  </a:solidFill>
                  <a:effectLst/>
                  <a:latin typeface="+mn-lt"/>
                  <a:ea typeface="+mn-ea"/>
                  <a:cs typeface="+mn-cs"/>
                </a:rPr>
                <a:t>1+𝑅_𝐹/𝑅_3 </a:t>
              </a:r>
              <a:r>
                <a:rPr lang="en-CA" sz="1400" b="0" i="0" kern="1200">
                  <a:solidFill>
                    <a:schemeClr val="tx1"/>
                  </a:solidFill>
                  <a:effectLst/>
                  <a:latin typeface="+mn-lt"/>
                  <a:ea typeface="+mn-ea"/>
                  <a:cs typeface="+mn-cs"/>
                </a:rPr>
                <a:t>)/2)</a:t>
              </a:r>
              <a:r>
                <a:rPr lang="en-US" sz="1400" b="0" i="0" kern="1200">
                  <a:solidFill>
                    <a:schemeClr val="tx1"/>
                  </a:solidFill>
                  <a:effectLst/>
                  <a:latin typeface="+mn-lt"/>
                  <a:ea typeface="+mn-ea"/>
                  <a:cs typeface="+mn-cs"/>
                </a:rPr>
                <a:t> </a:t>
              </a:r>
              <a:r>
                <a:rPr lang="en-US" sz="1400" i="0" kern="1200">
                  <a:solidFill>
                    <a:schemeClr val="tx1"/>
                  </a:solidFill>
                  <a:effectLst/>
                  <a:latin typeface="+mn-lt"/>
                  <a:ea typeface="+mn-ea"/>
                  <a:cs typeface="+mn-cs"/>
                </a:rPr>
                <a:t>𝑉_</a:t>
              </a:r>
              <a:r>
                <a:rPr lang="en-CA" sz="1400" b="0" i="0" kern="1200">
                  <a:solidFill>
                    <a:schemeClr val="tx1"/>
                  </a:solidFill>
                  <a:effectLst/>
                  <a:latin typeface="+mn-lt"/>
                  <a:ea typeface="+mn-ea"/>
                  <a:cs typeface="+mn-cs"/>
                </a:rPr>
                <a:t>2</a:t>
              </a:r>
              <a:endParaRPr lang="en-US" sz="1400" i="1"/>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14</xdr:col>
      <xdr:colOff>191824</xdr:colOff>
      <xdr:row>5</xdr:row>
      <xdr:rowOff>15877</xdr:rowOff>
    </xdr:from>
    <xdr:to>
      <xdr:col>18</xdr:col>
      <xdr:colOff>450564</xdr:colOff>
      <xdr:row>16</xdr:row>
      <xdr:rowOff>56226</xdr:rowOff>
    </xdr:to>
    <xdr:pic>
      <xdr:nvPicPr>
        <xdr:cNvPr id="7" name="Picture 6">
          <a:extLst>
            <a:ext uri="{FF2B5EF4-FFF2-40B4-BE49-F238E27FC236}">
              <a16:creationId xmlns:a16="http://schemas.microsoft.com/office/drawing/2014/main" id="{155EE37D-9BC7-4AB0-938D-816348F62BB5}"/>
            </a:ext>
          </a:extLst>
        </xdr:cNvPr>
        <xdr:cNvPicPr/>
      </xdr:nvPicPr>
      <xdr:blipFill>
        <a:blip xmlns:r="http://schemas.openxmlformats.org/officeDocument/2006/relationships" r:embed="rId3" cstate="hqprint">
          <a:extLst>
            <a:ext uri="{28A0092B-C50C-407E-A947-70E740481C1C}">
              <a14:useLocalDpi xmlns:a14="http://schemas.microsoft.com/office/drawing/2010/main"/>
            </a:ext>
          </a:extLst>
        </a:blip>
        <a:stretch>
          <a:fillRect/>
        </a:stretch>
      </xdr:blipFill>
      <xdr:spPr>
        <a:xfrm>
          <a:off x="9061980" y="1371867"/>
          <a:ext cx="2825199" cy="2090869"/>
        </a:xfrm>
        <a:prstGeom prst="rect">
          <a:avLst/>
        </a:prstGeom>
      </xdr:spPr>
    </xdr:pic>
    <xdr:clientData/>
  </xdr:twoCellAnchor>
  <xdr:twoCellAnchor editAs="oneCell">
    <xdr:from>
      <xdr:col>18</xdr:col>
      <xdr:colOff>517924</xdr:colOff>
      <xdr:row>5</xdr:row>
      <xdr:rowOff>6615</xdr:rowOff>
    </xdr:from>
    <xdr:to>
      <xdr:col>23</xdr:col>
      <xdr:colOff>163548</xdr:colOff>
      <xdr:row>16</xdr:row>
      <xdr:rowOff>65617</xdr:rowOff>
    </xdr:to>
    <xdr:pic>
      <xdr:nvPicPr>
        <xdr:cNvPr id="8" name="Picture 7">
          <a:extLst>
            <a:ext uri="{FF2B5EF4-FFF2-40B4-BE49-F238E27FC236}">
              <a16:creationId xmlns:a16="http://schemas.microsoft.com/office/drawing/2014/main" id="{55A186EF-296D-4BB4-AA62-E8E45A93F016}"/>
            </a:ext>
          </a:extLst>
        </xdr:cNvPr>
        <xdr:cNvPicPr>
          <a:picLocks noChangeAspect="1"/>
        </xdr:cNvPicPr>
      </xdr:nvPicPr>
      <xdr:blipFill>
        <a:blip xmlns:r="http://schemas.openxmlformats.org/officeDocument/2006/relationships" r:embed="rId4"/>
        <a:stretch>
          <a:fillRect/>
        </a:stretch>
      </xdr:blipFill>
      <xdr:spPr>
        <a:xfrm>
          <a:off x="11954539" y="1362605"/>
          <a:ext cx="2853697" cy="2109522"/>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5</xdr:col>
      <xdr:colOff>502047</xdr:colOff>
      <xdr:row>13</xdr:row>
      <xdr:rowOff>67071</xdr:rowOff>
    </xdr:from>
    <xdr:to>
      <xdr:col>12</xdr:col>
      <xdr:colOff>355202</xdr:colOff>
      <xdr:row>27</xdr:row>
      <xdr:rowOff>184944</xdr:rowOff>
    </xdr:to>
    <xdr:graphicFrame macro="">
      <xdr:nvGraphicFramePr>
        <xdr:cNvPr id="2" name="Chart 1">
          <a:extLst>
            <a:ext uri="{FF2B5EF4-FFF2-40B4-BE49-F238E27FC236}">
              <a16:creationId xmlns:a16="http://schemas.microsoft.com/office/drawing/2014/main" id="{7C8211DE-BE59-47C9-BCEC-20D8EB9F4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103849</xdr:colOff>
      <xdr:row>4</xdr:row>
      <xdr:rowOff>174627</xdr:rowOff>
    </xdr:from>
    <xdr:to>
      <xdr:col>18</xdr:col>
      <xdr:colOff>362589</xdr:colOff>
      <xdr:row>16</xdr:row>
      <xdr:rowOff>23153</xdr:rowOff>
    </xdr:to>
    <xdr:pic>
      <xdr:nvPicPr>
        <xdr:cNvPr id="3" name="Picture 2">
          <a:extLst>
            <a:ext uri="{FF2B5EF4-FFF2-40B4-BE49-F238E27FC236}">
              <a16:creationId xmlns:a16="http://schemas.microsoft.com/office/drawing/2014/main" id="{B603B2F5-F50F-4309-9B91-20523FAD767A}"/>
            </a:ext>
          </a:extLst>
        </xdr:cNvPr>
        <xdr:cNvPicPr/>
      </xdr:nvPicPr>
      <xdr:blipFill>
        <a:blip xmlns:r="http://schemas.openxmlformats.org/officeDocument/2006/relationships" r:embed="rId2" cstate="hqprint">
          <a:extLst>
            <a:ext uri="{28A0092B-C50C-407E-A947-70E740481C1C}">
              <a14:useLocalDpi xmlns:a14="http://schemas.microsoft.com/office/drawing/2010/main"/>
            </a:ext>
          </a:extLst>
        </a:blip>
        <a:stretch>
          <a:fillRect/>
        </a:stretch>
      </xdr:blipFill>
      <xdr:spPr>
        <a:xfrm>
          <a:off x="8974005" y="1338794"/>
          <a:ext cx="2825199" cy="2090869"/>
        </a:xfrm>
        <a:prstGeom prst="rect">
          <a:avLst/>
        </a:prstGeom>
      </xdr:spPr>
    </xdr:pic>
    <xdr:clientData/>
  </xdr:twoCellAnchor>
  <xdr:twoCellAnchor editAs="oneCell">
    <xdr:from>
      <xdr:col>14</xdr:col>
      <xdr:colOff>412752</xdr:colOff>
      <xdr:row>1</xdr:row>
      <xdr:rowOff>75406</xdr:rowOff>
    </xdr:from>
    <xdr:to>
      <xdr:col>21</xdr:col>
      <xdr:colOff>416878</xdr:colOff>
      <xdr:row>4</xdr:row>
      <xdr:rowOff>67786</xdr:rowOff>
    </xdr:to>
    <xdr:pic>
      <xdr:nvPicPr>
        <xdr:cNvPr id="4" name="Picture 3">
          <a:extLst>
            <a:ext uri="{FF2B5EF4-FFF2-40B4-BE49-F238E27FC236}">
              <a16:creationId xmlns:a16="http://schemas.microsoft.com/office/drawing/2014/main" id="{827D6AD5-F707-4145-B553-1D8CF44E8011}"/>
            </a:ext>
          </a:extLst>
        </xdr:cNvPr>
        <xdr:cNvPicPr>
          <a:picLocks noChangeAspect="1"/>
        </xdr:cNvPicPr>
      </xdr:nvPicPr>
      <xdr:blipFill>
        <a:blip xmlns:r="http://schemas.openxmlformats.org/officeDocument/2006/relationships" r:embed="rId3"/>
        <a:stretch>
          <a:fillRect/>
        </a:stretch>
      </xdr:blipFill>
      <xdr:spPr>
        <a:xfrm>
          <a:off x="8842377" y="675481"/>
          <a:ext cx="4271326" cy="592455"/>
        </a:xfrm>
        <a:prstGeom prst="rect">
          <a:avLst/>
        </a:prstGeom>
      </xdr:spPr>
    </xdr:pic>
    <xdr:clientData/>
  </xdr:twoCellAnchor>
  <xdr:twoCellAnchor>
    <xdr:from>
      <xdr:col>15</xdr:col>
      <xdr:colOff>79376</xdr:colOff>
      <xdr:row>16</xdr:row>
      <xdr:rowOff>109141</xdr:rowOff>
    </xdr:from>
    <xdr:to>
      <xdr:col>21</xdr:col>
      <xdr:colOff>267892</xdr:colOff>
      <xdr:row>29</xdr:row>
      <xdr:rowOff>29766</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B5D9DD1A-3551-4F4F-8E66-E9F80BE42FE7}"/>
                </a:ext>
              </a:extLst>
            </xdr:cNvPr>
            <xdr:cNvSpPr txBox="1"/>
          </xdr:nvSpPr>
          <xdr:spPr>
            <a:xfrm>
              <a:off x="9068595" y="3591719"/>
              <a:ext cx="3819922" cy="2371328"/>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d>
                      <m:dPr>
                        <m:ctrlPr>
                          <a:rPr lang="en-US" sz="1400" i="1">
                            <a:latin typeface="Cambria Math" panose="02040503050406030204" pitchFamily="18" charset="0"/>
                          </a:rPr>
                        </m:ctrlPr>
                      </m:dPr>
                      <m:e>
                        <m:r>
                          <a:rPr lang="en-US" sz="1400">
                            <a:latin typeface="Cambria Math" panose="02040503050406030204" pitchFamily="18" charset="0"/>
                          </a:rPr>
                          <m:t>1+</m:t>
                        </m:r>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3</m:t>
                                </m:r>
                              </m:sub>
                            </m:sSub>
                          </m:den>
                        </m:f>
                      </m:e>
                    </m:d>
                    <m:d>
                      <m:dPr>
                        <m:begChr m:val="["/>
                        <m:endChr m:val="]"/>
                        <m:ctrlPr>
                          <a:rPr lang="en-US" sz="1400" i="1">
                            <a:latin typeface="Cambria Math" panose="02040503050406030204" pitchFamily="18" charset="0"/>
                          </a:rPr>
                        </m:ctrlPr>
                      </m:dPr>
                      <m:e>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1</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a:latin typeface="Cambria Math" panose="02040503050406030204" pitchFamily="18" charset="0"/>
                              </a:rPr>
                              <m:t>2</m:t>
                            </m:r>
                          </m:sub>
                        </m:sSub>
                        <m:d>
                          <m:dPr>
                            <m:ctrlPr>
                              <a:rPr lang="en-US" sz="1400" i="1">
                                <a:latin typeface="Cambria Math" panose="02040503050406030204" pitchFamily="18" charset="0"/>
                              </a:rPr>
                            </m:ctrlPr>
                          </m:dPr>
                          <m:e>
                            <m:f>
                              <m:fPr>
                                <m:ctrlPr>
                                  <a:rPr lang="en-US" sz="1400" i="1">
                                    <a:latin typeface="Cambria Math" panose="02040503050406030204" pitchFamily="18" charset="0"/>
                                  </a:rPr>
                                </m:ctrlPr>
                              </m:fPr>
                              <m:num>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num>
                              <m:den>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1</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a:latin typeface="Cambria Math" panose="02040503050406030204" pitchFamily="18" charset="0"/>
                                      </a:rPr>
                                      <m:t>2</m:t>
                                    </m:r>
                                  </m:sub>
                                </m:sSub>
                              </m:den>
                            </m:f>
                          </m:e>
                        </m:d>
                      </m:e>
                    </m:d>
                  </m:oMath>
                </m:oMathPara>
              </a14:m>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pPr/>
              <a14:m>
                <m:oMathPara xmlns:m="http://schemas.openxmlformats.org/officeDocument/2006/math">
                  <m:oMathParaPr>
                    <m:jc m:val="centerGroup"/>
                  </m:oMathParaPr>
                  <m:oMath xmlns:m="http://schemas.openxmlformats.org/officeDocument/2006/math">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i="1" kern="1200">
                            <a:solidFill>
                              <a:schemeClr val="tx1"/>
                            </a:solidFill>
                            <a:effectLst/>
                            <a:latin typeface="Cambria Math" panose="02040503050406030204" pitchFamily="18" charset="0"/>
                            <a:ea typeface="+mn-ea"/>
                            <a:cs typeface="+mn-cs"/>
                          </a:rPr>
                          <m:t>𝑜𝑢𝑡</m:t>
                        </m:r>
                      </m:sub>
                    </m:sSub>
                    <m:r>
                      <a:rPr lang="en-US" sz="1400" kern="1200">
                        <a:solidFill>
                          <a:schemeClr val="tx1"/>
                        </a:solidFill>
                        <a:effectLst/>
                        <a:latin typeface="Cambria Math" panose="02040503050406030204" pitchFamily="18" charset="0"/>
                        <a:ea typeface="+mn-ea"/>
                        <a:cs typeface="+mn-cs"/>
                      </a:rPr>
                      <m:t>=</m:t>
                    </m:r>
                    <m:d>
                      <m:dPr>
                        <m:ctrlPr>
                          <a:rPr lang="en-US" sz="1400" i="1" kern="1200">
                            <a:solidFill>
                              <a:schemeClr val="tx1"/>
                            </a:solidFill>
                            <a:effectLst/>
                            <a:latin typeface="Cambria Math" panose="02040503050406030204" pitchFamily="18" charset="0"/>
                            <a:ea typeface="+mn-ea"/>
                            <a:cs typeface="+mn-cs"/>
                          </a:rPr>
                        </m:ctrlPr>
                      </m:dPr>
                      <m:e>
                        <m:r>
                          <a:rPr lang="en-US" sz="1400" kern="1200">
                            <a:solidFill>
                              <a:schemeClr val="tx1"/>
                            </a:solidFill>
                            <a:effectLst/>
                            <a:latin typeface="Cambria Math" panose="02040503050406030204" pitchFamily="18" charset="0"/>
                            <a:ea typeface="+mn-ea"/>
                            <a:cs typeface="+mn-cs"/>
                          </a:rPr>
                          <m:t>1+</m:t>
                        </m:r>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i="1" kern="1200">
                                    <a:solidFill>
                                      <a:schemeClr val="tx1"/>
                                    </a:solidFill>
                                    <a:effectLst/>
                                    <a:latin typeface="Cambria Math" panose="02040503050406030204" pitchFamily="18" charset="0"/>
                                    <a:ea typeface="+mn-ea"/>
                                    <a:cs typeface="+mn-cs"/>
                                  </a:rPr>
                                  <m:t>𝐹</m:t>
                                </m:r>
                              </m:sub>
                            </m:sSub>
                          </m:num>
                          <m:den>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𝑅</m:t>
                                </m:r>
                              </m:e>
                              <m:sub>
                                <m:r>
                                  <a:rPr lang="en-US" sz="1400" kern="1200">
                                    <a:solidFill>
                                      <a:schemeClr val="tx1"/>
                                    </a:solidFill>
                                    <a:effectLst/>
                                    <a:latin typeface="Cambria Math" panose="02040503050406030204" pitchFamily="18" charset="0"/>
                                    <a:ea typeface="+mn-ea"/>
                                    <a:cs typeface="+mn-cs"/>
                                  </a:rPr>
                                  <m:t>3</m:t>
                                </m:r>
                              </m:sub>
                            </m:sSub>
                          </m:den>
                        </m:f>
                      </m:e>
                    </m:d>
                    <m:d>
                      <m:dPr>
                        <m:begChr m:val="["/>
                        <m:endChr m:val="]"/>
                        <m:ctrlPr>
                          <a:rPr lang="en-US" sz="1400" i="1" kern="1200">
                            <a:solidFill>
                              <a:schemeClr val="tx1"/>
                            </a:solidFill>
                            <a:effectLst/>
                            <a:latin typeface="Cambria Math" panose="02040503050406030204" pitchFamily="18" charset="0"/>
                            <a:ea typeface="+mn-ea"/>
                            <a:cs typeface="+mn-cs"/>
                          </a:rPr>
                        </m:ctrlPr>
                      </m:dPr>
                      <m:e>
                        <m:f>
                          <m:fPr>
                            <m:ctrlPr>
                              <a:rPr lang="en-US" sz="1400" i="1" kern="1200">
                                <a:solidFill>
                                  <a:schemeClr val="tx1"/>
                                </a:solidFill>
                                <a:effectLst/>
                                <a:latin typeface="Cambria Math" panose="02040503050406030204" pitchFamily="18" charset="0"/>
                                <a:ea typeface="+mn-ea"/>
                                <a:cs typeface="+mn-cs"/>
                              </a:rPr>
                            </m:ctrlPr>
                          </m:fPr>
                          <m:num>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1</m:t>
                                </m:r>
                              </m:sub>
                            </m:sSub>
                            <m:r>
                              <a:rPr lang="en-US" sz="1400" kern="1200">
                                <a:solidFill>
                                  <a:schemeClr val="tx1"/>
                                </a:solidFill>
                                <a:effectLst/>
                                <a:latin typeface="Cambria Math" panose="02040503050406030204" pitchFamily="18" charset="0"/>
                                <a:ea typeface="+mn-ea"/>
                                <a:cs typeface="+mn-cs"/>
                              </a:rPr>
                              <m:t>+</m:t>
                            </m:r>
                            <m:sSub>
                              <m:sSubPr>
                                <m:ctrlPr>
                                  <a:rPr lang="en-US" sz="1400" i="1" kern="1200">
                                    <a:solidFill>
                                      <a:schemeClr val="tx1"/>
                                    </a:solidFill>
                                    <a:effectLst/>
                                    <a:latin typeface="Cambria Math" panose="02040503050406030204" pitchFamily="18" charset="0"/>
                                    <a:ea typeface="+mn-ea"/>
                                    <a:cs typeface="+mn-cs"/>
                                  </a:rPr>
                                </m:ctrlPr>
                              </m:sSubPr>
                              <m:e>
                                <m:r>
                                  <a:rPr lang="en-US" sz="1400" i="1" kern="1200">
                                    <a:solidFill>
                                      <a:schemeClr val="tx1"/>
                                    </a:solidFill>
                                    <a:effectLst/>
                                    <a:latin typeface="Cambria Math" panose="02040503050406030204" pitchFamily="18" charset="0"/>
                                    <a:ea typeface="+mn-ea"/>
                                    <a:cs typeface="+mn-cs"/>
                                  </a:rPr>
                                  <m:t>𝑉</m:t>
                                </m:r>
                              </m:e>
                              <m:sub>
                                <m:r>
                                  <a:rPr lang="en-US" sz="1400" kern="1200">
                                    <a:solidFill>
                                      <a:schemeClr val="tx1"/>
                                    </a:solidFill>
                                    <a:effectLst/>
                                    <a:latin typeface="Cambria Math" panose="02040503050406030204" pitchFamily="18" charset="0"/>
                                    <a:ea typeface="+mn-ea"/>
                                    <a:cs typeface="+mn-cs"/>
                                  </a:rPr>
                                  <m:t>2</m:t>
                                </m:r>
                              </m:sub>
                            </m:sSub>
                          </m:num>
                          <m:den>
                            <m:r>
                              <a:rPr lang="en-CA" sz="1400" b="0" i="1" kern="1200">
                                <a:solidFill>
                                  <a:schemeClr val="tx1"/>
                                </a:solidFill>
                                <a:effectLst/>
                                <a:latin typeface="Cambria Math" panose="02040503050406030204" pitchFamily="18" charset="0"/>
                                <a:ea typeface="+mn-ea"/>
                                <a:cs typeface="+mn-cs"/>
                              </a:rPr>
                              <m:t>2</m:t>
                            </m:r>
                          </m:den>
                        </m:f>
                      </m:e>
                    </m:d>
                  </m:oMath>
                </m:oMathPara>
              </a14:m>
              <a:endParaRPr lang="en-US" sz="1400" i="1"/>
            </a:p>
            <a:p>
              <a:pPr>
                <a:spcBef>
                  <a:spcPts val="600"/>
                </a:spcBef>
                <a:spcAft>
                  <a:spcPts val="600"/>
                </a:spcAft>
              </a:pPr>
              <a:r>
                <a:rPr lang="en-US" sz="1400" i="1"/>
                <a:t>If all resistor values equal:</a:t>
              </a:r>
            </a:p>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𝑜𝑢𝑡</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1</m:t>
                        </m:r>
                      </m:sub>
                    </m:sSub>
                    <m:r>
                      <a:rPr lang="en-US" sz="1600" i="1">
                        <a:latin typeface="Cambria Math" panose="02040503050406030204" pitchFamily="18" charset="0"/>
                      </a:rPr>
                      <m:t>+</m:t>
                    </m:r>
                    <m:sSub>
                      <m:sSubPr>
                        <m:ctrlPr>
                          <a:rPr lang="en-US" sz="1600" i="1">
                            <a:latin typeface="Cambria Math" panose="02040503050406030204" pitchFamily="18" charset="0"/>
                          </a:rPr>
                        </m:ctrlPr>
                      </m:sSubPr>
                      <m:e>
                        <m:r>
                          <a:rPr lang="en-US" sz="1600" i="1">
                            <a:latin typeface="Cambria Math" panose="02040503050406030204" pitchFamily="18" charset="0"/>
                          </a:rPr>
                          <m:t>𝑉</m:t>
                        </m:r>
                      </m:e>
                      <m:sub>
                        <m:r>
                          <a:rPr lang="en-US" sz="1600" i="1">
                            <a:latin typeface="Cambria Math" panose="02040503050406030204" pitchFamily="18" charset="0"/>
                          </a:rPr>
                          <m:t>2</m:t>
                        </m:r>
                      </m:sub>
                    </m:sSub>
                  </m:oMath>
                </m:oMathPara>
              </a14:m>
              <a:endParaRPr lang="en-US" sz="1400"/>
            </a:p>
          </xdr:txBody>
        </xdr:sp>
      </mc:Choice>
      <mc:Fallback xmlns="">
        <xdr:sp macro="" textlink="">
          <xdr:nvSpPr>
            <xdr:cNvPr id="5" name="TextBox 8">
              <a:extLst>
                <a:ext uri="{FF2B5EF4-FFF2-40B4-BE49-F238E27FC236}">
                  <a16:creationId xmlns:a16="http://schemas.microsoft.com/office/drawing/2014/main" id="{B5D9DD1A-3551-4F4F-8E66-E9F80BE42FE7}"/>
                </a:ext>
              </a:extLst>
            </xdr:cNvPr>
            <xdr:cNvSpPr txBox="1"/>
          </xdr:nvSpPr>
          <xdr:spPr>
            <a:xfrm>
              <a:off x="9068595" y="3591719"/>
              <a:ext cx="3819922" cy="2371328"/>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Summing Amplifier (Non-Inverting)</a:t>
              </a:r>
            </a:p>
            <a:p>
              <a:pPr/>
              <a:r>
                <a:rPr lang="en-US" sz="1400" i="0">
                  <a:latin typeface="Cambria Math" panose="02040503050406030204" pitchFamily="18" charset="0"/>
                </a:rPr>
                <a:t>𝑉_𝑜𝑢𝑡=(1+𝑅_𝐹/𝑅_3 )[𝑉_1 (𝑅_2/(𝑅_1+𝑅_2 ))+𝑉_2 (𝑅_1/(𝑅_1+𝑅_2 ))]</a:t>
              </a:r>
              <a:endParaRPr lang="en-US" sz="1400"/>
            </a:p>
            <a:p>
              <a:endParaRPr lang="en-US" sz="1200"/>
            </a:p>
            <a:p>
              <a:pPr rtl="0" eaLnBrk="1" fontAlgn="auto" latinLnBrk="0" hangingPunct="1"/>
              <a:r>
                <a:rPr lang="en-US" sz="1400" i="1" kern="1200">
                  <a:solidFill>
                    <a:schemeClr val="tx1"/>
                  </a:solidFill>
                  <a:effectLst/>
                  <a:latin typeface="+mn-lt"/>
                  <a:ea typeface="+mn-ea"/>
                  <a:cs typeface="+mn-cs"/>
                </a:rPr>
                <a:t>If R</a:t>
              </a:r>
              <a:r>
                <a:rPr lang="en-US" sz="1400" i="1" kern="1200" baseline="-25000">
                  <a:solidFill>
                    <a:schemeClr val="tx1"/>
                  </a:solidFill>
                  <a:effectLst/>
                  <a:latin typeface="+mn-lt"/>
                  <a:ea typeface="+mn-ea"/>
                  <a:cs typeface="+mn-cs"/>
                </a:rPr>
                <a:t>1 </a:t>
              </a:r>
              <a:r>
                <a:rPr lang="en-US" sz="1400" i="1" kern="1200">
                  <a:solidFill>
                    <a:schemeClr val="tx1"/>
                  </a:solidFill>
                  <a:effectLst/>
                  <a:latin typeface="+mn-lt"/>
                  <a:ea typeface="+mn-ea"/>
                  <a:cs typeface="+mn-cs"/>
                </a:rPr>
                <a:t>= R</a:t>
              </a:r>
              <a:r>
                <a:rPr lang="en-US" sz="1400" i="1" kern="1200" baseline="-25000">
                  <a:solidFill>
                    <a:schemeClr val="tx1"/>
                  </a:solidFill>
                  <a:effectLst/>
                  <a:latin typeface="+mn-lt"/>
                  <a:ea typeface="+mn-ea"/>
                  <a:cs typeface="+mn-cs"/>
                </a:rPr>
                <a:t>2</a:t>
              </a:r>
              <a:r>
                <a:rPr lang="en-US" sz="1400" i="1" kern="1200">
                  <a:solidFill>
                    <a:schemeClr val="tx1"/>
                  </a:solidFill>
                  <a:effectLst/>
                  <a:latin typeface="+mn-lt"/>
                  <a:ea typeface="+mn-ea"/>
                  <a:cs typeface="+mn-cs"/>
                </a:rPr>
                <a:t> = R</a:t>
              </a:r>
              <a:r>
                <a:rPr lang="en-US" sz="1400" i="1" kern="1200" baseline="-25000">
                  <a:solidFill>
                    <a:schemeClr val="tx1"/>
                  </a:solidFill>
                  <a:effectLst/>
                  <a:latin typeface="+mn-lt"/>
                  <a:ea typeface="+mn-ea"/>
                  <a:cs typeface="+mn-cs"/>
                </a:rPr>
                <a:t>3</a:t>
              </a:r>
              <a:r>
                <a:rPr lang="en-US" sz="1400" i="1" kern="1200">
                  <a:solidFill>
                    <a:schemeClr val="tx1"/>
                  </a:solidFill>
                  <a:effectLst/>
                  <a:latin typeface="+mn-lt"/>
                  <a:ea typeface="+mn-ea"/>
                  <a:cs typeface="+mn-cs"/>
                </a:rPr>
                <a:t>: </a:t>
              </a:r>
              <a:endParaRPr lang="en-CA" sz="1400">
                <a:effectLst/>
              </a:endParaRPr>
            </a:p>
            <a:p>
              <a:r>
                <a:rPr lang="en-US" sz="1400" i="0" kern="1200">
                  <a:solidFill>
                    <a:schemeClr val="tx1"/>
                  </a:solidFill>
                  <a:effectLst/>
                  <a:latin typeface="+mn-lt"/>
                  <a:ea typeface="+mn-ea"/>
                  <a:cs typeface="+mn-cs"/>
                </a:rPr>
                <a:t>𝑉_𝑜𝑢𝑡=(1+𝑅_𝐹/𝑅_3 )[(𝑉_1+𝑉_2)/</a:t>
              </a:r>
              <a:r>
                <a:rPr lang="en-CA" sz="1400" b="0" i="0" kern="1200">
                  <a:solidFill>
                    <a:schemeClr val="tx1"/>
                  </a:solidFill>
                  <a:effectLst/>
                  <a:latin typeface="+mn-lt"/>
                  <a:ea typeface="+mn-ea"/>
                  <a:cs typeface="+mn-cs"/>
                </a:rPr>
                <a:t>2]</a:t>
              </a:r>
              <a:endParaRPr lang="en-US" sz="1400" i="1"/>
            </a:p>
            <a:p>
              <a:pPr>
                <a:spcBef>
                  <a:spcPts val="600"/>
                </a:spcBef>
                <a:spcAft>
                  <a:spcPts val="600"/>
                </a:spcAft>
              </a:pPr>
              <a:r>
                <a:rPr lang="en-US" sz="1400" i="1"/>
                <a:t>If all resistor values equal:</a:t>
              </a:r>
            </a:p>
            <a:p>
              <a:pPr/>
              <a:r>
                <a:rPr lang="en-US" sz="1600" i="0">
                  <a:latin typeface="Cambria Math" panose="02040503050406030204" pitchFamily="18" charset="0"/>
                </a:rPr>
                <a:t>𝑉_𝑜𝑢𝑡=𝑉_1+𝑉_2</a:t>
              </a:r>
              <a:endParaRPr lang="en-US" sz="1400"/>
            </a:p>
          </xdr:txBody>
        </xdr:sp>
      </mc:Fallback>
    </mc:AlternateContent>
    <xdr:clientData/>
  </xdr:twoCellAnchor>
  <xdr:twoCellAnchor editAs="oneCell">
    <xdr:from>
      <xdr:col>18</xdr:col>
      <xdr:colOff>429949</xdr:colOff>
      <xdr:row>4</xdr:row>
      <xdr:rowOff>165365</xdr:rowOff>
    </xdr:from>
    <xdr:to>
      <xdr:col>23</xdr:col>
      <xdr:colOff>75573</xdr:colOff>
      <xdr:row>16</xdr:row>
      <xdr:rowOff>32544</xdr:rowOff>
    </xdr:to>
    <xdr:pic>
      <xdr:nvPicPr>
        <xdr:cNvPr id="6" name="Picture 5">
          <a:extLst>
            <a:ext uri="{FF2B5EF4-FFF2-40B4-BE49-F238E27FC236}">
              <a16:creationId xmlns:a16="http://schemas.microsoft.com/office/drawing/2014/main" id="{840812F2-3E9D-4F40-85C5-07865901E6D4}"/>
            </a:ext>
          </a:extLst>
        </xdr:cNvPr>
        <xdr:cNvPicPr>
          <a:picLocks noChangeAspect="1"/>
        </xdr:cNvPicPr>
      </xdr:nvPicPr>
      <xdr:blipFill>
        <a:blip xmlns:r="http://schemas.openxmlformats.org/officeDocument/2006/relationships" r:embed="rId4"/>
        <a:stretch>
          <a:fillRect/>
        </a:stretch>
      </xdr:blipFill>
      <xdr:spPr>
        <a:xfrm>
          <a:off x="11866564" y="1329532"/>
          <a:ext cx="2853697" cy="2109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523876</xdr:colOff>
      <xdr:row>0</xdr:row>
      <xdr:rowOff>329406</xdr:rowOff>
    </xdr:from>
    <xdr:to>
      <xdr:col>16</xdr:col>
      <xdr:colOff>482333</xdr:colOff>
      <xdr:row>8</xdr:row>
      <xdr:rowOff>30989</xdr:rowOff>
    </xdr:to>
    <xdr:pic>
      <xdr:nvPicPr>
        <xdr:cNvPr id="3" name="Picture 2">
          <a:extLst>
            <a:ext uri="{FF2B5EF4-FFF2-40B4-BE49-F238E27FC236}">
              <a16:creationId xmlns:a16="http://schemas.microsoft.com/office/drawing/2014/main" id="{00000000-0008-0000-0200-000003000000}"/>
            </a:ext>
          </a:extLst>
        </xdr:cNvPr>
        <xdr:cNvPicPr/>
      </xdr:nvPicPr>
      <xdr:blipFill rotWithShape="1">
        <a:blip xmlns:r="http://schemas.openxmlformats.org/officeDocument/2006/relationships" r:embed="rId2" cstate="hqprint">
          <a:extLst>
            <a:ext uri="{28A0092B-C50C-407E-A947-70E740481C1C}">
              <a14:useLocalDpi xmlns:a14="http://schemas.microsoft.com/office/drawing/2010/main"/>
            </a:ext>
          </a:extLst>
        </a:blip>
        <a:srcRect t="3097"/>
        <a:stretch/>
      </xdr:blipFill>
      <xdr:spPr>
        <a:xfrm>
          <a:off x="7240985" y="329406"/>
          <a:ext cx="2984629" cy="1676036"/>
        </a:xfrm>
        <a:prstGeom prst="rect">
          <a:avLst/>
        </a:prstGeom>
      </xdr:spPr>
    </xdr:pic>
    <xdr:clientData/>
  </xdr:twoCellAnchor>
  <xdr:twoCellAnchor>
    <xdr:from>
      <xdr:col>12</xdr:col>
      <xdr:colOff>446485</xdr:colOff>
      <xdr:row>9</xdr:row>
      <xdr:rowOff>79376</xdr:rowOff>
    </xdr:from>
    <xdr:to>
      <xdr:col>15</xdr:col>
      <xdr:colOff>357187</xdr:colOff>
      <xdr:row>14</xdr:row>
      <xdr:rowOff>59531</xdr:rowOff>
    </xdr:to>
    <xdr:sp macro="" textlink="">
      <xdr:nvSpPr>
        <xdr:cNvPr id="4" name="TextBox 8">
          <a:extLst>
            <a:ext uri="{FF2B5EF4-FFF2-40B4-BE49-F238E27FC236}">
              <a16:creationId xmlns:a16="http://schemas.microsoft.com/office/drawing/2014/main" id="{00000000-0008-0000-0200-000004000000}"/>
            </a:ext>
          </a:extLst>
        </xdr:cNvPr>
        <xdr:cNvSpPr txBox="1"/>
      </xdr:nvSpPr>
      <xdr:spPr>
        <a:xfrm>
          <a:off x="7768829" y="2252267"/>
          <a:ext cx="1726405" cy="922733"/>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Buffer</a:t>
          </a:r>
        </a:p>
        <a:p>
          <a:pPr algn="ctr"/>
          <a:r>
            <a:rPr lang="en-US" sz="1800"/>
            <a:t>V</a:t>
          </a:r>
          <a:r>
            <a:rPr lang="en-US" sz="1800" baseline="-25000"/>
            <a:t>out</a:t>
          </a:r>
          <a:r>
            <a:rPr lang="en-US" sz="1800"/>
            <a:t> </a:t>
          </a:r>
          <a:r>
            <a:rPr lang="en-US" sz="1800">
              <a:sym typeface="Symbol" panose="05050102010706020507" pitchFamily="18" charset="2"/>
            </a:rPr>
            <a:t>=</a:t>
          </a:r>
          <a:r>
            <a:rPr lang="en-US" sz="1800"/>
            <a:t> V</a:t>
          </a:r>
          <a:r>
            <a:rPr lang="en-US" sz="1800" baseline="-25000"/>
            <a:t>in(+)</a:t>
          </a:r>
          <a:endParaRPr lang="en-US" sz="1800" baseline="0"/>
        </a:p>
        <a:p>
          <a:pPr algn="ctr"/>
          <a:r>
            <a:rPr lang="en-US" sz="1400" baseline="0"/>
            <a:t>(gain = 1, or 0 dB)</a:t>
          </a:r>
          <a:endParaRPr lang="en-US" sz="1800" baseline="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44314563-7A3E-49D2-BF0F-FA28AEF1D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119063</xdr:colOff>
      <xdr:row>0</xdr:row>
      <xdr:rowOff>367109</xdr:rowOff>
    </xdr:from>
    <xdr:to>
      <xdr:col>17</xdr:col>
      <xdr:colOff>108912</xdr:colOff>
      <xdr:row>12</xdr:row>
      <xdr:rowOff>138906</xdr:rowOff>
    </xdr:to>
    <xdr:pic>
      <xdr:nvPicPr>
        <xdr:cNvPr id="5" name="Picture 4">
          <a:extLst>
            <a:ext uri="{FF2B5EF4-FFF2-40B4-BE49-F238E27FC236}">
              <a16:creationId xmlns:a16="http://schemas.microsoft.com/office/drawing/2014/main" id="{185329F7-301A-4756-B5A0-0F81797501BE}"/>
            </a:ext>
          </a:extLst>
        </xdr:cNvPr>
        <xdr:cNvPicPr>
          <a:picLocks noChangeAspect="1"/>
        </xdr:cNvPicPr>
      </xdr:nvPicPr>
      <xdr:blipFill>
        <a:blip xmlns:r="http://schemas.openxmlformats.org/officeDocument/2006/relationships" r:embed="rId2"/>
        <a:stretch>
          <a:fillRect/>
        </a:stretch>
      </xdr:blipFill>
      <xdr:spPr>
        <a:xfrm>
          <a:off x="8046641" y="367109"/>
          <a:ext cx="2410787" cy="2500313"/>
        </a:xfrm>
        <a:prstGeom prst="rect">
          <a:avLst/>
        </a:prstGeom>
      </xdr:spPr>
    </xdr:pic>
    <xdr:clientData/>
  </xdr:twoCellAnchor>
  <xdr:twoCellAnchor>
    <xdr:from>
      <xdr:col>13</xdr:col>
      <xdr:colOff>317502</xdr:colOff>
      <xdr:row>13</xdr:row>
      <xdr:rowOff>49611</xdr:rowOff>
    </xdr:from>
    <xdr:to>
      <xdr:col>17</xdr:col>
      <xdr:colOff>307578</xdr:colOff>
      <xdr:row>16</xdr:row>
      <xdr:rowOff>46013</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A83C3C63-2E5E-4A5E-A28D-C19ABF83A64F}"/>
                </a:ext>
              </a:extLst>
            </xdr:cNvPr>
            <xdr:cNvSpPr txBox="1"/>
          </xdr:nvSpPr>
          <xdr:spPr>
            <a:xfrm>
              <a:off x="8245080" y="2966642"/>
              <a:ext cx="2411014"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sSub>
                      <m:sSubPr>
                        <m:ctrlPr>
                          <a:rPr lang="en-US" sz="1400" i="1">
                            <a:solidFill>
                              <a:srgbClr val="FF0000"/>
                            </a:solidFill>
                            <a:latin typeface="Cambria Math" panose="02040503050406030204" pitchFamily="18" charset="0"/>
                          </a:rPr>
                        </m:ctrlPr>
                      </m:sSubPr>
                      <m:e>
                        <m:r>
                          <a:rPr lang="en-US" sz="1400" b="0" i="1">
                            <a:solidFill>
                              <a:srgbClr val="FF0000"/>
                            </a:solidFill>
                            <a:latin typeface="Cambria Math" panose="02040503050406030204" pitchFamily="18" charset="0"/>
                          </a:rPr>
                          <m:t>𝐼</m:t>
                        </m:r>
                      </m:e>
                      <m:sub>
                        <m:r>
                          <a:rPr lang="en-US" sz="1400" b="0" i="1">
                            <a:solidFill>
                              <a:srgbClr val="FF0000"/>
                            </a:solidFill>
                            <a:latin typeface="Cambria Math" panose="02040503050406030204" pitchFamily="18" charset="0"/>
                          </a:rPr>
                          <m:t>𝑖𝑛</m:t>
                        </m:r>
                      </m:sub>
                    </m:sSub>
                  </m:oMath>
                </m:oMathPara>
              </a14:m>
              <a:endParaRPr lang="en-US" sz="1200"/>
            </a:p>
          </xdr:txBody>
        </xdr:sp>
      </mc:Choice>
      <mc:Fallback xmlns="">
        <xdr:sp macro="" textlink="">
          <xdr:nvSpPr>
            <xdr:cNvPr id="6" name="TextBox 8">
              <a:extLst>
                <a:ext uri="{FF2B5EF4-FFF2-40B4-BE49-F238E27FC236}">
                  <a16:creationId xmlns:a16="http://schemas.microsoft.com/office/drawing/2014/main" id="{A83C3C63-2E5E-4A5E-A28D-C19ABF83A64F}"/>
                </a:ext>
              </a:extLst>
            </xdr:cNvPr>
            <xdr:cNvSpPr txBox="1"/>
          </xdr:nvSpPr>
          <xdr:spPr>
            <a:xfrm>
              <a:off x="8245080" y="2966642"/>
              <a:ext cx="2411014"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a:t>
              </a:r>
            </a:p>
            <a:p>
              <a:pPr/>
              <a:r>
                <a:rPr lang="en-US" sz="1400" i="0">
                  <a:latin typeface="Cambria Math" panose="02040503050406030204" pitchFamily="18" charset="0"/>
                </a:rPr>
                <a:t>𝑉_𝑜𝑢𝑡=𝑅_𝐹</a:t>
              </a:r>
              <a:r>
                <a:rPr lang="en-US" sz="1400" i="0">
                  <a:solidFill>
                    <a:srgbClr val="FF0000"/>
                  </a:solidFill>
                  <a:latin typeface="Cambria Math" panose="02040503050406030204" pitchFamily="18" charset="0"/>
                </a:rPr>
                <a:t> </a:t>
              </a:r>
              <a:r>
                <a:rPr lang="en-US" sz="1400" b="0" i="0">
                  <a:solidFill>
                    <a:srgbClr val="FF0000"/>
                  </a:solidFill>
                  <a:latin typeface="Cambria Math" panose="02040503050406030204" pitchFamily="18" charset="0"/>
                </a:rPr>
                <a:t>𝐼_𝑖𝑛</a:t>
              </a:r>
              <a:endParaRPr lang="en-US" sz="1200"/>
            </a:p>
          </xdr:txBody>
        </xdr:sp>
      </mc:Fallback>
    </mc:AlternateContent>
    <xdr:clientData/>
  </xdr:twoCellAnchor>
</xdr:wsDr>
</file>

<file path=xl/drawings/drawing31.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6AF7CDED-D51D-4041-BB9F-06DD85C62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9922</xdr:colOff>
      <xdr:row>12</xdr:row>
      <xdr:rowOff>99219</xdr:rowOff>
    </xdr:from>
    <xdr:to>
      <xdr:col>17</xdr:col>
      <xdr:colOff>555625</xdr:colOff>
      <xdr:row>15</xdr:row>
      <xdr:rowOff>95621</xdr:rowOff>
    </xdr:to>
    <mc:AlternateContent xmlns:mc="http://schemas.openxmlformats.org/markup-compatibility/2006" xmlns:a14="http://schemas.microsoft.com/office/drawing/2010/main">
      <mc:Choice Requires="a14">
        <xdr:sp macro="" textlink="">
          <xdr:nvSpPr>
            <xdr:cNvPr id="4" name="TextBox 8">
              <a:extLst>
                <a:ext uri="{FF2B5EF4-FFF2-40B4-BE49-F238E27FC236}">
                  <a16:creationId xmlns:a16="http://schemas.microsoft.com/office/drawing/2014/main" id="{8A1366DA-9928-4D56-B37D-B7D5005ECE38}"/>
                </a:ext>
              </a:extLst>
            </xdr:cNvPr>
            <xdr:cNvSpPr txBox="1"/>
          </xdr:nvSpPr>
          <xdr:spPr>
            <a:xfrm>
              <a:off x="7937500" y="2827735"/>
              <a:ext cx="2966641"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 + Bias</a:t>
              </a:r>
            </a:p>
            <a:p>
              <a:pPr/>
              <a14:m>
                <m:oMathPara xmlns:m="http://schemas.openxmlformats.org/officeDocument/2006/math">
                  <m:oMathParaPr>
                    <m:jc m:val="centerGroup"/>
                  </m:oMathParaPr>
                  <m:oMath xmlns:m="http://schemas.openxmlformats.org/officeDocument/2006/math">
                    <m:sSub>
                      <m:sSubPr>
                        <m:ctrlPr>
                          <a:rPr lang="en-US" sz="1400" i="1">
                            <a:latin typeface="Cambria Math" panose="02040503050406030204" pitchFamily="18" charset="0"/>
                          </a:rPr>
                        </m:ctrlPr>
                      </m:sSubPr>
                      <m:e>
                        <m:r>
                          <a:rPr lang="en-US" sz="1400" i="1">
                            <a:latin typeface="Cambria Math" panose="02040503050406030204" pitchFamily="18" charset="0"/>
                          </a:rPr>
                          <m:t>𝑉</m:t>
                        </m:r>
                      </m:e>
                      <m:sub>
                        <m:r>
                          <a:rPr lang="en-US" sz="1400" i="1">
                            <a:latin typeface="Cambria Math" panose="02040503050406030204" pitchFamily="18" charset="0"/>
                          </a:rPr>
                          <m:t>𝑜𝑢𝑡</m:t>
                        </m:r>
                      </m:sub>
                    </m:sSub>
                    <m:r>
                      <a:rPr lang="en-US" sz="1400">
                        <a:latin typeface="Cambria Math" panose="02040503050406030204" pitchFamily="18" charset="0"/>
                      </a:rPr>
                      <m:t>=</m:t>
                    </m:r>
                    <m:sSub>
                      <m:sSubPr>
                        <m:ctrlPr>
                          <a:rPr lang="en-US" sz="1400" i="1">
                            <a:latin typeface="Cambria Math" panose="02040503050406030204" pitchFamily="18" charset="0"/>
                          </a:rPr>
                        </m:ctrlPr>
                      </m:sSubPr>
                      <m:e>
                        <m:r>
                          <a:rPr lang="en-US" sz="1400" i="1">
                            <a:latin typeface="Cambria Math" panose="02040503050406030204" pitchFamily="18" charset="0"/>
                          </a:rPr>
                          <m:t>𝑅</m:t>
                        </m:r>
                      </m:e>
                      <m:sub>
                        <m:r>
                          <a:rPr lang="en-US" sz="1400" i="1">
                            <a:latin typeface="Cambria Math" panose="02040503050406030204" pitchFamily="18" charset="0"/>
                          </a:rPr>
                          <m:t>𝐹</m:t>
                        </m:r>
                      </m:sub>
                    </m:sSub>
                    <m:sSub>
                      <m:sSubPr>
                        <m:ctrlPr>
                          <a:rPr lang="en-US" sz="1400" i="1">
                            <a:solidFill>
                              <a:srgbClr val="FF0000"/>
                            </a:solidFill>
                            <a:latin typeface="Cambria Math" panose="02040503050406030204" pitchFamily="18" charset="0"/>
                          </a:rPr>
                        </m:ctrlPr>
                      </m:sSubPr>
                      <m:e>
                        <m:r>
                          <a:rPr lang="en-US" sz="1400" b="0" i="1">
                            <a:solidFill>
                              <a:srgbClr val="FF0000"/>
                            </a:solidFill>
                            <a:latin typeface="Cambria Math" panose="02040503050406030204" pitchFamily="18" charset="0"/>
                          </a:rPr>
                          <m:t>𝐼</m:t>
                        </m:r>
                      </m:e>
                      <m:sub>
                        <m:r>
                          <a:rPr lang="en-US" sz="1400" b="0" i="1">
                            <a:solidFill>
                              <a:srgbClr val="FF0000"/>
                            </a:solidFill>
                            <a:latin typeface="Cambria Math" panose="02040503050406030204" pitchFamily="18" charset="0"/>
                          </a:rPr>
                          <m:t>𝑖𝑛</m:t>
                        </m:r>
                      </m:sub>
                    </m:sSub>
                    <m:sSub>
                      <m:sSubPr>
                        <m:ctrlPr>
                          <a:rPr lang="en-US" sz="1400" i="1" kern="1200">
                            <a:solidFill>
                              <a:schemeClr val="tx1"/>
                            </a:solidFill>
                            <a:effectLst/>
                            <a:latin typeface="Cambria Math" panose="02040503050406030204" pitchFamily="18" charset="0"/>
                            <a:ea typeface="+mn-ea"/>
                            <a:cs typeface="+mn-cs"/>
                          </a:rPr>
                        </m:ctrlPr>
                      </m:sSubPr>
                      <m:e>
                        <m:r>
                          <a:rPr lang="en-CA" sz="1400" b="0" i="1" kern="1200">
                            <a:solidFill>
                              <a:schemeClr val="tx1"/>
                            </a:solidFill>
                            <a:effectLst/>
                            <a:latin typeface="Cambria Math" panose="02040503050406030204" pitchFamily="18" charset="0"/>
                            <a:ea typeface="+mn-ea"/>
                            <a:cs typeface="+mn-cs"/>
                          </a:rPr>
                          <m:t>+</m:t>
                        </m:r>
                        <m:r>
                          <a:rPr lang="en-US" sz="1400" i="1" kern="1200">
                            <a:solidFill>
                              <a:schemeClr val="tx1"/>
                            </a:solidFill>
                            <a:effectLst/>
                            <a:latin typeface="Cambria Math" panose="02040503050406030204" pitchFamily="18" charset="0"/>
                            <a:ea typeface="+mn-ea"/>
                            <a:cs typeface="+mn-cs"/>
                          </a:rPr>
                          <m:t>𝑉</m:t>
                        </m:r>
                      </m:e>
                      <m:sub>
                        <m:r>
                          <a:rPr lang="en-CA" sz="1400" b="0" i="1" kern="1200">
                            <a:solidFill>
                              <a:schemeClr val="tx1"/>
                            </a:solidFill>
                            <a:effectLst/>
                            <a:latin typeface="Cambria Math" panose="02040503050406030204" pitchFamily="18" charset="0"/>
                            <a:ea typeface="+mn-ea"/>
                            <a:cs typeface="+mn-cs"/>
                          </a:rPr>
                          <m:t>𝑏</m:t>
                        </m:r>
                      </m:sub>
                    </m:sSub>
                  </m:oMath>
                </m:oMathPara>
              </a14:m>
              <a:endParaRPr lang="en-US" sz="1200"/>
            </a:p>
          </xdr:txBody>
        </xdr:sp>
      </mc:Choice>
      <mc:Fallback xmlns="">
        <xdr:sp macro="" textlink="">
          <xdr:nvSpPr>
            <xdr:cNvPr id="4" name="TextBox 8">
              <a:extLst>
                <a:ext uri="{FF2B5EF4-FFF2-40B4-BE49-F238E27FC236}">
                  <a16:creationId xmlns:a16="http://schemas.microsoft.com/office/drawing/2014/main" id="{8A1366DA-9928-4D56-B37D-B7D5005ECE38}"/>
                </a:ext>
              </a:extLst>
            </xdr:cNvPr>
            <xdr:cNvSpPr txBox="1"/>
          </xdr:nvSpPr>
          <xdr:spPr>
            <a:xfrm>
              <a:off x="7937500" y="2827735"/>
              <a:ext cx="2966641" cy="561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Transimpedance Amplifier + Bias</a:t>
              </a:r>
            </a:p>
            <a:p>
              <a:pPr/>
              <a:r>
                <a:rPr lang="en-US" sz="1400" i="0">
                  <a:latin typeface="Cambria Math" panose="02040503050406030204" pitchFamily="18" charset="0"/>
                </a:rPr>
                <a:t>𝑉_𝑜𝑢𝑡=𝑅_𝐹</a:t>
              </a:r>
              <a:r>
                <a:rPr lang="en-US" sz="1400" i="0">
                  <a:solidFill>
                    <a:srgbClr val="FF0000"/>
                  </a:solidFill>
                  <a:latin typeface="Cambria Math" panose="02040503050406030204" pitchFamily="18" charset="0"/>
                </a:rPr>
                <a:t> </a:t>
              </a:r>
              <a:r>
                <a:rPr lang="en-US" sz="1400" b="0" i="0">
                  <a:solidFill>
                    <a:srgbClr val="FF0000"/>
                  </a:solidFill>
                  <a:latin typeface="Cambria Math" panose="02040503050406030204" pitchFamily="18" charset="0"/>
                </a:rPr>
                <a:t>𝐼_𝑖𝑛</a:t>
              </a:r>
              <a:r>
                <a:rPr lang="en-US" sz="1400" b="0" i="0" kern="1200">
                  <a:solidFill>
                    <a:schemeClr val="tx1"/>
                  </a:solidFill>
                  <a:effectLst/>
                  <a:latin typeface="Cambria Math" panose="02040503050406030204" pitchFamily="18" charset="0"/>
                  <a:ea typeface="+mn-ea"/>
                  <a:cs typeface="+mn-cs"/>
                </a:rPr>
                <a:t> </a:t>
              </a:r>
              <a:r>
                <a:rPr lang="en-US" sz="1400" i="0" kern="1200">
                  <a:solidFill>
                    <a:schemeClr val="tx1"/>
                  </a:solidFill>
                  <a:effectLst/>
                  <a:latin typeface="Cambria Math" panose="02040503050406030204" pitchFamily="18" charset="0"/>
                  <a:ea typeface="+mn-ea"/>
                  <a:cs typeface="+mn-cs"/>
                </a:rPr>
                <a:t>〖</a:t>
              </a:r>
              <a:r>
                <a:rPr lang="en-CA" sz="1400" b="0" i="0" kern="1200">
                  <a:solidFill>
                    <a:schemeClr val="tx1"/>
                  </a:solidFill>
                  <a:effectLst/>
                  <a:latin typeface="Cambria Math" panose="02040503050406030204" pitchFamily="18" charset="0"/>
                  <a:ea typeface="+mn-ea"/>
                  <a:cs typeface="+mn-cs"/>
                </a:rPr>
                <a:t>+</a:t>
              </a:r>
              <a:r>
                <a:rPr lang="en-US" sz="1400" i="0" kern="1200">
                  <a:solidFill>
                    <a:schemeClr val="tx1"/>
                  </a:solidFill>
                  <a:effectLst/>
                  <a:latin typeface="Cambria Math" panose="02040503050406030204" pitchFamily="18" charset="0"/>
                  <a:ea typeface="+mn-ea"/>
                  <a:cs typeface="+mn-cs"/>
                </a:rPr>
                <a:t>𝑉〗_</a:t>
              </a:r>
              <a:r>
                <a:rPr lang="en-CA" sz="1400" b="0" i="0" kern="1200">
                  <a:solidFill>
                    <a:schemeClr val="tx1"/>
                  </a:solidFill>
                  <a:effectLst/>
                  <a:latin typeface="Cambria Math" panose="02040503050406030204" pitchFamily="18" charset="0"/>
                  <a:ea typeface="+mn-ea"/>
                  <a:cs typeface="+mn-cs"/>
                </a:rPr>
                <a:t>𝑏</a:t>
              </a:r>
              <a:endParaRPr lang="en-US" sz="1200"/>
            </a:p>
          </xdr:txBody>
        </xdr:sp>
      </mc:Fallback>
    </mc:AlternateContent>
    <xdr:clientData/>
  </xdr:twoCellAnchor>
  <xdr:twoCellAnchor editAs="oneCell">
    <xdr:from>
      <xdr:col>12</xdr:col>
      <xdr:colOff>595313</xdr:colOff>
      <xdr:row>0</xdr:row>
      <xdr:rowOff>128984</xdr:rowOff>
    </xdr:from>
    <xdr:to>
      <xdr:col>17</xdr:col>
      <xdr:colOff>148829</xdr:colOff>
      <xdr:row>12</xdr:row>
      <xdr:rowOff>62554</xdr:rowOff>
    </xdr:to>
    <xdr:pic>
      <xdr:nvPicPr>
        <xdr:cNvPr id="5" name="Picture 4">
          <a:extLst>
            <a:ext uri="{FF2B5EF4-FFF2-40B4-BE49-F238E27FC236}">
              <a16:creationId xmlns:a16="http://schemas.microsoft.com/office/drawing/2014/main" id="{04813029-9C9A-343B-34B6-948CBBED9356}"/>
            </a:ext>
          </a:extLst>
        </xdr:cNvPr>
        <xdr:cNvPicPr>
          <a:picLocks noChangeAspect="1"/>
        </xdr:cNvPicPr>
      </xdr:nvPicPr>
      <xdr:blipFill>
        <a:blip xmlns:r="http://schemas.openxmlformats.org/officeDocument/2006/relationships" r:embed="rId2"/>
        <a:stretch>
          <a:fillRect/>
        </a:stretch>
      </xdr:blipFill>
      <xdr:spPr>
        <a:xfrm>
          <a:off x="7917657" y="128984"/>
          <a:ext cx="2579688" cy="266208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11</xdr:col>
      <xdr:colOff>380209</xdr:colOff>
      <xdr:row>3</xdr:row>
      <xdr:rowOff>84825</xdr:rowOff>
    </xdr:from>
    <xdr:to>
      <xdr:col>11</xdr:col>
      <xdr:colOff>1362075</xdr:colOff>
      <xdr:row>3</xdr:row>
      <xdr:rowOff>1073832</xdr:rowOff>
    </xdr:to>
    <xdr:pic>
      <xdr:nvPicPr>
        <xdr:cNvPr id="2" name="Picture 1">
          <a:extLst>
            <a:ext uri="{FF2B5EF4-FFF2-40B4-BE49-F238E27FC236}">
              <a16:creationId xmlns:a16="http://schemas.microsoft.com/office/drawing/2014/main" id="{4AE0CE53-8102-7B09-F9C1-8A9DABC2E9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91284" y="2389875"/>
          <a:ext cx="981866" cy="9890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361951</xdr:colOff>
      <xdr:row>4</xdr:row>
      <xdr:rowOff>84588</xdr:rowOff>
    </xdr:from>
    <xdr:to>
      <xdr:col>11</xdr:col>
      <xdr:colOff>1533525</xdr:colOff>
      <xdr:row>4</xdr:row>
      <xdr:rowOff>979605</xdr:rowOff>
    </xdr:to>
    <xdr:pic>
      <xdr:nvPicPr>
        <xdr:cNvPr id="4" name="Picture 3">
          <a:extLst>
            <a:ext uri="{FF2B5EF4-FFF2-40B4-BE49-F238E27FC236}">
              <a16:creationId xmlns:a16="http://schemas.microsoft.com/office/drawing/2014/main" id="{AEA806B2-190B-B000-1F17-7B591E047D46}"/>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936"/>
        <a:stretch/>
      </xdr:blipFill>
      <xdr:spPr bwMode="auto">
        <a:xfrm>
          <a:off x="12773026" y="3551688"/>
          <a:ext cx="1171574" cy="8950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438150</xdr:colOff>
      <xdr:row>8</xdr:row>
      <xdr:rowOff>66675</xdr:rowOff>
    </xdr:from>
    <xdr:to>
      <xdr:col>11</xdr:col>
      <xdr:colOff>1743075</xdr:colOff>
      <xdr:row>8</xdr:row>
      <xdr:rowOff>944448</xdr:rowOff>
    </xdr:to>
    <xdr:pic>
      <xdr:nvPicPr>
        <xdr:cNvPr id="5" name="Picture 4">
          <a:extLst>
            <a:ext uri="{FF2B5EF4-FFF2-40B4-BE49-F238E27FC236}">
              <a16:creationId xmlns:a16="http://schemas.microsoft.com/office/drawing/2014/main" id="{113BACB0-9B14-2A16-067F-AA2A3A67839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49225" y="7553325"/>
          <a:ext cx="1304925" cy="877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257175</xdr:colOff>
      <xdr:row>9</xdr:row>
      <xdr:rowOff>66675</xdr:rowOff>
    </xdr:from>
    <xdr:to>
      <xdr:col>11</xdr:col>
      <xdr:colOff>1847850</xdr:colOff>
      <xdr:row>9</xdr:row>
      <xdr:rowOff>1328953</xdr:rowOff>
    </xdr:to>
    <xdr:pic>
      <xdr:nvPicPr>
        <xdr:cNvPr id="7" name="Picture 6">
          <a:extLst>
            <a:ext uri="{FF2B5EF4-FFF2-40B4-BE49-F238E27FC236}">
              <a16:creationId xmlns:a16="http://schemas.microsoft.com/office/drawing/2014/main" id="{E84CCDD3-35E1-084C-54DF-E8A0AC5E373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201275" y="5381625"/>
          <a:ext cx="1590675" cy="1262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247650</xdr:colOff>
      <xdr:row>7</xdr:row>
      <xdr:rowOff>85725</xdr:rowOff>
    </xdr:from>
    <xdr:to>
      <xdr:col>11</xdr:col>
      <xdr:colOff>2168863</xdr:colOff>
      <xdr:row>7</xdr:row>
      <xdr:rowOff>1228725</xdr:rowOff>
    </xdr:to>
    <xdr:pic>
      <xdr:nvPicPr>
        <xdr:cNvPr id="9" name="Picture 8">
          <a:extLst>
            <a:ext uri="{FF2B5EF4-FFF2-40B4-BE49-F238E27FC236}">
              <a16:creationId xmlns:a16="http://schemas.microsoft.com/office/drawing/2014/main" id="{A8F1085C-3B2C-9EA1-2195-E8568841E99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191750" y="3952875"/>
          <a:ext cx="1921213"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400049</xdr:colOff>
      <xdr:row>5</xdr:row>
      <xdr:rowOff>114301</xdr:rowOff>
    </xdr:from>
    <xdr:to>
      <xdr:col>11</xdr:col>
      <xdr:colOff>1724024</xdr:colOff>
      <xdr:row>5</xdr:row>
      <xdr:rowOff>1270596</xdr:rowOff>
    </xdr:to>
    <xdr:pic>
      <xdr:nvPicPr>
        <xdr:cNvPr id="10" name="Picture 9">
          <a:extLst>
            <a:ext uri="{FF2B5EF4-FFF2-40B4-BE49-F238E27FC236}">
              <a16:creationId xmlns:a16="http://schemas.microsoft.com/office/drawing/2014/main" id="{26C2D031-F297-CCD4-F309-853193DC4EDF}"/>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487024" y="8324851"/>
          <a:ext cx="1323975" cy="1156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342899</xdr:colOff>
      <xdr:row>10</xdr:row>
      <xdr:rowOff>47626</xdr:rowOff>
    </xdr:from>
    <xdr:to>
      <xdr:col>11</xdr:col>
      <xdr:colOff>2124074</xdr:colOff>
      <xdr:row>10</xdr:row>
      <xdr:rowOff>1362117</xdr:rowOff>
    </xdr:to>
    <xdr:pic>
      <xdr:nvPicPr>
        <xdr:cNvPr id="12" name="Picture 11">
          <a:extLst>
            <a:ext uri="{FF2B5EF4-FFF2-40B4-BE49-F238E27FC236}">
              <a16:creationId xmlns:a16="http://schemas.microsoft.com/office/drawing/2014/main" id="{2CC3FC70-FA9E-57BE-B830-A1A61340DE7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667999" y="9705976"/>
          <a:ext cx="1781175" cy="13144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532154</xdr:colOff>
      <xdr:row>11</xdr:row>
      <xdr:rowOff>76200</xdr:rowOff>
    </xdr:from>
    <xdr:to>
      <xdr:col>11</xdr:col>
      <xdr:colOff>1781175</xdr:colOff>
      <xdr:row>11</xdr:row>
      <xdr:rowOff>924741</xdr:rowOff>
    </xdr:to>
    <xdr:pic>
      <xdr:nvPicPr>
        <xdr:cNvPr id="13" name="Picture 12">
          <a:extLst>
            <a:ext uri="{FF2B5EF4-FFF2-40B4-BE49-F238E27FC236}">
              <a16:creationId xmlns:a16="http://schemas.microsoft.com/office/drawing/2014/main" id="{4FFA4AA1-3853-652A-C77A-221A459389A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943229" y="11487150"/>
          <a:ext cx="1249021" cy="8485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590551</xdr:colOff>
      <xdr:row>12</xdr:row>
      <xdr:rowOff>38101</xdr:rowOff>
    </xdr:from>
    <xdr:to>
      <xdr:col>11</xdr:col>
      <xdr:colOff>1600201</xdr:colOff>
      <xdr:row>12</xdr:row>
      <xdr:rowOff>1054482</xdr:rowOff>
    </xdr:to>
    <xdr:pic>
      <xdr:nvPicPr>
        <xdr:cNvPr id="15" name="Picture 14">
          <a:extLst>
            <a:ext uri="{FF2B5EF4-FFF2-40B4-BE49-F238E27FC236}">
              <a16:creationId xmlns:a16="http://schemas.microsoft.com/office/drawing/2014/main" id="{B2424900-748E-1F90-9F9F-5F67FABD384B}"/>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001626" y="12439651"/>
          <a:ext cx="1009650" cy="1016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83185</xdr:colOff>
      <xdr:row>13</xdr:row>
      <xdr:rowOff>190500</xdr:rowOff>
    </xdr:from>
    <xdr:to>
      <xdr:col>11</xdr:col>
      <xdr:colOff>2362986</xdr:colOff>
      <xdr:row>13</xdr:row>
      <xdr:rowOff>1114744</xdr:rowOff>
    </xdr:to>
    <xdr:pic>
      <xdr:nvPicPr>
        <xdr:cNvPr id="3" name="Picture 2" descr="A diagram of a circuit board&#10;&#10;Description automatically generated">
          <a:extLst>
            <a:ext uri="{FF2B5EF4-FFF2-40B4-BE49-F238E27FC236}">
              <a16:creationId xmlns:a16="http://schemas.microsoft.com/office/drawing/2014/main" id="{2180F4A4-47F9-6435-BFF6-51F811409FB5}"/>
            </a:ext>
          </a:extLst>
        </xdr:cNvPr>
        <xdr:cNvPicPr>
          <a:picLocks noChangeAspect="1"/>
        </xdr:cNvPicPr>
      </xdr:nvPicPr>
      <xdr:blipFill>
        <a:blip xmlns:r="http://schemas.openxmlformats.org/officeDocument/2006/relationships" r:embed="rId10"/>
        <a:stretch>
          <a:fillRect/>
        </a:stretch>
      </xdr:blipFill>
      <xdr:spPr>
        <a:xfrm>
          <a:off x="12494260" y="13687425"/>
          <a:ext cx="2279801" cy="924244"/>
        </a:xfrm>
        <a:prstGeom prst="rect">
          <a:avLst/>
        </a:prstGeom>
      </xdr:spPr>
    </xdr:pic>
    <xdr:clientData/>
  </xdr:twoCellAnchor>
  <xdr:twoCellAnchor editAs="oneCell">
    <xdr:from>
      <xdr:col>11</xdr:col>
      <xdr:colOff>82025</xdr:colOff>
      <xdr:row>2</xdr:row>
      <xdr:rowOff>65786</xdr:rowOff>
    </xdr:from>
    <xdr:to>
      <xdr:col>11</xdr:col>
      <xdr:colOff>1514475</xdr:colOff>
      <xdr:row>2</xdr:row>
      <xdr:rowOff>1191843</xdr:rowOff>
    </xdr:to>
    <xdr:pic>
      <xdr:nvPicPr>
        <xdr:cNvPr id="8" name="Picture 7" descr="A diagram of a box&#10;&#10;Description automatically generated">
          <a:extLst>
            <a:ext uri="{FF2B5EF4-FFF2-40B4-BE49-F238E27FC236}">
              <a16:creationId xmlns:a16="http://schemas.microsoft.com/office/drawing/2014/main" id="{FFDBF2BF-1579-2457-5B33-A9DB373B25E2}"/>
            </a:ext>
          </a:extLst>
        </xdr:cNvPr>
        <xdr:cNvPicPr>
          <a:picLocks noChangeAspect="1"/>
        </xdr:cNvPicPr>
      </xdr:nvPicPr>
      <xdr:blipFill>
        <a:blip xmlns:r="http://schemas.openxmlformats.org/officeDocument/2006/relationships" r:embed="rId11"/>
        <a:stretch>
          <a:fillRect/>
        </a:stretch>
      </xdr:blipFill>
      <xdr:spPr>
        <a:xfrm>
          <a:off x="12493100" y="1037336"/>
          <a:ext cx="1432450" cy="1126057"/>
        </a:xfrm>
        <a:prstGeom prst="rect">
          <a:avLst/>
        </a:prstGeom>
      </xdr:spPr>
    </xdr:pic>
    <xdr:clientData/>
  </xdr:twoCellAnchor>
  <xdr:twoCellAnchor editAs="oneCell">
    <xdr:from>
      <xdr:col>11</xdr:col>
      <xdr:colOff>285751</xdr:colOff>
      <xdr:row>6</xdr:row>
      <xdr:rowOff>133350</xdr:rowOff>
    </xdr:from>
    <xdr:to>
      <xdr:col>11</xdr:col>
      <xdr:colOff>1801843</xdr:colOff>
      <xdr:row>6</xdr:row>
      <xdr:rowOff>1371920</xdr:rowOff>
    </xdr:to>
    <xdr:pic>
      <xdr:nvPicPr>
        <xdr:cNvPr id="6" name="Picture 5">
          <a:extLst>
            <a:ext uri="{FF2B5EF4-FFF2-40B4-BE49-F238E27FC236}">
              <a16:creationId xmlns:a16="http://schemas.microsoft.com/office/drawing/2014/main" id="{D0CFC8C9-C21F-9B0E-9A41-52C9728E2E02}"/>
            </a:ext>
          </a:extLst>
        </xdr:cNvPr>
        <xdr:cNvPicPr>
          <a:picLocks noChangeAspect="1"/>
        </xdr:cNvPicPr>
      </xdr:nvPicPr>
      <xdr:blipFill>
        <a:blip xmlns:r="http://schemas.openxmlformats.org/officeDocument/2006/relationships" r:embed="rId12"/>
        <a:stretch>
          <a:fillRect/>
        </a:stretch>
      </xdr:blipFill>
      <xdr:spPr>
        <a:xfrm>
          <a:off x="12696826" y="6172200"/>
          <a:ext cx="1516092" cy="12385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10</xdr:row>
      <xdr:rowOff>128985</xdr:rowOff>
    </xdr:from>
    <xdr:to>
      <xdr:col>16</xdr:col>
      <xdr:colOff>501149</xdr:colOff>
      <xdr:row>20</xdr:row>
      <xdr:rowOff>32204</xdr:rowOff>
    </xdr:to>
    <mc:AlternateContent xmlns:mc="http://schemas.openxmlformats.org/markup-compatibility/2006" xmlns:a14="http://schemas.microsoft.com/office/drawing/2010/main">
      <mc:Choice Requires="a14">
        <xdr:sp macro="" textlink="">
          <xdr:nvSpPr>
            <xdr:cNvPr id="6" name="Rectangle 5">
              <a:extLst>
                <a:ext uri="{FF2B5EF4-FFF2-40B4-BE49-F238E27FC236}">
                  <a16:creationId xmlns:a16="http://schemas.microsoft.com/office/drawing/2014/main" id="{00000000-0008-0000-0B00-000006000000}"/>
                </a:ext>
              </a:extLst>
            </xdr:cNvPr>
            <xdr:cNvSpPr/>
          </xdr:nvSpPr>
          <xdr:spPr>
            <a:xfrm>
              <a:off x="7927578" y="2500313"/>
              <a:ext cx="2316852" cy="1788375"/>
            </a:xfrm>
            <a:prstGeom prst="rect">
              <a:avLst/>
            </a:prstGeom>
            <a:solidFill>
              <a:schemeClr val="accent4">
                <a:lumMod val="20000"/>
                <a:lumOff val="80000"/>
              </a:schemeClr>
            </a:solidFill>
            <a:ln>
              <a:solidFill>
                <a:schemeClr val="tx1"/>
              </a:solidFill>
            </a:ln>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ctr" defTabSz="457200" rtl="0" eaLnBrk="1" fontAlgn="auto" latinLnBrk="0" hangingPunct="1">
                <a:lnSpc>
                  <a:spcPct val="100000"/>
                </a:lnSpc>
                <a:spcBef>
                  <a:spcPts val="0"/>
                </a:spcBef>
                <a:spcAft>
                  <a:spcPts val="0"/>
                </a:spcAft>
                <a:buClrTx/>
                <a:buSzTx/>
                <a:buFontTx/>
                <a:buNone/>
                <a:tabLst/>
                <a:defRPr/>
              </a:pPr>
              <a:r>
                <a:rPr lang="en-CA" sz="1800" b="1" kern="1200">
                  <a:solidFill>
                    <a:srgbClr val="0070C0"/>
                  </a:solidFill>
                  <a:effectLst/>
                  <a:latin typeface="+mn-lt"/>
                  <a:ea typeface="+mn-ea"/>
                  <a:cs typeface="+mn-cs"/>
                </a:rPr>
                <a:t>Attenuator</a:t>
              </a:r>
              <a:endParaRPr lang="en-US" i="1">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sSub>
                      <m:sSubPr>
                        <m:ctrlPr>
                          <a:rPr lang="en-US" i="1">
                            <a:latin typeface="Cambria Math" panose="02040503050406030204" pitchFamily="18" charset="0"/>
                          </a:rPr>
                        </m:ctrlPr>
                      </m:sSubPr>
                      <m:e>
                        <m:r>
                          <a:rPr lang="en-US">
                            <a:latin typeface="Cambria Math" panose="02040503050406030204" pitchFamily="18" charset="0"/>
                          </a:rPr>
                          <m:t>𝑉</m:t>
                        </m:r>
                      </m:e>
                      <m:sub>
                        <m:r>
                          <a:rPr lang="en-US">
                            <a:latin typeface="Cambria Math" panose="02040503050406030204" pitchFamily="18" charset="0"/>
                          </a:rPr>
                          <m:t>𝑜𝑢𝑡</m:t>
                        </m:r>
                      </m:sub>
                    </m:sSub>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𝑉</m:t>
                        </m:r>
                      </m:e>
                      <m:sub>
                        <m:r>
                          <a:rPr lang="en-US">
                            <a:latin typeface="Cambria Math" panose="02040503050406030204" pitchFamily="18" charset="0"/>
                          </a:rPr>
                          <m:t>𝑖𝑛</m:t>
                        </m:r>
                      </m:sub>
                    </m:sSub>
                    <m:d>
                      <m:dPr>
                        <m:ctrlPr>
                          <a:rPr lang="en-US" i="1">
                            <a:latin typeface="Cambria Math" panose="02040503050406030204" pitchFamily="18" charset="0"/>
                          </a:rPr>
                        </m:ctrlPr>
                      </m:dPr>
                      <m:e>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num>
                          <m:den>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1</m:t>
                                </m:r>
                              </m:sub>
                            </m:sSub>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den>
                        </m:f>
                      </m:e>
                    </m:d>
                  </m:oMath>
                </m:oMathPara>
              </a14:m>
              <a:endParaRPr lang="en-US">
                <a:latin typeface="Cambria Math" panose="02040503050406030204" pitchFamily="18" charset="0"/>
              </a:endParaRPr>
            </a:p>
            <a:p>
              <a:pPr/>
              <a14:m>
                <m:oMathPara xmlns:m="http://schemas.openxmlformats.org/officeDocument/2006/math">
                  <m:oMathParaPr>
                    <m:jc m:val="centerGroup"/>
                  </m:oMathParaPr>
                  <m:oMath xmlns:m="http://schemas.openxmlformats.org/officeDocument/2006/math">
                    <m:r>
                      <a:rPr lang="en-US">
                        <a:latin typeface="Cambria Math" panose="02040503050406030204" pitchFamily="18" charset="0"/>
                      </a:rPr>
                      <m:t>→</m:t>
                    </m:r>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2</m:t>
                        </m:r>
                      </m:sub>
                    </m:sSub>
                    <m:r>
                      <a:rPr lang="en-US">
                        <a:latin typeface="Cambria Math" panose="02040503050406030204" pitchFamily="18" charset="0"/>
                      </a:rPr>
                      <m:t>=</m:t>
                    </m:r>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𝑅</m:t>
                            </m:r>
                          </m:e>
                          <m:sub>
                            <m:r>
                              <a:rPr lang="en-US">
                                <a:latin typeface="Cambria Math" panose="02040503050406030204" pitchFamily="18" charset="0"/>
                              </a:rPr>
                              <m:t>1</m:t>
                            </m:r>
                          </m:sub>
                        </m:sSub>
                      </m:num>
                      <m:den>
                        <m:d>
                          <m:dPr>
                            <m:ctrlPr>
                              <a:rPr lang="en-US" i="1">
                                <a:latin typeface="Cambria Math" panose="02040503050406030204" pitchFamily="18" charset="0"/>
                              </a:rPr>
                            </m:ctrlPr>
                          </m:dPr>
                          <m:e>
                            <m:f>
                              <m:fPr>
                                <m:ctrlPr>
                                  <a:rPr lang="en-US" i="1">
                                    <a:latin typeface="Cambria Math" panose="02040503050406030204" pitchFamily="18" charset="0"/>
                                  </a:rPr>
                                </m:ctrlPr>
                              </m:fPr>
                              <m:num>
                                <m:sSub>
                                  <m:sSubPr>
                                    <m:ctrlPr>
                                      <a:rPr lang="en-US" i="1">
                                        <a:latin typeface="Cambria Math" panose="02040503050406030204" pitchFamily="18" charset="0"/>
                                      </a:rPr>
                                    </m:ctrlPr>
                                  </m:sSubPr>
                                  <m:e>
                                    <m:r>
                                      <a:rPr lang="en-US">
                                        <a:latin typeface="Cambria Math" panose="02040503050406030204" pitchFamily="18" charset="0"/>
                                      </a:rPr>
                                      <m:t>𝑉</m:t>
                                    </m:r>
                                  </m:e>
                                  <m:sub>
                                    <m:r>
                                      <a:rPr lang="en-US" b="0" i="1">
                                        <a:latin typeface="Cambria Math" panose="02040503050406030204" pitchFamily="18" charset="0"/>
                                      </a:rPr>
                                      <m:t>𝑖𝑛</m:t>
                                    </m:r>
                                  </m:sub>
                                </m:sSub>
                              </m:num>
                              <m:den>
                                <m:sSub>
                                  <m:sSubPr>
                                    <m:ctrlPr>
                                      <a:rPr lang="en-US" i="1">
                                        <a:latin typeface="Cambria Math" panose="02040503050406030204" pitchFamily="18" charset="0"/>
                                      </a:rPr>
                                    </m:ctrlPr>
                                  </m:sSubPr>
                                  <m:e>
                                    <m:r>
                                      <a:rPr lang="en-US">
                                        <a:latin typeface="Cambria Math" panose="02040503050406030204" pitchFamily="18" charset="0"/>
                                      </a:rPr>
                                      <m:t>𝑉</m:t>
                                    </m:r>
                                  </m:e>
                                  <m:sub>
                                    <m:r>
                                      <a:rPr lang="en-US" b="0" i="1">
                                        <a:latin typeface="Cambria Math" panose="02040503050406030204" pitchFamily="18" charset="0"/>
                                      </a:rPr>
                                      <m:t>𝑜𝑢𝑡</m:t>
                                    </m:r>
                                  </m:sub>
                                </m:sSub>
                              </m:den>
                            </m:f>
                          </m:e>
                        </m:d>
                        <m:r>
                          <a:rPr lang="en-US">
                            <a:latin typeface="Cambria Math" panose="02040503050406030204" pitchFamily="18" charset="0"/>
                          </a:rPr>
                          <m:t>−1</m:t>
                        </m:r>
                      </m:den>
                    </m:f>
                  </m:oMath>
                </m:oMathPara>
              </a14:m>
              <a:endParaRPr lang="en-US">
                <a:latin typeface="Cambria Math" panose="02040503050406030204" pitchFamily="18" charset="0"/>
              </a:endParaRPr>
            </a:p>
          </xdr:txBody>
        </xdr:sp>
      </mc:Choice>
      <mc:Fallback xmlns="">
        <xdr:sp macro="" textlink="">
          <xdr:nvSpPr>
            <xdr:cNvPr id="6" name="Rectangle 5">
              <a:extLst>
                <a:ext uri="{FF2B5EF4-FFF2-40B4-BE49-F238E27FC236}">
                  <a16:creationId xmlns:a16="http://schemas.microsoft.com/office/drawing/2014/main" id="{00000000-0008-0000-0B00-000006000000}"/>
                </a:ext>
              </a:extLst>
            </xdr:cNvPr>
            <xdr:cNvSpPr/>
          </xdr:nvSpPr>
          <xdr:spPr>
            <a:xfrm>
              <a:off x="7927578" y="2500313"/>
              <a:ext cx="2316852" cy="1788375"/>
            </a:xfrm>
            <a:prstGeom prst="rect">
              <a:avLst/>
            </a:prstGeom>
            <a:solidFill>
              <a:schemeClr val="accent4">
                <a:lumMod val="20000"/>
                <a:lumOff val="80000"/>
              </a:schemeClr>
            </a:solidFill>
            <a:ln>
              <a:solidFill>
                <a:schemeClr val="tx1"/>
              </a:solidFill>
            </a:ln>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0" marR="0" lvl="0" indent="0" algn="ctr" defTabSz="457200" rtl="0" eaLnBrk="1" fontAlgn="auto" latinLnBrk="0" hangingPunct="1">
                <a:lnSpc>
                  <a:spcPct val="100000"/>
                </a:lnSpc>
                <a:spcBef>
                  <a:spcPts val="0"/>
                </a:spcBef>
                <a:spcAft>
                  <a:spcPts val="0"/>
                </a:spcAft>
                <a:buClrTx/>
                <a:buSzTx/>
                <a:buFontTx/>
                <a:buNone/>
                <a:tabLst/>
                <a:defRPr/>
              </a:pPr>
              <a:r>
                <a:rPr lang="en-CA" sz="1800" b="1" kern="1200">
                  <a:solidFill>
                    <a:srgbClr val="0070C0"/>
                  </a:solidFill>
                  <a:effectLst/>
                  <a:latin typeface="+mn-lt"/>
                  <a:ea typeface="+mn-ea"/>
                  <a:cs typeface="+mn-cs"/>
                </a:rPr>
                <a:t>Attenuator</a:t>
              </a:r>
              <a:endParaRPr lang="en-US" i="1">
                <a:latin typeface="Cambria Math" panose="02040503050406030204" pitchFamily="18" charset="0"/>
              </a:endParaRPr>
            </a:p>
            <a:p>
              <a:pPr/>
              <a:r>
                <a:rPr lang="en-US" i="0">
                  <a:latin typeface="Cambria Math" panose="02040503050406030204" pitchFamily="18" charset="0"/>
                </a:rPr>
                <a:t>𝑉_𝑜𝑢𝑡=𝑉_𝑖𝑛 (𝑅_2/(𝑅_1+𝑅_2 ))</a:t>
              </a:r>
              <a:endParaRPr lang="en-US">
                <a:latin typeface="Cambria Math" panose="02040503050406030204" pitchFamily="18" charset="0"/>
              </a:endParaRPr>
            </a:p>
            <a:p>
              <a:pPr/>
              <a:r>
                <a:rPr lang="en-US" i="0">
                  <a:latin typeface="Cambria Math" panose="02040503050406030204" pitchFamily="18" charset="0"/>
                </a:rPr>
                <a:t>→𝑅_2=𝑅_1/((𝑉_</a:t>
              </a:r>
              <a:r>
                <a:rPr lang="en-US" b="0" i="0">
                  <a:latin typeface="Cambria Math" panose="02040503050406030204" pitchFamily="18" charset="0"/>
                </a:rPr>
                <a:t>𝑖𝑛/</a:t>
              </a:r>
              <a:r>
                <a:rPr lang="en-US" i="0">
                  <a:latin typeface="Cambria Math" panose="02040503050406030204" pitchFamily="18" charset="0"/>
                </a:rPr>
                <a:t>𝑉_</a:t>
              </a:r>
              <a:r>
                <a:rPr lang="en-US" b="0" i="0">
                  <a:latin typeface="Cambria Math" panose="02040503050406030204" pitchFamily="18" charset="0"/>
                </a:rPr>
                <a:t>𝑜𝑢𝑡 )</a:t>
              </a:r>
              <a:r>
                <a:rPr lang="en-US" i="0">
                  <a:latin typeface="Cambria Math" panose="02040503050406030204" pitchFamily="18" charset="0"/>
                </a:rPr>
                <a:t>−1)</a:t>
              </a:r>
              <a:endParaRPr lang="en-US">
                <a:latin typeface="Cambria Math" panose="02040503050406030204" pitchFamily="18" charset="0"/>
              </a:endParaRPr>
            </a:p>
          </xdr:txBody>
        </xdr:sp>
      </mc:Fallback>
    </mc:AlternateContent>
    <xdr:clientData/>
  </xdr:twoCellAnchor>
  <xdr:twoCellAnchor editAs="oneCell">
    <xdr:from>
      <xdr:col>12</xdr:col>
      <xdr:colOff>595312</xdr:colOff>
      <xdr:row>0</xdr:row>
      <xdr:rowOff>198273</xdr:rowOff>
    </xdr:from>
    <xdr:to>
      <xdr:col>16</xdr:col>
      <xdr:colOff>523875</xdr:colOff>
      <xdr:row>10</xdr:row>
      <xdr:rowOff>75645</xdr:rowOff>
    </xdr:to>
    <xdr:pic>
      <xdr:nvPicPr>
        <xdr:cNvPr id="7" name="Picture 6">
          <a:extLst>
            <a:ext uri="{FF2B5EF4-FFF2-40B4-BE49-F238E27FC236}">
              <a16:creationId xmlns:a16="http://schemas.microsoft.com/office/drawing/2014/main" id="{47752803-6F09-4660-81D6-EAC739D1DF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59750" y="198273"/>
          <a:ext cx="2436813" cy="2161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65487</xdr:colOff>
      <xdr:row>18</xdr:row>
      <xdr:rowOff>96836</xdr:rowOff>
    </xdr:from>
    <xdr:to>
      <xdr:col>13</xdr:col>
      <xdr:colOff>400846</xdr:colOff>
      <xdr:row>33</xdr:row>
      <xdr:rowOff>22225</xdr:rowOff>
    </xdr:to>
    <xdr:graphicFrame macro="">
      <xdr:nvGraphicFramePr>
        <xdr:cNvPr id="2" name="Chart 1">
          <a:extLst>
            <a:ext uri="{FF2B5EF4-FFF2-40B4-BE49-F238E27FC236}">
              <a16:creationId xmlns:a16="http://schemas.microsoft.com/office/drawing/2014/main" id="{EA5EA413-7173-4461-8B83-4C775B2FF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144859</xdr:colOff>
      <xdr:row>45</xdr:row>
      <xdr:rowOff>47227</xdr:rowOff>
    </xdr:from>
    <xdr:to>
      <xdr:col>13</xdr:col>
      <xdr:colOff>351234</xdr:colOff>
      <xdr:row>59</xdr:row>
      <xdr:rowOff>151208</xdr:rowOff>
    </xdr:to>
    <xdr:graphicFrame macro="">
      <xdr:nvGraphicFramePr>
        <xdr:cNvPr id="5" name="Chart 4">
          <a:extLst>
            <a:ext uri="{FF2B5EF4-FFF2-40B4-BE49-F238E27FC236}">
              <a16:creationId xmlns:a16="http://schemas.microsoft.com/office/drawing/2014/main" id="{55C9333F-A384-4117-947E-8127516FC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89297</xdr:colOff>
      <xdr:row>0</xdr:row>
      <xdr:rowOff>327422</xdr:rowOff>
    </xdr:from>
    <xdr:to>
      <xdr:col>19</xdr:col>
      <xdr:colOff>78237</xdr:colOff>
      <xdr:row>6</xdr:row>
      <xdr:rowOff>158371</xdr:rowOff>
    </xdr:to>
    <xdr:pic>
      <xdr:nvPicPr>
        <xdr:cNvPr id="6" name="Picture 5">
          <a:extLst>
            <a:ext uri="{FF2B5EF4-FFF2-40B4-BE49-F238E27FC236}">
              <a16:creationId xmlns:a16="http://schemas.microsoft.com/office/drawing/2014/main" id="{BA9644A9-F2C2-4831-AA2C-A9FDEDE32C97}"/>
            </a:ext>
          </a:extLst>
        </xdr:cNvPr>
        <xdr:cNvPicPr/>
      </xdr:nvPicPr>
      <xdr:blipFill>
        <a:blip xmlns:r="http://schemas.openxmlformats.org/officeDocument/2006/relationships" r:embed="rId3" cstate="hqprint">
          <a:extLst>
            <a:ext uri="{28A0092B-C50C-407E-A947-70E740481C1C}">
              <a14:useLocalDpi xmlns:a14="http://schemas.microsoft.com/office/drawing/2010/main"/>
            </a:ext>
          </a:extLst>
        </a:blip>
        <a:stretch>
          <a:fillRect/>
        </a:stretch>
      </xdr:blipFill>
      <xdr:spPr>
        <a:xfrm>
          <a:off x="7074297" y="327422"/>
          <a:ext cx="4225581" cy="1408527"/>
        </a:xfrm>
        <a:prstGeom prst="rect">
          <a:avLst/>
        </a:prstGeom>
      </xdr:spPr>
    </xdr:pic>
    <xdr:clientData/>
  </xdr:twoCellAnchor>
  <xdr:twoCellAnchor>
    <xdr:from>
      <xdr:col>11</xdr:col>
      <xdr:colOff>496094</xdr:colOff>
      <xdr:row>8</xdr:row>
      <xdr:rowOff>99218</xdr:rowOff>
    </xdr:from>
    <xdr:to>
      <xdr:col>19</xdr:col>
      <xdr:colOff>158750</xdr:colOff>
      <xdr:row>19</xdr:row>
      <xdr:rowOff>99218</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D268AC98-D80A-4DC1-86D1-561D241447A1}"/>
                </a:ext>
              </a:extLst>
            </xdr:cNvPr>
            <xdr:cNvSpPr txBox="1">
              <a:spLocks/>
            </xdr:cNvSpPr>
          </xdr:nvSpPr>
          <xdr:spPr>
            <a:xfrm>
              <a:off x="7748985" y="2073671"/>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b="0" i="1">
                      <a:solidFill>
                        <a:schemeClr val="tx1"/>
                      </a:solidFill>
                      <a:latin typeface="Cambria Math" panose="02040503050406030204" pitchFamily="18" charset="0"/>
                    </a:rPr>
                    <m:t>=</m:t>
                  </m:r>
                  <m:r>
                    <a:rPr lang="en-US" sz="1400" b="1" i="1">
                      <a:solidFill>
                        <a:schemeClr val="tx1"/>
                      </a:solidFill>
                      <a:latin typeface="Cambria Math" panose="02040503050406030204" pitchFamily="18" charset="0"/>
                    </a:rPr>
                    <m:t>𝟎</m:t>
                  </m:r>
                  <m:r>
                    <a:rPr lang="en-US" sz="1400" b="1" i="1">
                      <a:solidFill>
                        <a:schemeClr val="tx1"/>
                      </a:solidFill>
                      <a:latin typeface="Cambria Math" panose="02040503050406030204" pitchFamily="18" charset="0"/>
                    </a:rPr>
                    <m:t> </m:t>
                  </m:r>
                  <m:r>
                    <a:rPr lang="en-US" sz="1400" b="1" i="1">
                      <a:solidFill>
                        <a:schemeClr val="tx1"/>
                      </a:solidFill>
                      <a:latin typeface="Cambria Math" panose="02040503050406030204" pitchFamily="18" charset="0"/>
                    </a:rPr>
                    <m:t>𝒅𝑩</m:t>
                  </m:r>
                </m:oMath>
              </a14:m>
              <a:endParaRPr lang="en-US" sz="1400" b="1">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0" i="1">
                              <a:solidFill>
                                <a:schemeClr val="tx1"/>
                              </a:solidFill>
                              <a:latin typeface="Cambria Math" panose="02040503050406030204" pitchFamily="18" charset="0"/>
                            </a:rPr>
                            <m:t>1</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r>
                <a:rPr lang="en-US" sz="1600" b="1">
                  <a:solidFill>
                    <a:schemeClr val="tx1"/>
                  </a:solidFill>
                </a:rPr>
                <a:t>Stop-Region Gain:</a:t>
              </a:r>
              <a:endParaRPr lang="en-US" sz="1600">
                <a:solidFill>
                  <a:schemeClr val="tx1"/>
                </a:solidFill>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1</m:t>
                          </m:r>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i="1" kern="1200">
                                  <a:solidFill>
                                    <a:schemeClr val="tx1"/>
                                  </a:solidFill>
                                  <a:effectLst/>
                                  <a:latin typeface="Cambria Math" panose="02040503050406030204" pitchFamily="18" charset="0"/>
                                  <a:ea typeface="+mn-ea"/>
                                  <a:cs typeface="+mn-cs"/>
                                </a:rPr>
                                <m:t>1+</m:t>
                              </m:r>
                              <m:sSup>
                                <m:sSupPr>
                                  <m:ctrlPr>
                                    <a:rPr lang="en-US" sz="160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i="1" kern="1200">
                                      <a:solidFill>
                                        <a:schemeClr val="tx1"/>
                                      </a:solidFill>
                                      <a:effectLst/>
                                      <a:latin typeface="Cambria Math" panose="02040503050406030204" pitchFamily="18" charset="0"/>
                                      <a:ea typeface="+mn-ea"/>
                                      <a:cs typeface="+mn-cs"/>
                                    </a:rPr>
                                    <m:t>2</m:t>
                                  </m:r>
                                </m:sup>
                              </m:sSup>
                            </m:e>
                          </m:rad>
                        </m:den>
                      </m:f>
                    </m:e>
                  </m:d>
                </m:oMath>
              </a14:m>
              <a:endParaRPr lang="en-US" sz="1600" b="0">
                <a:solidFill>
                  <a:schemeClr val="tx1"/>
                </a:solidFill>
              </a:endParaRPr>
            </a:p>
          </xdr:txBody>
        </xdr:sp>
      </mc:Choice>
      <mc:Fallback xmlns="">
        <xdr:sp macro="" textlink="">
          <xdr:nvSpPr>
            <xdr:cNvPr id="7" name="Content Placeholder 2">
              <a:extLst>
                <a:ext uri="{FF2B5EF4-FFF2-40B4-BE49-F238E27FC236}">
                  <a16:creationId xmlns:a16="http://schemas.microsoft.com/office/drawing/2014/main" id="{D268AC98-D80A-4DC1-86D1-561D241447A1}"/>
                </a:ext>
              </a:extLst>
            </xdr:cNvPr>
            <xdr:cNvSpPr txBox="1">
              <a:spLocks/>
            </xdr:cNvSpPr>
          </xdr:nvSpPr>
          <xdr:spPr>
            <a:xfrm>
              <a:off x="7748985" y="2073671"/>
              <a:ext cx="4504531" cy="2113360"/>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Low-Pass Filter Equations</a:t>
              </a:r>
            </a:p>
            <a:p>
              <a:r>
                <a:rPr lang="en-US" sz="1600" b="1">
                  <a:solidFill>
                    <a:schemeClr val="tx1"/>
                  </a:solidFill>
                </a:rPr>
                <a:t>Pass-Region Gain: </a:t>
              </a:r>
              <a:r>
                <a:rPr lang="en-US" sz="1400" i="0">
                  <a:solidFill>
                    <a:schemeClr val="tx1"/>
                  </a:solidFill>
                  <a:latin typeface="Cambria Math" panose="02040503050406030204" pitchFamily="18" charset="0"/>
                </a:rPr>
                <a:t>〖 𝑨〗_𝒗</a:t>
              </a:r>
              <a:r>
                <a:rPr lang="en-US" sz="1400" b="0" i="0">
                  <a:solidFill>
                    <a:schemeClr val="tx1"/>
                  </a:solidFill>
                  <a:latin typeface="Cambria Math" panose="02040503050406030204" pitchFamily="18" charset="0"/>
                </a:rPr>
                <a:t>=</a:t>
              </a:r>
              <a:r>
                <a:rPr lang="en-US" sz="1400" b="1" i="0">
                  <a:solidFill>
                    <a:schemeClr val="tx1"/>
                  </a:solidFill>
                  <a:latin typeface="Cambria Math" panose="02040503050406030204" pitchFamily="18" charset="0"/>
                </a:rPr>
                <a:t>𝟎 𝒅𝑩</a:t>
              </a:r>
              <a:endParaRPr lang="en-US" sz="1400" b="1">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0" i="0">
                  <a:solidFill>
                    <a:schemeClr val="tx1"/>
                  </a:solidFill>
                  <a:latin typeface="Cambria Math" panose="02040503050406030204" pitchFamily="18" charset="0"/>
                </a:rPr>
                <a:t>1 </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1">
                  <a:solidFill>
                    <a:schemeClr val="tx1"/>
                  </a:solidFill>
                </a:rPr>
                <a:t>Stop-Region Gain:</a:t>
              </a:r>
              <a:endParaRPr lang="en-US" sz="1600">
                <a:solidFill>
                  <a:schemeClr val="tx1"/>
                </a:solidFill>
              </a:endParaRPr>
            </a:p>
            <a:p>
              <a:r>
                <a:rPr lang="en-US" sz="1600" i="0" kern="1200">
                  <a:solidFill>
                    <a:schemeClr val="tx1"/>
                  </a:solidFill>
                  <a:effectLst/>
                  <a:latin typeface="+mn-lt"/>
                  <a:ea typeface="+mn-ea"/>
                  <a:cs typeface="+mn-cs"/>
                </a:rPr>
                <a:t>𝑉_𝑜𝑢𝑡/𝑉_</a:t>
              </a:r>
              <a:r>
                <a:rPr lang="en-US" sz="1600" b="0" i="0" kern="1200">
                  <a:solidFill>
                    <a:schemeClr val="tx1"/>
                  </a:solidFill>
                  <a:effectLst/>
                  <a:latin typeface="+mn-lt"/>
                  <a:ea typeface="+mn-ea"/>
                  <a:cs typeface="+mn-cs"/>
                </a:rPr>
                <a:t>𝑖𝑛 =</a:t>
              </a:r>
              <a:r>
                <a:rPr lang="en-US" sz="1600" kern="1200">
                  <a:solidFill>
                    <a:schemeClr val="tx1"/>
                  </a:solidFill>
                  <a:effectLst/>
                  <a:latin typeface="+mn-lt"/>
                  <a:ea typeface="+mn-ea"/>
                  <a:cs typeface="+mn-cs"/>
                </a:rPr>
                <a:t> </a:t>
              </a:r>
              <a:r>
                <a:rPr lang="en-US" sz="1600" i="0" kern="1200">
                  <a:solidFill>
                    <a:schemeClr val="tx1"/>
                  </a:solidFill>
                  <a:effectLst/>
                  <a:latin typeface="+mn-lt"/>
                  <a:ea typeface="+mn-ea"/>
                  <a:cs typeface="+mn-cs"/>
                </a:rPr>
                <a:t>1/√(</a:t>
              </a:r>
              <a:r>
                <a:rPr lang="en-US" sz="1600" b="0" i="0" kern="1200">
                  <a:solidFill>
                    <a:schemeClr val="tx1"/>
                  </a:solidFill>
                  <a:effectLst/>
                  <a:latin typeface="+mn-lt"/>
                  <a:ea typeface="+mn-ea"/>
                  <a:cs typeface="+mn-cs"/>
                </a:rPr>
                <a:t>1+(</a:t>
              </a:r>
              <a:r>
                <a:rPr lang="en-US" sz="1600" i="0" kern="1200">
                  <a:solidFill>
                    <a:schemeClr val="tx1"/>
                  </a:solidFill>
                  <a:effectLst/>
                  <a:latin typeface="+mn-lt"/>
                  <a:ea typeface="+mn-ea"/>
                  <a:cs typeface="+mn-cs"/>
                </a:rPr>
                <a:t>𝑓/𝑓_𝑐 )</a:t>
              </a:r>
              <a:r>
                <a:rPr lang="en-US" sz="1600" b="0" i="0" kern="1200">
                  <a:solidFill>
                    <a:schemeClr val="tx1"/>
                  </a:solidFill>
                  <a:effectLst/>
                  <a:latin typeface="+mn-lt"/>
                  <a:ea typeface="+mn-ea"/>
                  <a:cs typeface="+mn-cs"/>
                </a:rPr>
                <a:t>^2 )→〖𝐺𝑎𝑖𝑛〗_𝑑𝐵=20×𝑙𝑜𝑔(</a:t>
              </a:r>
              <a:r>
                <a:rPr lang="en-US" sz="1600" i="0" kern="1200">
                  <a:solidFill>
                    <a:schemeClr val="tx1"/>
                  </a:solidFill>
                  <a:effectLst/>
                  <a:latin typeface="+mn-lt"/>
                  <a:ea typeface="+mn-ea"/>
                  <a:cs typeface="+mn-cs"/>
                </a:rPr>
                <a:t>1/√(1+(𝑓/𝑓_𝑐 )^2 ))</a:t>
              </a:r>
              <a:endParaRPr lang="en-US" sz="1600" b="0">
                <a:solidFill>
                  <a:schemeClr val="tx1"/>
                </a:solidFill>
              </a:endParaRPr>
            </a:p>
          </xdr:txBody>
        </xdr:sp>
      </mc:Fallback>
    </mc:AlternateContent>
    <xdr:clientData/>
  </xdr:twoCellAnchor>
  <xdr:twoCellAnchor>
    <xdr:from>
      <xdr:col>19</xdr:col>
      <xdr:colOff>257968</xdr:colOff>
      <xdr:row>8</xdr:row>
      <xdr:rowOff>99219</xdr:rowOff>
    </xdr:from>
    <xdr:to>
      <xdr:col>23</xdr:col>
      <xdr:colOff>446484</xdr:colOff>
      <xdr:row>15</xdr:row>
      <xdr:rowOff>79969</xdr:rowOff>
    </xdr:to>
    <mc:AlternateContent xmlns:mc="http://schemas.openxmlformats.org/markup-compatibility/2006" xmlns:a14="http://schemas.microsoft.com/office/drawing/2010/main">
      <mc:Choice Requires="a14">
        <xdr:sp macro="" textlink="">
          <xdr:nvSpPr>
            <xdr:cNvPr id="4" name="Content Placeholder 2">
              <a:extLst>
                <a:ext uri="{FF2B5EF4-FFF2-40B4-BE49-F238E27FC236}">
                  <a16:creationId xmlns:a16="http://schemas.microsoft.com/office/drawing/2014/main" id="{B5E50149-A1C4-4637-B171-2F4F3794AE3A}"/>
                </a:ext>
              </a:extLst>
            </xdr:cNvPr>
            <xdr:cNvSpPr txBox="1">
              <a:spLocks/>
            </xdr:cNvSpPr>
          </xdr:nvSpPr>
          <xdr:spPr>
            <a:xfrm>
              <a:off x="12352734" y="2073672"/>
              <a:ext cx="2609453"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baseline="0">
                  <a:solidFill>
                    <a:srgbClr val="0070C0"/>
                  </a:solidFill>
                  <a:latin typeface="+mn-lt"/>
                  <a:ea typeface="+mn-ea"/>
                  <a:cs typeface="+mn-cs"/>
                </a:rPr>
                <a:t>Capacitive Reactance</a:t>
              </a:r>
              <a:endParaRPr lang="en-US" sz="1600" b="1" kern="1200">
                <a:solidFill>
                  <a:srgbClr val="0070C0"/>
                </a:solidFill>
                <a:latin typeface="+mn-lt"/>
                <a:ea typeface="+mn-ea"/>
                <a:cs typeface="+mn-cs"/>
              </a:endParaRP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𝑜𝑢𝑡</m:t>
                      </m:r>
                    </m:sub>
                  </m:sSub>
                  <m:r>
                    <a:rPr lang="en-US" sz="1800" b="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𝑅</m:t>
                                  </m:r>
                                </m:e>
                                <m:sub>
                                  <m:r>
                                    <a:rPr lang="en-US" sz="1800" b="0" i="1" kern="1200">
                                      <a:solidFill>
                                        <a:schemeClr val="tx1"/>
                                      </a:solidFill>
                                      <a:effectLst/>
                                      <a:latin typeface="Cambria Math" panose="02040503050406030204" pitchFamily="18" charset="0"/>
                                      <a:ea typeface="+mn-ea"/>
                                      <a:cs typeface="+mn-cs"/>
                                    </a:rPr>
                                    <m:t>1</m:t>
                                  </m:r>
                                </m:sub>
                              </m:sSub>
                            </m:e>
                            <m:sup>
                              <m:r>
                                <a:rPr lang="en-US" sz="1800" b="0" i="1" kern="1200">
                                  <a:solidFill>
                                    <a:schemeClr val="tx1"/>
                                  </a:solidFill>
                                  <a:effectLst/>
                                  <a:latin typeface="Cambria Math" panose="02040503050406030204" pitchFamily="18" charset="0"/>
                                  <a:ea typeface="+mn-ea"/>
                                  <a:cs typeface="+mn-cs"/>
                                </a:rPr>
                                <m:t>2</m:t>
                              </m:r>
                            </m:sup>
                          </m:sSup>
                          <m:r>
                            <a:rPr lang="en-US" sz="1800" b="0" i="1" kern="1200">
                              <a:solidFill>
                                <a:schemeClr val="tx1"/>
                              </a:solidFill>
                              <a:effectLst/>
                              <a:latin typeface="Cambria Math" panose="02040503050406030204" pitchFamily="18" charset="0"/>
                              <a:ea typeface="+mn-ea"/>
                              <a:cs typeface="+mn-cs"/>
                            </a:rPr>
                            <m:t>+</m:t>
                          </m:r>
                          <m:sSup>
                            <m:sSupPr>
                              <m:ctrlPr>
                                <a:rPr lang="en-US" sz="1800" b="0" i="1" kern="1200">
                                  <a:solidFill>
                                    <a:schemeClr val="tx1"/>
                                  </a:solidFill>
                                  <a:effectLst/>
                                  <a:latin typeface="Cambria Math" panose="02040503050406030204" pitchFamily="18" charset="0"/>
                                  <a:ea typeface="+mn-ea"/>
                                  <a:cs typeface="+mn-cs"/>
                                </a:rPr>
                              </m:ctrlPr>
                            </m:sSupPr>
                            <m:e>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e>
                            <m:sup>
                              <m:r>
                                <a:rPr lang="en-US" sz="1800" b="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mlns="">
        <xdr:sp macro="" textlink="">
          <xdr:nvSpPr>
            <xdr:cNvPr id="4" name="Content Placeholder 2">
              <a:extLst>
                <a:ext uri="{FF2B5EF4-FFF2-40B4-BE49-F238E27FC236}">
                  <a16:creationId xmlns:a16="http://schemas.microsoft.com/office/drawing/2014/main" id="{B5E50149-A1C4-4637-B171-2F4F3794AE3A}"/>
                </a:ext>
              </a:extLst>
            </xdr:cNvPr>
            <xdr:cNvSpPr txBox="1">
              <a:spLocks/>
            </xdr:cNvSpPr>
          </xdr:nvSpPr>
          <xdr:spPr>
            <a:xfrm>
              <a:off x="12352734" y="2073672"/>
              <a:ext cx="2609453"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baseline="0">
                  <a:solidFill>
                    <a:srgbClr val="0070C0"/>
                  </a:solidFill>
                  <a:latin typeface="+mn-lt"/>
                  <a:ea typeface="+mn-ea"/>
                  <a:cs typeface="+mn-cs"/>
                </a:rPr>
                <a:t>Capacitive Reactance</a:t>
              </a:r>
              <a:endParaRPr lang="en-US" sz="1600" b="1" kern="1200">
                <a:solidFill>
                  <a:srgbClr val="0070C0"/>
                </a:solidFill>
                <a:latin typeface="+mn-lt"/>
                <a:ea typeface="+mn-ea"/>
                <a:cs typeface="+mn-cs"/>
              </a:endParaRP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b="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𝑋_𝑐/√(〖𝑅_1〗^2+〖𝑋_𝑐〗^2 )</a:t>
              </a:r>
              <a:endParaRPr lang="en-US" sz="1400" b="0">
                <a:solidFill>
                  <a:schemeClr val="tx1"/>
                </a:solidFill>
              </a:endParaRPr>
            </a:p>
          </xdr:txBody>
        </xdr:sp>
      </mc:Fallback>
    </mc:AlternateContent>
    <xdr:clientData/>
  </xdr:twoCellAnchor>
  <xdr:twoCellAnchor editAs="oneCell">
    <xdr:from>
      <xdr:col>24</xdr:col>
      <xdr:colOff>257969</xdr:colOff>
      <xdr:row>0</xdr:row>
      <xdr:rowOff>208359</xdr:rowOff>
    </xdr:from>
    <xdr:to>
      <xdr:col>32</xdr:col>
      <xdr:colOff>62310</xdr:colOff>
      <xdr:row>30</xdr:row>
      <xdr:rowOff>161527</xdr:rowOff>
    </xdr:to>
    <xdr:pic>
      <xdr:nvPicPr>
        <xdr:cNvPr id="3" name="Picture 2">
          <a:extLst>
            <a:ext uri="{FF2B5EF4-FFF2-40B4-BE49-F238E27FC236}">
              <a16:creationId xmlns:a16="http://schemas.microsoft.com/office/drawing/2014/main" id="{58D33FE7-B85C-28F2-1D3E-C1AADDAF597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78907" y="208359"/>
          <a:ext cx="4646216" cy="6174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75409</xdr:colOff>
      <xdr:row>17</xdr:row>
      <xdr:rowOff>106758</xdr:rowOff>
    </xdr:from>
    <xdr:to>
      <xdr:col>13</xdr:col>
      <xdr:colOff>410768</xdr:colOff>
      <xdr:row>32</xdr:row>
      <xdr:rowOff>32147</xdr:rowOff>
    </xdr:to>
    <xdr:graphicFrame macro="">
      <xdr:nvGraphicFramePr>
        <xdr:cNvPr id="2" name="Chart 1">
          <a:extLst>
            <a:ext uri="{FF2B5EF4-FFF2-40B4-BE49-F238E27FC236}">
              <a16:creationId xmlns:a16="http://schemas.microsoft.com/office/drawing/2014/main" id="{94B5C74E-5425-47ED-B50C-0FD9ECDCB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154782</xdr:colOff>
      <xdr:row>44</xdr:row>
      <xdr:rowOff>27383</xdr:rowOff>
    </xdr:from>
    <xdr:to>
      <xdr:col>13</xdr:col>
      <xdr:colOff>361157</xdr:colOff>
      <xdr:row>58</xdr:row>
      <xdr:rowOff>131364</xdr:rowOff>
    </xdr:to>
    <xdr:graphicFrame macro="">
      <xdr:nvGraphicFramePr>
        <xdr:cNvPr id="4" name="Chart 3">
          <a:extLst>
            <a:ext uri="{FF2B5EF4-FFF2-40B4-BE49-F238E27FC236}">
              <a16:creationId xmlns:a16="http://schemas.microsoft.com/office/drawing/2014/main" id="{3D74667E-7697-47A9-A256-0ACACFDBF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9922</xdr:colOff>
      <xdr:row>0</xdr:row>
      <xdr:rowOff>297657</xdr:rowOff>
    </xdr:from>
    <xdr:to>
      <xdr:col>17</xdr:col>
      <xdr:colOff>81805</xdr:colOff>
      <xdr:row>5</xdr:row>
      <xdr:rowOff>138907</xdr:rowOff>
    </xdr:to>
    <xdr:pic>
      <xdr:nvPicPr>
        <xdr:cNvPr id="7" name="Picture 6">
          <a:extLst>
            <a:ext uri="{FF2B5EF4-FFF2-40B4-BE49-F238E27FC236}">
              <a16:creationId xmlns:a16="http://schemas.microsoft.com/office/drawing/2014/main" id="{31BDABB9-5AA8-49F6-963D-694EF8470A11}"/>
            </a:ext>
          </a:extLst>
        </xdr:cNvPr>
        <xdr:cNvPicPr/>
      </xdr:nvPicPr>
      <xdr:blipFill>
        <a:blip xmlns:r="http://schemas.openxmlformats.org/officeDocument/2006/relationships" r:embed="rId3" cstate="hqprint">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tretch>
          <a:fillRect/>
        </a:stretch>
      </xdr:blipFill>
      <xdr:spPr>
        <a:xfrm>
          <a:off x="7262813" y="297657"/>
          <a:ext cx="3098055" cy="1230313"/>
        </a:xfrm>
        <a:prstGeom prst="rect">
          <a:avLst/>
        </a:prstGeom>
      </xdr:spPr>
    </xdr:pic>
    <xdr:clientData/>
  </xdr:twoCellAnchor>
  <xdr:twoCellAnchor>
    <xdr:from>
      <xdr:col>11</xdr:col>
      <xdr:colOff>555626</xdr:colOff>
      <xdr:row>8</xdr:row>
      <xdr:rowOff>19845</xdr:rowOff>
    </xdr:from>
    <xdr:to>
      <xdr:col>21</xdr:col>
      <xdr:colOff>267891</xdr:colOff>
      <xdr:row>19</xdr:row>
      <xdr:rowOff>49609</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22C547A7-54E0-4775-BA74-7E5A046C5D8D}"/>
                </a:ext>
              </a:extLst>
            </xdr:cNvPr>
            <xdr:cNvSpPr txBox="1"/>
          </xdr:nvSpPr>
          <xdr:spPr>
            <a:xfrm>
              <a:off x="7808517" y="1974454"/>
              <a:ext cx="5764608" cy="213320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High-Pass Filter Equations</a:t>
              </a:r>
            </a:p>
            <a:p>
              <a:r>
                <a:rPr lang="en-US" sz="1600" b="1"/>
                <a:t>Pass-Region Gain: </a:t>
              </a:r>
              <a14:m>
                <m:oMath xmlns:m="http://schemas.openxmlformats.org/officeDocument/2006/math">
                  <m:sSub>
                    <m:sSubPr>
                      <m:ctrlPr>
                        <a:rPr lang="en-US" sz="1400" i="1">
                          <a:latin typeface="Cambria Math" panose="02040503050406030204" pitchFamily="18" charset="0"/>
                        </a:rPr>
                      </m:ctrlPr>
                    </m:sSubPr>
                    <m:e>
                      <m:r>
                        <a:rPr lang="en-US" sz="1400" b="0" i="1">
                          <a:latin typeface="Cambria Math" panose="02040503050406030204" pitchFamily="18" charset="0"/>
                        </a:rPr>
                        <m:t> </m:t>
                      </m:r>
                      <m:r>
                        <a:rPr lang="en-US" sz="1400" b="0" i="1">
                          <a:latin typeface="Cambria Math" panose="02040503050406030204" pitchFamily="18" charset="0"/>
                        </a:rPr>
                        <m:t>𝐴</m:t>
                      </m:r>
                    </m:e>
                    <m:sub>
                      <m:r>
                        <a:rPr lang="en-US" sz="1400" b="0" i="1">
                          <a:latin typeface="Cambria Math" panose="02040503050406030204" pitchFamily="18" charset="0"/>
                        </a:rPr>
                        <m:t>𝑣</m:t>
                      </m:r>
                    </m:sub>
                  </m:sSub>
                  <m:r>
                    <a:rPr lang="en-US" sz="1400" b="0" i="1">
                      <a:latin typeface="Cambria Math" panose="02040503050406030204" pitchFamily="18" charset="0"/>
                      <a:ea typeface="Cambria Math" panose="02040503050406030204" pitchFamily="18" charset="0"/>
                      <a:sym typeface="Symbol" panose="05050102010706020507" pitchFamily="18" charset="2"/>
                    </a:rPr>
                    <m:t>≈</m:t>
                  </m:r>
                  <m:r>
                    <a:rPr lang="en-US" sz="1400" b="0" i="1">
                      <a:latin typeface="Cambria Math" panose="02040503050406030204" pitchFamily="18" charset="0"/>
                    </a:rPr>
                    <m:t>0 </m:t>
                  </m:r>
                  <m:r>
                    <a:rPr lang="en-US" sz="1400" b="0" i="1">
                      <a:latin typeface="Cambria Math" panose="02040503050406030204" pitchFamily="18" charset="0"/>
                    </a:rPr>
                    <m:t>𝑑𝐵</m:t>
                  </m:r>
                </m:oMath>
              </a14:m>
              <a:endParaRPr lang="en-US" sz="1400"/>
            </a:p>
            <a:p>
              <a:r>
                <a:rPr lang="en-US" sz="1600" b="1"/>
                <a:t>Cutoff Frequency: </a:t>
              </a:r>
              <a14:m>
                <m:oMath xmlns:m="http://schemas.openxmlformats.org/officeDocument/2006/math">
                  <m:sSub>
                    <m:sSubPr>
                      <m:ctrlPr>
                        <a:rPr lang="en-US" sz="1600" i="1">
                          <a:latin typeface="Cambria Math" panose="02040503050406030204" pitchFamily="18" charset="0"/>
                        </a:rPr>
                      </m:ctrlPr>
                    </m:sSubPr>
                    <m:e>
                      <m:r>
                        <a:rPr lang="en-US" sz="1600" i="1">
                          <a:latin typeface="Cambria Math" panose="02040503050406030204" pitchFamily="18" charset="0"/>
                        </a:rPr>
                        <m:t>𝑓</m:t>
                      </m:r>
                    </m:e>
                    <m:sub>
                      <m:r>
                        <a:rPr lang="en-US" sz="1600" i="1">
                          <a:latin typeface="Cambria Math" panose="02040503050406030204" pitchFamily="18" charset="0"/>
                        </a:rPr>
                        <m:t>𝑐</m:t>
                      </m:r>
                    </m:sub>
                  </m:sSub>
                  <m:r>
                    <a:rPr lang="en-US" sz="1600" i="1">
                      <a:latin typeface="Cambria Math" panose="02040503050406030204" pitchFamily="18" charset="0"/>
                    </a:rPr>
                    <m:t>=</m:t>
                  </m:r>
                  <m:f>
                    <m:fPr>
                      <m:ctrlPr>
                        <a:rPr lang="en-US" sz="1600" i="1">
                          <a:latin typeface="Cambria Math" panose="02040503050406030204" pitchFamily="18" charset="0"/>
                        </a:rPr>
                      </m:ctrlPr>
                    </m:fPr>
                    <m:num>
                      <m:r>
                        <a:rPr lang="en-US" sz="1600" i="1">
                          <a:latin typeface="Cambria Math" panose="02040503050406030204" pitchFamily="18" charset="0"/>
                        </a:rPr>
                        <m:t>1</m:t>
                      </m:r>
                    </m:num>
                    <m:den>
                      <m:r>
                        <a:rPr lang="en-US" sz="1600" i="1">
                          <a:latin typeface="Cambria Math" panose="02040503050406030204" pitchFamily="18" charset="0"/>
                        </a:rPr>
                        <m:t>2</m:t>
                      </m:r>
                      <m:r>
                        <a:rPr lang="en-US" sz="1600" i="1">
                          <a:latin typeface="Cambria Math" panose="02040503050406030204" pitchFamily="18" charset="0"/>
                        </a:rPr>
                        <m:t>𝜋</m:t>
                      </m:r>
                      <m:sSub>
                        <m:sSubPr>
                          <m:ctrlPr>
                            <a:rPr lang="en-US" sz="1600" i="1">
                              <a:latin typeface="Cambria Math" panose="02040503050406030204" pitchFamily="18" charset="0"/>
                            </a:rPr>
                          </m:ctrlPr>
                        </m:sSubPr>
                        <m:e>
                          <m:r>
                            <a:rPr lang="en-US" sz="1600" i="1">
                              <a:latin typeface="Cambria Math" panose="02040503050406030204" pitchFamily="18" charset="0"/>
                            </a:rPr>
                            <m:t>𝑅</m:t>
                          </m:r>
                        </m:e>
                        <m:sub>
                          <m:r>
                            <a:rPr lang="en-CA" sz="1600" b="0" i="1">
                              <a:latin typeface="Cambria Math" panose="02040503050406030204" pitchFamily="18" charset="0"/>
                            </a:rPr>
                            <m:t>1</m:t>
                          </m:r>
                        </m:sub>
                      </m:sSub>
                      <m:sSub>
                        <m:sSubPr>
                          <m:ctrlPr>
                            <a:rPr lang="en-US" sz="1600" i="1">
                              <a:latin typeface="Cambria Math" panose="02040503050406030204" pitchFamily="18" charset="0"/>
                            </a:rPr>
                          </m:ctrlPr>
                        </m:sSubPr>
                        <m:e>
                          <m:r>
                            <a:rPr lang="en-US" sz="1600" i="1">
                              <a:latin typeface="Cambria Math" panose="02040503050406030204" pitchFamily="18" charset="0"/>
                            </a:rPr>
                            <m:t>𝐶</m:t>
                          </m:r>
                        </m:e>
                        <m:sub>
                          <m:r>
                            <a:rPr lang="en-US" sz="1600" i="1">
                              <a:latin typeface="Cambria Math" panose="02040503050406030204" pitchFamily="18" charset="0"/>
                            </a:rPr>
                            <m:t>1</m:t>
                          </m:r>
                        </m:sub>
                      </m:sSub>
                    </m:den>
                  </m:f>
                </m:oMath>
              </a14:m>
              <a:endParaRPr lang="en-US" sz="1800"/>
            </a:p>
            <a:p>
              <a:r>
                <a:rPr lang="en-US" sz="1600" b="1" kern="1200">
                  <a:solidFill>
                    <a:schemeClr val="tx1"/>
                  </a:solidFill>
                  <a:effectLst/>
                  <a:latin typeface="+mn-lt"/>
                  <a:ea typeface="+mn-ea"/>
                  <a:cs typeface="+mn-cs"/>
                </a:rPr>
                <a:t>Normalized to Frequency:</a:t>
              </a:r>
              <a:endParaRPr lang="en-US" sz="1200">
                <a:effectLst/>
              </a:endParaRPr>
            </a:p>
            <a:p>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i="1" kern="1200">
                              <a:solidFill>
                                <a:schemeClr val="tx1"/>
                              </a:solidFill>
                              <a:effectLst/>
                              <a:latin typeface="Cambria Math" panose="02040503050406030204" pitchFamily="18" charset="0"/>
                              <a:ea typeface="+mn-ea"/>
                              <a:cs typeface="+mn-cs"/>
                            </a:rPr>
                            <m:t>𝑜𝑢𝑡</m:t>
                          </m:r>
                        </m:sub>
                      </m:sSub>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𝑉</m:t>
                          </m:r>
                        </m:e>
                        <m:sub>
                          <m:r>
                            <a:rPr lang="en-US" sz="1600" b="0" i="1" kern="1200">
                              <a:solidFill>
                                <a:schemeClr val="tx1"/>
                              </a:solidFill>
                              <a:effectLst/>
                              <a:latin typeface="Cambria Math" panose="02040503050406030204" pitchFamily="18" charset="0"/>
                              <a:ea typeface="+mn-ea"/>
                              <a:cs typeface="+mn-cs"/>
                            </a:rPr>
                            <m:t>𝑖𝑛</m:t>
                          </m:r>
                        </m:sub>
                      </m:sSub>
                    </m:den>
                  </m:f>
                  <m:r>
                    <a:rPr lang="en-US" sz="1600" b="0" i="1" kern="1200">
                      <a:solidFill>
                        <a:schemeClr val="tx1"/>
                      </a:solidFill>
                      <a:effectLst/>
                      <a:latin typeface="Cambria Math" panose="02040503050406030204" pitchFamily="18" charset="0"/>
                      <a:ea typeface="+mn-ea"/>
                      <a:cs typeface="+mn-cs"/>
                    </a:rPr>
                    <m:t>=</m:t>
                  </m:r>
                </m:oMath>
              </a14:m>
              <a:r>
                <a:rPr lang="en-US" sz="1600" kern="1200">
                  <a:solidFill>
                    <a:schemeClr val="tx1"/>
                  </a:solidFill>
                  <a:effectLst/>
                  <a:latin typeface="+mn-lt"/>
                  <a:ea typeface="+mn-ea"/>
                  <a:cs typeface="+mn-cs"/>
                </a:rPr>
                <a:t> </a:t>
              </a:r>
              <a14:m>
                <m:oMath xmlns:m="http://schemas.openxmlformats.org/officeDocument/2006/math">
                  <m:f>
                    <m:fPr>
                      <m:ctrlPr>
                        <a:rPr lang="en-US" sz="1600" i="1" kern="1200">
                          <a:solidFill>
                            <a:schemeClr val="tx1"/>
                          </a:solidFill>
                          <a:effectLst/>
                          <a:latin typeface="Cambria Math" panose="02040503050406030204" pitchFamily="18" charset="0"/>
                          <a:ea typeface="+mn-ea"/>
                          <a:cs typeface="+mn-cs"/>
                        </a:rPr>
                      </m:ctrlPr>
                    </m:fPr>
                    <m:num>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b="0" i="1" kern="1200">
                              <a:solidFill>
                                <a:schemeClr val="tx1"/>
                              </a:solidFill>
                              <a:effectLst/>
                              <a:latin typeface="Cambria Math" panose="02040503050406030204" pitchFamily="18" charset="0"/>
                              <a:ea typeface="+mn-ea"/>
                              <a:cs typeface="+mn-cs"/>
                            </a:rPr>
                            <m:t>1+</m:t>
                          </m:r>
                          <m:sSup>
                            <m:sSupPr>
                              <m:ctrlPr>
                                <a:rPr lang="en-US" sz="1600" b="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b="0" i="1" kern="1200">
                                  <a:solidFill>
                                    <a:schemeClr val="tx1"/>
                                  </a:solidFill>
                                  <a:effectLst/>
                                  <a:latin typeface="Cambria Math" panose="02040503050406030204" pitchFamily="18" charset="0"/>
                                  <a:ea typeface="+mn-ea"/>
                                  <a:cs typeface="+mn-cs"/>
                                </a:rPr>
                                <m:t>2</m:t>
                              </m:r>
                            </m:sup>
                          </m:sSup>
                        </m:e>
                      </m:rad>
                    </m:den>
                  </m:f>
                  <m:r>
                    <a:rPr lang="en-US" sz="1600" b="0" i="1" kern="1200">
                      <a:solidFill>
                        <a:schemeClr val="tx1"/>
                      </a:solidFill>
                      <a:effectLst/>
                      <a:latin typeface="Cambria Math" panose="02040503050406030204" pitchFamily="18" charset="0"/>
                      <a:ea typeface="+mn-ea"/>
                      <a:cs typeface="+mn-cs"/>
                    </a:rPr>
                    <m:t>→</m:t>
                  </m:r>
                  <m:sSub>
                    <m:sSubPr>
                      <m:ctrlPr>
                        <a:rPr lang="en-US" sz="1600" b="0" i="1" kern="1200">
                          <a:solidFill>
                            <a:schemeClr val="tx1"/>
                          </a:solidFill>
                          <a:effectLst/>
                          <a:latin typeface="Cambria Math" panose="02040503050406030204" pitchFamily="18" charset="0"/>
                          <a:ea typeface="+mn-ea"/>
                          <a:cs typeface="+mn-cs"/>
                        </a:rPr>
                      </m:ctrlPr>
                    </m:sSubPr>
                    <m:e>
                      <m:r>
                        <a:rPr lang="en-US" sz="1600" b="0" i="1" kern="1200">
                          <a:solidFill>
                            <a:schemeClr val="tx1"/>
                          </a:solidFill>
                          <a:effectLst/>
                          <a:latin typeface="Cambria Math" panose="02040503050406030204" pitchFamily="18" charset="0"/>
                          <a:ea typeface="+mn-ea"/>
                          <a:cs typeface="+mn-cs"/>
                        </a:rPr>
                        <m:t>𝐺𝑎𝑖𝑛</m:t>
                      </m:r>
                    </m:e>
                    <m:sub>
                      <m:r>
                        <a:rPr lang="en-US" sz="1600" b="0" i="1" kern="1200">
                          <a:solidFill>
                            <a:schemeClr val="tx1"/>
                          </a:solidFill>
                          <a:effectLst/>
                          <a:latin typeface="Cambria Math" panose="02040503050406030204" pitchFamily="18" charset="0"/>
                          <a:ea typeface="+mn-ea"/>
                          <a:cs typeface="+mn-cs"/>
                        </a:rPr>
                        <m:t>𝑑𝐵</m:t>
                      </m:r>
                    </m:sub>
                  </m:sSub>
                  <m:r>
                    <a:rPr lang="en-US" sz="1600" b="0" i="1" kern="1200">
                      <a:solidFill>
                        <a:schemeClr val="tx1"/>
                      </a:solidFill>
                      <a:effectLst/>
                      <a:latin typeface="Cambria Math" panose="02040503050406030204" pitchFamily="18" charset="0"/>
                      <a:ea typeface="+mn-ea"/>
                      <a:cs typeface="+mn-cs"/>
                    </a:rPr>
                    <m:t>=20×</m:t>
                  </m:r>
                  <m:r>
                    <a:rPr lang="en-US" sz="1600" b="0" i="1" kern="1200">
                      <a:solidFill>
                        <a:schemeClr val="tx1"/>
                      </a:solidFill>
                      <a:effectLst/>
                      <a:latin typeface="Cambria Math" panose="02040503050406030204" pitchFamily="18" charset="0"/>
                      <a:ea typeface="+mn-ea"/>
                      <a:cs typeface="+mn-cs"/>
                    </a:rPr>
                    <m:t>𝑙𝑜𝑔</m:t>
                  </m:r>
                  <m:d>
                    <m:dPr>
                      <m:ctrlPr>
                        <a:rPr lang="en-US" sz="1600" b="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num>
                        <m:den>
                          <m:rad>
                            <m:radPr>
                              <m:degHide m:val="on"/>
                              <m:ctrlPr>
                                <a:rPr lang="en-US" sz="1600" i="1" kern="1200">
                                  <a:solidFill>
                                    <a:schemeClr val="tx1"/>
                                  </a:solidFill>
                                  <a:effectLst/>
                                  <a:latin typeface="Cambria Math" panose="02040503050406030204" pitchFamily="18" charset="0"/>
                                  <a:ea typeface="+mn-ea"/>
                                  <a:cs typeface="+mn-cs"/>
                                </a:rPr>
                              </m:ctrlPr>
                            </m:radPr>
                            <m:deg/>
                            <m:e>
                              <m:r>
                                <a:rPr lang="en-US" sz="1600" i="1" kern="1200">
                                  <a:solidFill>
                                    <a:schemeClr val="tx1"/>
                                  </a:solidFill>
                                  <a:effectLst/>
                                  <a:latin typeface="Cambria Math" panose="02040503050406030204" pitchFamily="18" charset="0"/>
                                  <a:ea typeface="+mn-ea"/>
                                  <a:cs typeface="+mn-cs"/>
                                </a:rPr>
                                <m:t>1+</m:t>
                              </m:r>
                              <m:sSup>
                                <m:sSupPr>
                                  <m:ctrlPr>
                                    <a:rPr lang="en-US" sz="1600" i="1" kern="1200">
                                      <a:solidFill>
                                        <a:schemeClr val="tx1"/>
                                      </a:solidFill>
                                      <a:effectLst/>
                                      <a:latin typeface="Cambria Math" panose="02040503050406030204" pitchFamily="18" charset="0"/>
                                      <a:ea typeface="+mn-ea"/>
                                      <a:cs typeface="+mn-cs"/>
                                    </a:rPr>
                                  </m:ctrlPr>
                                </m:sSupPr>
                                <m:e>
                                  <m:d>
                                    <m:dPr>
                                      <m:ctrlPr>
                                        <a:rPr lang="en-US" sz="1600" i="1" kern="1200">
                                          <a:solidFill>
                                            <a:schemeClr val="tx1"/>
                                          </a:solidFill>
                                          <a:effectLst/>
                                          <a:latin typeface="Cambria Math" panose="02040503050406030204" pitchFamily="18" charset="0"/>
                                          <a:ea typeface="+mn-ea"/>
                                          <a:cs typeface="+mn-cs"/>
                                        </a:rPr>
                                      </m:ctrlPr>
                                    </m:dPr>
                                    <m:e>
                                      <m:f>
                                        <m:fPr>
                                          <m:ctrlPr>
                                            <a:rPr lang="en-US" sz="1600" i="1" kern="1200">
                                              <a:solidFill>
                                                <a:schemeClr val="tx1"/>
                                              </a:solidFill>
                                              <a:effectLst/>
                                              <a:latin typeface="Cambria Math" panose="02040503050406030204" pitchFamily="18" charset="0"/>
                                              <a:ea typeface="+mn-ea"/>
                                              <a:cs typeface="+mn-cs"/>
                                            </a:rPr>
                                          </m:ctrlPr>
                                        </m:fPr>
                                        <m:num>
                                          <m:r>
                                            <a:rPr lang="en-US" sz="1600" i="1" kern="1200">
                                              <a:solidFill>
                                                <a:schemeClr val="tx1"/>
                                              </a:solidFill>
                                              <a:effectLst/>
                                              <a:latin typeface="Cambria Math" panose="02040503050406030204" pitchFamily="18" charset="0"/>
                                              <a:ea typeface="+mn-ea"/>
                                              <a:cs typeface="+mn-cs"/>
                                            </a:rPr>
                                            <m:t>𝑓</m:t>
                                          </m:r>
                                        </m:num>
                                        <m:den>
                                          <m:sSub>
                                            <m:sSubPr>
                                              <m:ctrlPr>
                                                <a:rPr lang="en-US" sz="1600" i="1" kern="1200">
                                                  <a:solidFill>
                                                    <a:schemeClr val="tx1"/>
                                                  </a:solidFill>
                                                  <a:effectLst/>
                                                  <a:latin typeface="Cambria Math" panose="02040503050406030204" pitchFamily="18" charset="0"/>
                                                  <a:ea typeface="+mn-ea"/>
                                                  <a:cs typeface="+mn-cs"/>
                                                </a:rPr>
                                              </m:ctrlPr>
                                            </m:sSubPr>
                                            <m:e>
                                              <m:r>
                                                <a:rPr lang="en-US" sz="1600" i="1" kern="1200">
                                                  <a:solidFill>
                                                    <a:schemeClr val="tx1"/>
                                                  </a:solidFill>
                                                  <a:effectLst/>
                                                  <a:latin typeface="Cambria Math" panose="02040503050406030204" pitchFamily="18" charset="0"/>
                                                  <a:ea typeface="+mn-ea"/>
                                                  <a:cs typeface="+mn-cs"/>
                                                </a:rPr>
                                                <m:t>𝑓</m:t>
                                              </m:r>
                                            </m:e>
                                            <m:sub>
                                              <m:r>
                                                <a:rPr lang="en-US" sz="1600" i="1" kern="1200">
                                                  <a:solidFill>
                                                    <a:schemeClr val="tx1"/>
                                                  </a:solidFill>
                                                  <a:effectLst/>
                                                  <a:latin typeface="Cambria Math" panose="02040503050406030204" pitchFamily="18" charset="0"/>
                                                  <a:ea typeface="+mn-ea"/>
                                                  <a:cs typeface="+mn-cs"/>
                                                </a:rPr>
                                                <m:t>𝑐</m:t>
                                              </m:r>
                                            </m:sub>
                                          </m:sSub>
                                        </m:den>
                                      </m:f>
                                    </m:e>
                                  </m:d>
                                </m:e>
                                <m:sup>
                                  <m:r>
                                    <a:rPr lang="en-US" sz="1600" i="1" kern="1200">
                                      <a:solidFill>
                                        <a:schemeClr val="tx1"/>
                                      </a:solidFill>
                                      <a:effectLst/>
                                      <a:latin typeface="Cambria Math" panose="02040503050406030204" pitchFamily="18" charset="0"/>
                                      <a:ea typeface="+mn-ea"/>
                                      <a:cs typeface="+mn-cs"/>
                                    </a:rPr>
                                    <m:t>2</m:t>
                                  </m:r>
                                </m:sup>
                              </m:sSup>
                            </m:e>
                          </m:rad>
                        </m:den>
                      </m:f>
                    </m:e>
                  </m:d>
                </m:oMath>
              </a14:m>
              <a:endParaRPr lang="en-US" sz="1100">
                <a:effectLst/>
              </a:endParaRPr>
            </a:p>
            <a:p>
              <a:endParaRPr lang="en-US" sz="1400">
                <a:solidFill>
                  <a:schemeClr val="tx1"/>
                </a:solidFill>
              </a:endParaRPr>
            </a:p>
          </xdr:txBody>
        </xdr:sp>
      </mc:Choice>
      <mc:Fallback xmlns="">
        <xdr:sp macro="" textlink="">
          <xdr:nvSpPr>
            <xdr:cNvPr id="6" name="TextBox 8">
              <a:extLst>
                <a:ext uri="{FF2B5EF4-FFF2-40B4-BE49-F238E27FC236}">
                  <a16:creationId xmlns:a16="http://schemas.microsoft.com/office/drawing/2014/main" id="{22C547A7-54E0-4775-BA74-7E5A046C5D8D}"/>
                </a:ext>
              </a:extLst>
            </xdr:cNvPr>
            <xdr:cNvSpPr txBox="1"/>
          </xdr:nvSpPr>
          <xdr:spPr>
            <a:xfrm>
              <a:off x="7808517" y="1974454"/>
              <a:ext cx="5764608" cy="2133202"/>
            </a:xfrm>
            <a:prstGeom prst="rect">
              <a:avLst/>
            </a:prstGeom>
            <a:solidFill>
              <a:schemeClr val="accent4">
                <a:lumMod val="20000"/>
                <a:lumOff val="80000"/>
              </a:schemeClr>
            </a:solidFill>
            <a:ln>
              <a:solidFill>
                <a:schemeClr val="accent1"/>
              </a:solidFill>
            </a:ln>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600" b="1">
                  <a:solidFill>
                    <a:srgbClr val="0070C0"/>
                  </a:solidFill>
                </a:rPr>
                <a:t>1</a:t>
              </a:r>
              <a:r>
                <a:rPr lang="en-US" sz="1600" b="1" baseline="30000">
                  <a:solidFill>
                    <a:srgbClr val="0070C0"/>
                  </a:solidFill>
                </a:rPr>
                <a:t>st</a:t>
              </a:r>
              <a:r>
                <a:rPr lang="en-US" sz="1600" b="1">
                  <a:solidFill>
                    <a:srgbClr val="0070C0"/>
                  </a:solidFill>
                </a:rPr>
                <a:t> Order Unity-Gain High-Pass Filter Equations</a:t>
              </a:r>
            </a:p>
            <a:p>
              <a:r>
                <a:rPr lang="en-US" sz="1600" b="1"/>
                <a:t>Pass-Region Gain: </a:t>
              </a:r>
              <a:r>
                <a:rPr lang="en-US" sz="1400" i="0">
                  <a:latin typeface="Cambria Math" panose="02040503050406030204" pitchFamily="18" charset="0"/>
                </a:rPr>
                <a:t>〖</a:t>
              </a:r>
              <a:r>
                <a:rPr lang="en-US" sz="1400" b="0" i="0">
                  <a:latin typeface="Cambria Math" panose="02040503050406030204" pitchFamily="18" charset="0"/>
                </a:rPr>
                <a:t> 𝐴〗_𝑣</a:t>
              </a:r>
              <a:r>
                <a:rPr lang="en-US" sz="1400" b="0" i="0">
                  <a:latin typeface="Cambria Math" panose="02040503050406030204" pitchFamily="18" charset="0"/>
                  <a:ea typeface="Cambria Math" panose="02040503050406030204" pitchFamily="18" charset="0"/>
                  <a:sym typeface="Symbol" panose="05050102010706020507" pitchFamily="18" charset="2"/>
                </a:rPr>
                <a:t>≈</a:t>
              </a:r>
              <a:r>
                <a:rPr lang="en-US" sz="1400" b="0" i="0">
                  <a:latin typeface="Cambria Math" panose="02040503050406030204" pitchFamily="18" charset="0"/>
                </a:rPr>
                <a:t>0 𝑑𝐵</a:t>
              </a:r>
              <a:endParaRPr lang="en-US" sz="1400"/>
            </a:p>
            <a:p>
              <a:r>
                <a:rPr lang="en-US" sz="1600" b="1"/>
                <a:t>Cutoff Frequency: </a:t>
              </a:r>
              <a:r>
                <a:rPr lang="en-US" sz="1600" i="0">
                  <a:latin typeface="Cambria Math" panose="02040503050406030204" pitchFamily="18" charset="0"/>
                </a:rPr>
                <a:t>𝑓_𝑐=1/(2𝜋𝑅_</a:t>
              </a:r>
              <a:r>
                <a:rPr lang="en-CA" sz="1600" b="0" i="0">
                  <a:latin typeface="Cambria Math" panose="02040503050406030204" pitchFamily="18" charset="0"/>
                </a:rPr>
                <a:t>1</a:t>
              </a:r>
              <a:r>
                <a:rPr lang="en-US" sz="1600" b="0" i="0">
                  <a:latin typeface="Cambria Math" panose="02040503050406030204" pitchFamily="18" charset="0"/>
                </a:rPr>
                <a:t> </a:t>
              </a:r>
              <a:r>
                <a:rPr lang="en-US" sz="1600" i="0">
                  <a:latin typeface="Cambria Math" panose="02040503050406030204" pitchFamily="18" charset="0"/>
                </a:rPr>
                <a:t>𝐶_1 )</a:t>
              </a:r>
              <a:endParaRPr lang="en-US" sz="1800"/>
            </a:p>
            <a:p>
              <a:r>
                <a:rPr lang="en-US" sz="1600" b="1" kern="1200">
                  <a:solidFill>
                    <a:schemeClr val="tx1"/>
                  </a:solidFill>
                  <a:effectLst/>
                  <a:latin typeface="+mn-lt"/>
                  <a:ea typeface="+mn-ea"/>
                  <a:cs typeface="+mn-cs"/>
                </a:rPr>
                <a:t>Normalized to Frequency:</a:t>
              </a:r>
              <a:endParaRPr lang="en-US" sz="1200">
                <a:effectLst/>
              </a:endParaRPr>
            </a:p>
            <a:p>
              <a:r>
                <a:rPr lang="en-US" sz="1600" i="0" kern="1200">
                  <a:solidFill>
                    <a:schemeClr val="tx1"/>
                  </a:solidFill>
                  <a:effectLst/>
                  <a:latin typeface="Cambria Math" panose="02040503050406030204" pitchFamily="18" charset="0"/>
                  <a:ea typeface="+mn-ea"/>
                  <a:cs typeface="+mn-cs"/>
                </a:rPr>
                <a:t>𝑉_𝑜𝑢𝑡/𝑉_</a:t>
              </a:r>
              <a:r>
                <a:rPr lang="en-US" sz="1600" b="0" i="0" kern="1200">
                  <a:solidFill>
                    <a:schemeClr val="tx1"/>
                  </a:solidFill>
                  <a:effectLst/>
                  <a:latin typeface="Cambria Math" panose="02040503050406030204" pitchFamily="18" charset="0"/>
                  <a:ea typeface="+mn-ea"/>
                  <a:cs typeface="+mn-cs"/>
                </a:rPr>
                <a:t>𝑖𝑛 =</a:t>
              </a:r>
              <a:r>
                <a:rPr lang="en-US" sz="1600" kern="1200">
                  <a:solidFill>
                    <a:schemeClr val="tx1"/>
                  </a:solidFill>
                  <a:effectLst/>
                  <a:latin typeface="+mn-lt"/>
                  <a:ea typeface="+mn-ea"/>
                  <a:cs typeface="+mn-cs"/>
                </a:rPr>
                <a:t> </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1+(</a:t>
              </a:r>
              <a:r>
                <a:rPr lang="en-US" sz="1600" i="0" kern="1200">
                  <a:solidFill>
                    <a:schemeClr val="tx1"/>
                  </a:solidFill>
                  <a:effectLst/>
                  <a:latin typeface="Cambria Math" panose="02040503050406030204" pitchFamily="18" charset="0"/>
                  <a:ea typeface="+mn-ea"/>
                  <a:cs typeface="+mn-cs"/>
                </a:rPr>
                <a:t>𝑓/𝑓_𝑐 )</a:t>
              </a:r>
              <a:r>
                <a:rPr lang="en-US" sz="1600" b="0" i="0" kern="1200">
                  <a:solidFill>
                    <a:schemeClr val="tx1"/>
                  </a:solidFill>
                  <a:effectLst/>
                  <a:latin typeface="Cambria Math" panose="02040503050406030204" pitchFamily="18" charset="0"/>
                  <a:ea typeface="+mn-ea"/>
                  <a:cs typeface="+mn-cs"/>
                </a:rPr>
                <a:t>^2 )→〖𝐺𝑎𝑖𝑛〗_𝑑𝐵=20×𝑙𝑜𝑔(((</a:t>
              </a:r>
              <a:r>
                <a:rPr lang="en-US" sz="1600" i="0" kern="1200">
                  <a:solidFill>
                    <a:schemeClr val="tx1"/>
                  </a:solidFill>
                  <a:effectLst/>
                  <a:latin typeface="Cambria Math" panose="02040503050406030204" pitchFamily="18" charset="0"/>
                  <a:ea typeface="+mn-ea"/>
                  <a:cs typeface="+mn-cs"/>
                </a:rPr>
                <a:t>𝑓/𝑓_𝑐 ))/√(1+(𝑓/𝑓_𝑐 )^2 ))</a:t>
              </a:r>
              <a:endParaRPr lang="en-US" sz="1100">
                <a:effectLst/>
              </a:endParaRPr>
            </a:p>
            <a:p>
              <a:endParaRPr lang="en-US" sz="1400">
                <a:solidFill>
                  <a:schemeClr val="tx1"/>
                </a:solidFill>
              </a:endParaRPr>
            </a:p>
          </xdr:txBody>
        </xdr:sp>
      </mc:Fallback>
    </mc:AlternateContent>
    <xdr:clientData/>
  </xdr:twoCellAnchor>
  <xdr:twoCellAnchor editAs="oneCell">
    <xdr:from>
      <xdr:col>17</xdr:col>
      <xdr:colOff>317498</xdr:colOff>
      <xdr:row>0</xdr:row>
      <xdr:rowOff>267892</xdr:rowOff>
    </xdr:from>
    <xdr:to>
      <xdr:col>23</xdr:col>
      <xdr:colOff>210392</xdr:colOff>
      <xdr:row>5</xdr:row>
      <xdr:rowOff>119063</xdr:rowOff>
    </xdr:to>
    <xdr:pic>
      <xdr:nvPicPr>
        <xdr:cNvPr id="3" name="Picture 2">
          <a:extLst>
            <a:ext uri="{FF2B5EF4-FFF2-40B4-BE49-F238E27FC236}">
              <a16:creationId xmlns:a16="http://schemas.microsoft.com/office/drawing/2014/main" id="{5C87CDC7-83D4-BE7D-12C3-E4B3F5743612}"/>
            </a:ext>
          </a:extLst>
        </xdr:cNvPr>
        <xdr:cNvPicPr>
          <a:picLocks noChangeAspect="1"/>
        </xdr:cNvPicPr>
      </xdr:nvPicPr>
      <xdr:blipFill rotWithShape="1">
        <a:blip xmlns:r="http://schemas.openxmlformats.org/officeDocument/2006/relationships" r:embed="rId5"/>
        <a:srcRect b="7407"/>
        <a:stretch/>
      </xdr:blipFill>
      <xdr:spPr>
        <a:xfrm>
          <a:off x="10596561" y="267892"/>
          <a:ext cx="3524300" cy="1240234"/>
        </a:xfrm>
        <a:prstGeom prst="rect">
          <a:avLst/>
        </a:prstGeom>
      </xdr:spPr>
    </xdr:pic>
    <xdr:clientData/>
  </xdr:twoCellAnchor>
  <xdr:twoCellAnchor>
    <xdr:from>
      <xdr:col>21</xdr:col>
      <xdr:colOff>347266</xdr:colOff>
      <xdr:row>8</xdr:row>
      <xdr:rowOff>19843</xdr:rowOff>
    </xdr:from>
    <xdr:to>
      <xdr:col>26</xdr:col>
      <xdr:colOff>198438</xdr:colOff>
      <xdr:row>15</xdr:row>
      <xdr:rowOff>10515</xdr:rowOff>
    </xdr:to>
    <mc:AlternateContent xmlns:mc="http://schemas.openxmlformats.org/markup-compatibility/2006" xmlns:a14="http://schemas.microsoft.com/office/drawing/2010/main">
      <mc:Choice Requires="a14">
        <xdr:sp macro="" textlink="">
          <xdr:nvSpPr>
            <xdr:cNvPr id="9" name="Content Placeholder 2">
              <a:extLst>
                <a:ext uri="{FF2B5EF4-FFF2-40B4-BE49-F238E27FC236}">
                  <a16:creationId xmlns:a16="http://schemas.microsoft.com/office/drawing/2014/main" id="{BFD392E5-C67C-4F0D-80AA-BEB8BD7306F8}"/>
                </a:ext>
              </a:extLst>
            </xdr:cNvPr>
            <xdr:cNvSpPr txBox="1">
              <a:spLocks/>
            </xdr:cNvSpPr>
          </xdr:nvSpPr>
          <xdr:spPr>
            <a:xfrm>
              <a:off x="13652500" y="1974452"/>
              <a:ext cx="2877344"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endParaRPr lang="en-US" sz="1600" b="1" kern="1200" baseline="0">
                <a:solidFill>
                  <a:srgbClr val="0070C0"/>
                </a:solidFill>
                <a:latin typeface="+mn-lt"/>
                <a:ea typeface="+mn-ea"/>
                <a:cs typeface="+mn-cs"/>
              </a:endParaRPr>
            </a:p>
            <a:p>
              <a:r>
                <a:rPr lang="en-US" sz="1600">
                  <a:solidFill>
                    <a:schemeClr val="tx1"/>
                  </a:solidFill>
                </a:rPr>
                <a:t>Impedance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𝑜𝑢𝑡</m:t>
                      </m:r>
                    </m:sub>
                  </m:sSub>
                  <m:r>
                    <a:rPr lang="en-US" sz="1800" i="1" kern="1200">
                      <a:solidFill>
                        <a:schemeClr val="tx1"/>
                      </a:solidFill>
                      <a:effectLst/>
                      <a:latin typeface="Cambria Math" panose="02040503050406030204" pitchFamily="18" charset="0"/>
                      <a:ea typeface="+mn-ea"/>
                      <a:cs typeface="+mn-cs"/>
                    </a:rPr>
                    <m:t>=</m:t>
                  </m:r>
                </m:oMath>
              </a14:m>
              <a:r>
                <a:rPr lang="en-US" sz="1800" kern="1200">
                  <a:solidFill>
                    <a:schemeClr val="tx1"/>
                  </a:solidFill>
                  <a:effectLst/>
                  <a:latin typeface="+mn-lt"/>
                  <a:ea typeface="+mn-ea"/>
                  <a:cs typeface="+mn-cs"/>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𝑉</m:t>
                      </m:r>
                    </m:e>
                    <m:sub>
                      <m:r>
                        <a:rPr lang="en-US" sz="180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𝑅</m:t>
                          </m:r>
                        </m:e>
                        <m:sub>
                          <m:r>
                            <a:rPr lang="en-US" sz="1800" i="1" kern="1200">
                              <a:solidFill>
                                <a:schemeClr val="tx1"/>
                              </a:solidFill>
                              <a:effectLst/>
                              <a:latin typeface="Cambria Math" panose="02040503050406030204" pitchFamily="18" charset="0"/>
                              <a:ea typeface="+mn-ea"/>
                              <a:cs typeface="+mn-cs"/>
                            </a:rPr>
                            <m:t>1</m:t>
                          </m:r>
                        </m:sub>
                      </m:sSub>
                    </m:num>
                    <m:den>
                      <m:rad>
                        <m:radPr>
                          <m:degHide m:val="on"/>
                          <m:ctrlPr>
                            <a:rPr lang="en-US" sz="1800" i="1" kern="1200">
                              <a:solidFill>
                                <a:schemeClr val="tx1"/>
                              </a:solidFill>
                              <a:effectLst/>
                              <a:latin typeface="Cambria Math" panose="02040503050406030204" pitchFamily="18" charset="0"/>
                              <a:ea typeface="+mn-ea"/>
                              <a:cs typeface="+mn-cs"/>
                            </a:rPr>
                          </m:ctrlPr>
                        </m:radPr>
                        <m:deg/>
                        <m:e>
                          <m:sSup>
                            <m:sSupPr>
                              <m:ctrlPr>
                                <a:rPr lang="en-US" sz="1800" i="1" kern="1200">
                                  <a:solidFill>
                                    <a:schemeClr val="tx1"/>
                                  </a:solidFill>
                                  <a:effectLst/>
                                  <a:latin typeface="Cambria Math" panose="02040503050406030204" pitchFamily="18" charset="0"/>
                                  <a:ea typeface="+mn-ea"/>
                                  <a:cs typeface="+mn-cs"/>
                                </a:rPr>
                              </m:ctrlPr>
                            </m:sSupPr>
                            <m:e>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𝑅</m:t>
                                  </m:r>
                                </m:e>
                                <m:sub>
                                  <m:r>
                                    <a:rPr lang="en-US" sz="1800" i="1" kern="1200">
                                      <a:solidFill>
                                        <a:schemeClr val="tx1"/>
                                      </a:solidFill>
                                      <a:effectLst/>
                                      <a:latin typeface="Cambria Math" panose="02040503050406030204" pitchFamily="18" charset="0"/>
                                      <a:ea typeface="+mn-ea"/>
                                      <a:cs typeface="+mn-cs"/>
                                    </a:rPr>
                                    <m:t>1</m:t>
                                  </m:r>
                                </m:sub>
                              </m:sSub>
                            </m:e>
                            <m:sup>
                              <m:r>
                                <a:rPr lang="en-US" sz="1800" i="1" kern="1200">
                                  <a:solidFill>
                                    <a:schemeClr val="tx1"/>
                                  </a:solidFill>
                                  <a:effectLst/>
                                  <a:latin typeface="Cambria Math" panose="02040503050406030204" pitchFamily="18" charset="0"/>
                                  <a:ea typeface="+mn-ea"/>
                                  <a:cs typeface="+mn-cs"/>
                                </a:rPr>
                                <m:t>2</m:t>
                              </m:r>
                            </m:sup>
                          </m:sSup>
                          <m:r>
                            <a:rPr lang="en-US" sz="1800" i="1" kern="1200">
                              <a:solidFill>
                                <a:schemeClr val="tx1"/>
                              </a:solidFill>
                              <a:effectLst/>
                              <a:latin typeface="Cambria Math" panose="02040503050406030204" pitchFamily="18" charset="0"/>
                              <a:ea typeface="+mn-ea"/>
                              <a:cs typeface="+mn-cs"/>
                            </a:rPr>
                            <m:t>+</m:t>
                          </m:r>
                          <m:sSup>
                            <m:sSupPr>
                              <m:ctrlPr>
                                <a:rPr lang="en-US" sz="1800" i="1" kern="1200">
                                  <a:solidFill>
                                    <a:schemeClr val="tx1"/>
                                  </a:solidFill>
                                  <a:effectLst/>
                                  <a:latin typeface="Cambria Math" panose="02040503050406030204" pitchFamily="18" charset="0"/>
                                  <a:ea typeface="+mn-ea"/>
                                  <a:cs typeface="+mn-cs"/>
                                </a:rPr>
                              </m:ctrlPr>
                            </m:sSupPr>
                            <m:e>
                              <m:sSub>
                                <m:sSubPr>
                                  <m:ctrlPr>
                                    <a:rPr lang="en-US" sz="1800" i="1" kern="1200">
                                      <a:solidFill>
                                        <a:schemeClr val="tx1"/>
                                      </a:solidFill>
                                      <a:effectLst/>
                                      <a:latin typeface="Cambria Math" panose="02040503050406030204" pitchFamily="18" charset="0"/>
                                      <a:ea typeface="+mn-ea"/>
                                      <a:cs typeface="+mn-cs"/>
                                    </a:rPr>
                                  </m:ctrlPr>
                                </m:sSubPr>
                                <m:e>
                                  <m:r>
                                    <a:rPr lang="en-US" sz="1800" i="1" kern="1200">
                                      <a:solidFill>
                                        <a:schemeClr val="tx1"/>
                                      </a:solidFill>
                                      <a:effectLst/>
                                      <a:latin typeface="Cambria Math" panose="02040503050406030204" pitchFamily="18" charset="0"/>
                                      <a:ea typeface="+mn-ea"/>
                                      <a:cs typeface="+mn-cs"/>
                                    </a:rPr>
                                    <m:t>𝑋</m:t>
                                  </m:r>
                                </m:e>
                                <m:sub>
                                  <m:r>
                                    <a:rPr lang="en-US" sz="1800" i="1" kern="1200">
                                      <a:solidFill>
                                        <a:schemeClr val="tx1"/>
                                      </a:solidFill>
                                      <a:effectLst/>
                                      <a:latin typeface="Cambria Math" panose="02040503050406030204" pitchFamily="18" charset="0"/>
                                      <a:ea typeface="+mn-ea"/>
                                      <a:cs typeface="+mn-cs"/>
                                    </a:rPr>
                                    <m:t>𝑐</m:t>
                                  </m:r>
                                </m:sub>
                              </m:sSub>
                            </m:e>
                            <m:sup>
                              <m:r>
                                <a:rPr lang="en-US" sz="1800" i="1" kern="1200">
                                  <a:solidFill>
                                    <a:schemeClr val="tx1"/>
                                  </a:solidFill>
                                  <a:effectLst/>
                                  <a:latin typeface="Cambria Math" panose="02040503050406030204" pitchFamily="18" charset="0"/>
                                  <a:ea typeface="+mn-ea"/>
                                  <a:cs typeface="+mn-cs"/>
                                </a:rPr>
                                <m:t>2</m:t>
                              </m:r>
                            </m:sup>
                          </m:sSup>
                        </m:e>
                      </m:rad>
                    </m:den>
                  </m:f>
                </m:oMath>
              </a14:m>
              <a:endParaRPr lang="en-US" sz="1400" b="0">
                <a:solidFill>
                  <a:schemeClr val="tx1"/>
                </a:solidFill>
              </a:endParaRPr>
            </a:p>
          </xdr:txBody>
        </xdr:sp>
      </mc:Choice>
      <mc:Fallback xmlns="">
        <xdr:sp macro="" textlink="">
          <xdr:nvSpPr>
            <xdr:cNvPr id="9" name="Content Placeholder 2">
              <a:extLst>
                <a:ext uri="{FF2B5EF4-FFF2-40B4-BE49-F238E27FC236}">
                  <a16:creationId xmlns:a16="http://schemas.microsoft.com/office/drawing/2014/main" id="{BFD392E5-C67C-4F0D-80AA-BEB8BD7306F8}"/>
                </a:ext>
              </a:extLst>
            </xdr:cNvPr>
            <xdr:cNvSpPr txBox="1">
              <a:spLocks/>
            </xdr:cNvSpPr>
          </xdr:nvSpPr>
          <xdr:spPr>
            <a:xfrm>
              <a:off x="13652500" y="1974452"/>
              <a:ext cx="2877344" cy="13400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600" b="1" kern="1200">
                  <a:solidFill>
                    <a:srgbClr val="0070C0"/>
                  </a:solidFill>
                  <a:latin typeface="+mn-lt"/>
                  <a:ea typeface="+mn-ea"/>
                  <a:cs typeface="+mn-cs"/>
                </a:rPr>
                <a:t>Capacitive Reactance</a:t>
              </a:r>
              <a:endParaRPr lang="en-US" sz="1600" b="1" kern="1200" baseline="0">
                <a:solidFill>
                  <a:srgbClr val="0070C0"/>
                </a:solidFill>
                <a:latin typeface="+mn-lt"/>
                <a:ea typeface="+mn-ea"/>
                <a:cs typeface="+mn-cs"/>
              </a:endParaRPr>
            </a:p>
            <a:p>
              <a:r>
                <a:rPr lang="en-US" sz="1600">
                  <a:solidFill>
                    <a:schemeClr val="tx1"/>
                  </a:solidFill>
                </a:rPr>
                <a:t>Impedance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800" i="0" kern="1200">
                  <a:solidFill>
                    <a:schemeClr val="tx1"/>
                  </a:solidFill>
                  <a:effectLst/>
                  <a:latin typeface="Cambria Math" panose="02040503050406030204" pitchFamily="18" charset="0"/>
                  <a:ea typeface="+mn-ea"/>
                  <a:cs typeface="+mn-cs"/>
                </a:rPr>
                <a:t>𝑉_𝑜𝑢𝑡=</a:t>
              </a:r>
              <a:r>
                <a:rPr lang="en-US" sz="1800" kern="1200">
                  <a:solidFill>
                    <a:schemeClr val="tx1"/>
                  </a:solidFill>
                  <a:effectLst/>
                  <a:latin typeface="+mn-lt"/>
                  <a:ea typeface="+mn-ea"/>
                  <a:cs typeface="+mn-cs"/>
                </a:rPr>
                <a:t> </a:t>
              </a:r>
              <a:r>
                <a:rPr lang="en-US" sz="1800" i="0" kern="1200">
                  <a:solidFill>
                    <a:schemeClr val="tx1"/>
                  </a:solidFill>
                  <a:effectLst/>
                  <a:latin typeface="Cambria Math" panose="02040503050406030204" pitchFamily="18" charset="0"/>
                  <a:ea typeface="+mn-ea"/>
                  <a:cs typeface="+mn-cs"/>
                </a:rPr>
                <a:t>𝑉_𝑖𝑛  𝑅_1/√(〖𝑅_1〗^2+〖𝑋_𝑐〗^2 )</a:t>
              </a:r>
              <a:endParaRPr lang="en-US" sz="1400" b="0">
                <a:solidFill>
                  <a:schemeClr val="tx1"/>
                </a:solidFill>
              </a:endParaRPr>
            </a:p>
          </xdr:txBody>
        </xdr:sp>
      </mc:Fallback>
    </mc:AlternateContent>
    <xdr:clientData/>
  </xdr:twoCellAnchor>
  <xdr:twoCellAnchor editAs="oneCell">
    <xdr:from>
      <xdr:col>14</xdr:col>
      <xdr:colOff>595312</xdr:colOff>
      <xdr:row>24</xdr:row>
      <xdr:rowOff>180861</xdr:rowOff>
    </xdr:from>
    <xdr:to>
      <xdr:col>23</xdr:col>
      <xdr:colOff>106511</xdr:colOff>
      <xdr:row>31</xdr:row>
      <xdr:rowOff>155027</xdr:rowOff>
    </xdr:to>
    <xdr:pic>
      <xdr:nvPicPr>
        <xdr:cNvPr id="5" name="Picture 4">
          <a:extLst>
            <a:ext uri="{FF2B5EF4-FFF2-40B4-BE49-F238E27FC236}">
              <a16:creationId xmlns:a16="http://schemas.microsoft.com/office/drawing/2014/main" id="{DF9EDACA-3A2E-69E6-6A1D-FF1A7F369701}"/>
            </a:ext>
          </a:extLst>
        </xdr:cNvPr>
        <xdr:cNvPicPr>
          <a:picLocks noChangeAspect="1"/>
        </xdr:cNvPicPr>
      </xdr:nvPicPr>
      <xdr:blipFill>
        <a:blip xmlns:r="http://schemas.openxmlformats.org/officeDocument/2006/relationships" r:embed="rId6"/>
        <a:stretch>
          <a:fillRect/>
        </a:stretch>
      </xdr:blipFill>
      <xdr:spPr>
        <a:xfrm>
          <a:off x="9663906" y="5231095"/>
          <a:ext cx="4958308" cy="1293776"/>
        </a:xfrm>
        <a:prstGeom prst="rect">
          <a:avLst/>
        </a:prstGeom>
      </xdr:spPr>
    </xdr:pic>
    <xdr:clientData/>
  </xdr:twoCellAnchor>
  <xdr:twoCellAnchor editAs="oneCell">
    <xdr:from>
      <xdr:col>27</xdr:col>
      <xdr:colOff>0</xdr:colOff>
      <xdr:row>1</xdr:row>
      <xdr:rowOff>0</xdr:rowOff>
    </xdr:from>
    <xdr:to>
      <xdr:col>34</xdr:col>
      <xdr:colOff>409575</xdr:colOff>
      <xdr:row>33</xdr:row>
      <xdr:rowOff>19050</xdr:rowOff>
    </xdr:to>
    <xdr:pic>
      <xdr:nvPicPr>
        <xdr:cNvPr id="10" name="Picture 9">
          <a:extLst>
            <a:ext uri="{FF2B5EF4-FFF2-40B4-BE49-F238E27FC236}">
              <a16:creationId xmlns:a16="http://schemas.microsoft.com/office/drawing/2014/main" id="{DCCF128F-0394-29CD-A14D-E0F99789EA2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030700" y="590550"/>
          <a:ext cx="4676775" cy="622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581424</xdr:colOff>
      <xdr:row>11</xdr:row>
      <xdr:rowOff>106758</xdr:rowOff>
    </xdr:from>
    <xdr:to>
      <xdr:col>12</xdr:col>
      <xdr:colOff>311549</xdr:colOff>
      <xdr:row>26</xdr:row>
      <xdr:rowOff>32147</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182562</xdr:colOff>
      <xdr:row>9</xdr:row>
      <xdr:rowOff>132952</xdr:rowOff>
    </xdr:from>
    <xdr:to>
      <xdr:col>16</xdr:col>
      <xdr:colOff>59531</xdr:colOff>
      <xdr:row>14</xdr:row>
      <xdr:rowOff>5021</xdr:rowOff>
    </xdr:to>
    <mc:AlternateContent xmlns:mc="http://schemas.openxmlformats.org/markup-compatibility/2006" xmlns:a14="http://schemas.microsoft.com/office/drawing/2010/main">
      <mc:Choice Requires="a14">
        <xdr:sp macro="" textlink="">
          <xdr:nvSpPr>
            <xdr:cNvPr id="5" name="TextBox 8">
              <a:extLst>
                <a:ext uri="{FF2B5EF4-FFF2-40B4-BE49-F238E27FC236}">
                  <a16:creationId xmlns:a16="http://schemas.microsoft.com/office/drawing/2014/main" id="{00000000-0008-0000-0300-000005000000}"/>
                </a:ext>
              </a:extLst>
            </xdr:cNvPr>
            <xdr:cNvSpPr txBox="1"/>
          </xdr:nvSpPr>
          <xdr:spPr>
            <a:xfrm>
              <a:off x="7504906" y="2315765"/>
              <a:ext cx="229790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d>
                    <m:dPr>
                      <m:ctrlPr>
                        <a:rPr lang="en-US" sz="1800" i="1">
                          <a:latin typeface="Cambria Math" panose="02040503050406030204" pitchFamily="18" charset="0"/>
                        </a:rPr>
                      </m:ctrlPr>
                    </m:dPr>
                    <m:e>
                      <m:r>
                        <a:rPr lang="en-US" sz="1800" i="1">
                          <a:latin typeface="Cambria Math" panose="02040503050406030204" pitchFamily="18" charset="0"/>
                        </a:rPr>
                        <m:t>−</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i="1">
                                  <a:latin typeface="Cambria Math" panose="02040503050406030204" pitchFamily="18" charset="0"/>
                                </a:rPr>
                                <m:t>𝐹</m:t>
                              </m:r>
                            </m:sub>
                          </m:sSub>
                        </m:num>
                        <m:den>
                          <m:sSub>
                            <m:sSubPr>
                              <m:ctrlPr>
                                <a:rPr lang="en-US" sz="1800" i="1">
                                  <a:latin typeface="Cambria Math" panose="02040503050406030204" pitchFamily="18" charset="0"/>
                                </a:rPr>
                              </m:ctrlPr>
                            </m:sSubPr>
                            <m:e>
                              <m:r>
                                <a:rPr lang="en-US" sz="1800" i="1">
                                  <a:latin typeface="Cambria Math" panose="02040503050406030204" pitchFamily="18" charset="0"/>
                                </a:rPr>
                                <m:t>𝑅</m:t>
                              </m:r>
                            </m:e>
                            <m:sub>
                              <m:r>
                                <a:rPr lang="en-US" sz="1800">
                                  <a:latin typeface="Cambria Math" panose="02040503050406030204" pitchFamily="18" charset="0"/>
                                </a:rPr>
                                <m:t>1</m:t>
                              </m:r>
                            </m:sub>
                          </m:sSub>
                        </m:den>
                      </m:f>
                    </m:e>
                  </m:d>
                </m:oMath>
              </a14:m>
              <a:r>
                <a:rPr lang="en-US" sz="1800"/>
                <a:t>V</a:t>
              </a:r>
              <a:r>
                <a:rPr lang="en-US" sz="1800" baseline="-25000"/>
                <a:t>in</a:t>
              </a:r>
              <a:endParaRPr lang="en-US" sz="1800" baseline="30000"/>
            </a:p>
          </xdr:txBody>
        </xdr:sp>
      </mc:Choice>
      <mc:Fallback xmlns="">
        <xdr:sp macro="" textlink="">
          <xdr:nvSpPr>
            <xdr:cNvPr id="5" name="TextBox 8">
              <a:extLst>
                <a:ext uri="{FF2B5EF4-FFF2-40B4-BE49-F238E27FC236}">
                  <a16:creationId xmlns:a16="http://schemas.microsoft.com/office/drawing/2014/main" id="{00000000-0008-0000-0300-000005000000}"/>
                </a:ext>
              </a:extLst>
            </xdr:cNvPr>
            <xdr:cNvSpPr txBox="1"/>
          </xdr:nvSpPr>
          <xdr:spPr>
            <a:xfrm>
              <a:off x="7504906" y="2315765"/>
              <a:ext cx="2297906" cy="81464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Inverting Amplifier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i="0">
                  <a:latin typeface="Cambria Math" panose="02040503050406030204" pitchFamily="18" charset="0"/>
                </a:rPr>
                <a:t>(−𝑅_𝐹/𝑅_1 )</a:t>
              </a:r>
              <a:r>
                <a:rPr lang="en-US" sz="1800"/>
                <a:t>V</a:t>
              </a:r>
              <a:r>
                <a:rPr lang="en-US" sz="1800" baseline="-25000"/>
                <a:t>in</a:t>
              </a:r>
              <a:endParaRPr lang="en-US" sz="1800" baseline="30000"/>
            </a:p>
          </xdr:txBody>
        </xdr:sp>
      </mc:Fallback>
    </mc:AlternateContent>
    <xdr:clientData/>
  </xdr:twoCellAnchor>
  <xdr:twoCellAnchor editAs="oneCell">
    <xdr:from>
      <xdr:col>11</xdr:col>
      <xdr:colOff>444501</xdr:colOff>
      <xdr:row>0</xdr:row>
      <xdr:rowOff>373062</xdr:rowOff>
    </xdr:from>
    <xdr:to>
      <xdr:col>16</xdr:col>
      <xdr:colOff>330201</xdr:colOff>
      <xdr:row>9</xdr:row>
      <xdr:rowOff>69849</xdr:rowOff>
    </xdr:to>
    <xdr:pic>
      <xdr:nvPicPr>
        <xdr:cNvPr id="3" name="Picture 2">
          <a:extLst>
            <a:ext uri="{FF2B5EF4-FFF2-40B4-BE49-F238E27FC236}">
              <a16:creationId xmlns:a16="http://schemas.microsoft.com/office/drawing/2014/main" id="{688B11F5-8F9B-4742-A0C5-BC4CE17224DD}"/>
            </a:ext>
          </a:extLst>
        </xdr:cNvPr>
        <xdr:cNvPicPr>
          <a:picLocks noChangeAspect="1"/>
        </xdr:cNvPicPr>
      </xdr:nvPicPr>
      <xdr:blipFill>
        <a:blip xmlns:r="http://schemas.openxmlformats.org/officeDocument/2006/relationships" r:embed="rId2"/>
        <a:stretch>
          <a:fillRect/>
        </a:stretch>
      </xdr:blipFill>
      <xdr:spPr>
        <a:xfrm>
          <a:off x="7161610" y="373062"/>
          <a:ext cx="2911872" cy="1879600"/>
        </a:xfrm>
        <a:prstGeom prst="rect">
          <a:avLst/>
        </a:prstGeom>
      </xdr:spPr>
    </xdr:pic>
    <xdr:clientData/>
  </xdr:twoCellAnchor>
  <xdr:twoCellAnchor editAs="oneCell">
    <xdr:from>
      <xdr:col>16</xdr:col>
      <xdr:colOff>537917</xdr:colOff>
      <xdr:row>0</xdr:row>
      <xdr:rowOff>337344</xdr:rowOff>
    </xdr:from>
    <xdr:to>
      <xdr:col>21</xdr:col>
      <xdr:colOff>419346</xdr:colOff>
      <xdr:row>9</xdr:row>
      <xdr:rowOff>34131</xdr:rowOff>
    </xdr:to>
    <xdr:pic>
      <xdr:nvPicPr>
        <xdr:cNvPr id="4" name="Picture 3">
          <a:extLst>
            <a:ext uri="{FF2B5EF4-FFF2-40B4-BE49-F238E27FC236}">
              <a16:creationId xmlns:a16="http://schemas.microsoft.com/office/drawing/2014/main" id="{79086D0C-FAD6-4A08-81C2-8FEBDEB5EE8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10281198" y="337344"/>
          <a:ext cx="2907601" cy="1879600"/>
        </a:xfrm>
        <a:prstGeom prst="rect">
          <a:avLst/>
        </a:prstGeom>
      </xdr:spPr>
    </xdr:pic>
    <xdr:clientData/>
  </xdr:twoCellAnchor>
  <xdr:twoCellAnchor>
    <xdr:from>
      <xdr:col>17</xdr:col>
      <xdr:colOff>168671</xdr:colOff>
      <xdr:row>9</xdr:row>
      <xdr:rowOff>138906</xdr:rowOff>
    </xdr:from>
    <xdr:to>
      <xdr:col>21</xdr:col>
      <xdr:colOff>45640</xdr:colOff>
      <xdr:row>13</xdr:row>
      <xdr:rowOff>40793</xdr:rowOff>
    </xdr:to>
    <mc:AlternateContent xmlns:mc="http://schemas.openxmlformats.org/markup-compatibility/2006" xmlns:a14="http://schemas.microsoft.com/office/drawing/2010/main">
      <mc:Choice Requires="a14">
        <xdr:sp macro="" textlink="">
          <xdr:nvSpPr>
            <xdr:cNvPr id="6" name="TextBox 8">
              <a:extLst>
                <a:ext uri="{FF2B5EF4-FFF2-40B4-BE49-F238E27FC236}">
                  <a16:creationId xmlns:a16="http://schemas.microsoft.com/office/drawing/2014/main" id="{79B4EBFF-E26A-49F4-8E22-A8BA4AFB375C}"/>
                </a:ext>
              </a:extLst>
            </xdr:cNvPr>
            <xdr:cNvSpPr txBox="1"/>
          </xdr:nvSpPr>
          <xdr:spPr>
            <a:xfrm>
              <a:off x="10517187" y="2321719"/>
              <a:ext cx="2297906" cy="655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Invertor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14:m>
                <m:oMath xmlns:m="http://schemas.openxmlformats.org/officeDocument/2006/math">
                  <m:r>
                    <a:rPr lang="en-US" sz="1800" b="0" i="1">
                      <a:latin typeface="Cambria Math" panose="02040503050406030204" pitchFamily="18" charset="0"/>
                    </a:rPr>
                    <m:t>−</m:t>
                  </m:r>
                </m:oMath>
              </a14:m>
              <a:r>
                <a:rPr lang="en-US" sz="1800"/>
                <a:t>V</a:t>
              </a:r>
              <a:r>
                <a:rPr lang="en-US" sz="1800" baseline="-25000"/>
                <a:t>in</a:t>
              </a:r>
              <a:endParaRPr lang="en-US" sz="1800" baseline="30000"/>
            </a:p>
          </xdr:txBody>
        </xdr:sp>
      </mc:Choice>
      <mc:Fallback xmlns="">
        <xdr:sp macro="" textlink="">
          <xdr:nvSpPr>
            <xdr:cNvPr id="6" name="TextBox 8">
              <a:extLst>
                <a:ext uri="{FF2B5EF4-FFF2-40B4-BE49-F238E27FC236}">
                  <a16:creationId xmlns:a16="http://schemas.microsoft.com/office/drawing/2014/main" id="{79B4EBFF-E26A-49F4-8E22-A8BA4AFB375C}"/>
                </a:ext>
              </a:extLst>
            </xdr:cNvPr>
            <xdr:cNvSpPr txBox="1"/>
          </xdr:nvSpPr>
          <xdr:spPr>
            <a:xfrm>
              <a:off x="10517187" y="2321719"/>
              <a:ext cx="2297906" cy="655949"/>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US" sz="1800" b="1">
                  <a:solidFill>
                    <a:srgbClr val="0070C0"/>
                  </a:solidFill>
                </a:rPr>
                <a:t>Invertor</a:t>
              </a:r>
            </a:p>
            <a:p>
              <a:pPr algn="ctr"/>
              <a:r>
                <a:rPr lang="en-US" sz="1800"/>
                <a:t>V</a:t>
              </a:r>
              <a:r>
                <a:rPr lang="en-US" sz="1800" baseline="-25000"/>
                <a:t>out</a:t>
              </a:r>
              <a:r>
                <a:rPr lang="en-US" sz="1800"/>
                <a:t> </a:t>
              </a:r>
              <a:r>
                <a:rPr lang="en-US" sz="1800">
                  <a:sym typeface="Symbol" panose="05050102010706020507" pitchFamily="18" charset="2"/>
                </a:rPr>
                <a:t>=</a:t>
              </a:r>
              <a:r>
                <a:rPr lang="en-US" sz="1800"/>
                <a:t> </a:t>
              </a:r>
              <a:r>
                <a:rPr lang="en-US" sz="1800" b="0" i="0">
                  <a:latin typeface="Cambria Math" panose="02040503050406030204" pitchFamily="18" charset="0"/>
                </a:rPr>
                <a:t>−</a:t>
              </a:r>
              <a:r>
                <a:rPr lang="en-US" sz="1800"/>
                <a:t>V</a:t>
              </a:r>
              <a:r>
                <a:rPr lang="en-US" sz="1800" baseline="-25000"/>
                <a:t>in</a:t>
              </a:r>
              <a:endParaRPr lang="en-US" sz="1800" baseline="30000"/>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7</xdr:col>
      <xdr:colOff>35721</xdr:colOff>
      <xdr:row>18</xdr:row>
      <xdr:rowOff>106758</xdr:rowOff>
    </xdr:from>
    <xdr:to>
      <xdr:col>13</xdr:col>
      <xdr:colOff>371081</xdr:colOff>
      <xdr:row>33</xdr:row>
      <xdr:rowOff>32147</xdr:rowOff>
    </xdr:to>
    <xdr:graphicFrame macro="">
      <xdr:nvGraphicFramePr>
        <xdr:cNvPr id="2" name="Chart 1">
          <a:extLst>
            <a:ext uri="{FF2B5EF4-FFF2-40B4-BE49-F238E27FC236}">
              <a16:creationId xmlns:a16="http://schemas.microsoft.com/office/drawing/2014/main" id="{DA4BBF38-8FA6-47BD-9153-95723699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109143</xdr:colOff>
      <xdr:row>0</xdr:row>
      <xdr:rowOff>575468</xdr:rowOff>
    </xdr:from>
    <xdr:to>
      <xdr:col>17</xdr:col>
      <xdr:colOff>476251</xdr:colOff>
      <xdr:row>15</xdr:row>
      <xdr:rowOff>99113</xdr:rowOff>
    </xdr:to>
    <xdr:pic>
      <xdr:nvPicPr>
        <xdr:cNvPr id="5" name="Picture 4">
          <a:extLst>
            <a:ext uri="{FF2B5EF4-FFF2-40B4-BE49-F238E27FC236}">
              <a16:creationId xmlns:a16="http://schemas.microsoft.com/office/drawing/2014/main" id="{A59771DC-3791-4E18-9D46-182047F8D0A0}"/>
            </a:ext>
          </a:extLst>
        </xdr:cNvPr>
        <xdr:cNvPicPr/>
      </xdr:nvPicPr>
      <xdr:blipFill>
        <a:blip xmlns:r="http://schemas.openxmlformats.org/officeDocument/2006/relationships" r:embed="rId2" cstate="hqprint">
          <a:extLst>
            <a:ext uri="{28A0092B-C50C-407E-A947-70E740481C1C}">
              <a14:useLocalDpi xmlns:a14="http://schemas.microsoft.com/office/drawing/2010/main" val="0"/>
            </a:ext>
          </a:extLst>
        </a:blip>
        <a:stretch>
          <a:fillRect/>
        </a:stretch>
      </xdr:blipFill>
      <xdr:spPr>
        <a:xfrm>
          <a:off x="7094143" y="575468"/>
          <a:ext cx="3393280" cy="2847473"/>
        </a:xfrm>
        <a:prstGeom prst="rect">
          <a:avLst/>
        </a:prstGeom>
      </xdr:spPr>
    </xdr:pic>
    <xdr:clientData/>
  </xdr:twoCellAnchor>
  <xdr:twoCellAnchor>
    <xdr:from>
      <xdr:col>13</xdr:col>
      <xdr:colOff>416721</xdr:colOff>
      <xdr:row>16</xdr:row>
      <xdr:rowOff>39688</xdr:rowOff>
    </xdr:from>
    <xdr:to>
      <xdr:col>20</xdr:col>
      <xdr:colOff>118515</xdr:colOff>
      <xdr:row>24</xdr:row>
      <xdr:rowOff>97916</xdr:rowOff>
    </xdr:to>
    <mc:AlternateContent xmlns:mc="http://schemas.openxmlformats.org/markup-compatibility/2006" xmlns:a14="http://schemas.microsoft.com/office/drawing/2010/main">
      <mc:Choice Requires="a14">
        <xdr:sp macro="" textlink="">
          <xdr:nvSpPr>
            <xdr:cNvPr id="7" name="Content Placeholder 2">
              <a:extLst>
                <a:ext uri="{FF2B5EF4-FFF2-40B4-BE49-F238E27FC236}">
                  <a16:creationId xmlns:a16="http://schemas.microsoft.com/office/drawing/2014/main" id="{D4B864F9-A19F-4ED1-88A7-7B33BDD4C733}"/>
                </a:ext>
              </a:extLst>
            </xdr:cNvPr>
            <xdr:cNvSpPr txBox="1">
              <a:spLocks/>
            </xdr:cNvSpPr>
          </xdr:nvSpPr>
          <xdr:spPr>
            <a:xfrm>
              <a:off x="8646321" y="3573463"/>
              <a:ext cx="3968994" cy="158222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LPF</a:t>
              </a:r>
            </a:p>
            <a:p>
              <a:r>
                <a:rPr lang="en-US" sz="1600">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r>
                    <a:rPr lang="en-US" sz="1400" b="1"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𝟏</m:t>
                              </m:r>
                            </m:sub>
                          </m:sSub>
                        </m:den>
                      </m:f>
                    </m:e>
                  </m:d>
                  <m:r>
                    <a:rPr lang="en-US" sz="1400" i="1">
                      <a:solidFill>
                        <a:schemeClr val="tx1"/>
                      </a:solidFill>
                      <a:latin typeface="Cambria Math" panose="02040503050406030204" pitchFamily="18" charset="0"/>
                    </a:rPr>
                    <m:t> </m:t>
                  </m:r>
                </m:oMath>
              </a14:m>
              <a:endParaRPr lang="en-US" sz="1400">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i="1">
                              <a:solidFill>
                                <a:schemeClr val="tx1"/>
                              </a:solidFill>
                              <a:latin typeface="Cambria Math" panose="02040503050406030204" pitchFamily="18" charset="0"/>
                            </a:rPr>
                            <m:t>𝐹</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ysClr val="windowText" lastClr="000000"/>
                          </a:solidFill>
                          <a:latin typeface="Cambria Math" panose="02040503050406030204" pitchFamily="18" charset="0"/>
                        </a:rPr>
                      </m:ctrlPr>
                    </m:sSubPr>
                    <m:e>
                      <m:r>
                        <a:rPr lang="en-US" sz="1600" b="0" i="1">
                          <a:solidFill>
                            <a:sysClr val="windowText" lastClr="000000"/>
                          </a:solidFill>
                          <a:latin typeface="Cambria Math" panose="02040503050406030204" pitchFamily="18" charset="0"/>
                        </a:rPr>
                        <m:t>𝑉</m:t>
                      </m:r>
                    </m:e>
                    <m:sub>
                      <m:r>
                        <a:rPr lang="en-US" sz="1600" b="0" i="1">
                          <a:solidFill>
                            <a:sysClr val="windowText" lastClr="000000"/>
                          </a:solidFill>
                          <a:latin typeface="Cambria Math" panose="02040503050406030204" pitchFamily="18" charset="0"/>
                        </a:rPr>
                        <m:t>𝑜𝑢𝑡</m:t>
                      </m:r>
                    </m:sub>
                  </m:sSub>
                  <m:r>
                    <a:rPr lang="en-US" sz="1600" b="0" i="1">
                      <a:solidFill>
                        <a:sysClr val="windowText" lastClr="000000"/>
                      </a:solidFill>
                      <a:latin typeface="Cambria Math" panose="02040503050406030204" pitchFamily="18" charset="0"/>
                    </a:rPr>
                    <m:t>=</m:t>
                  </m:r>
                </m:oMath>
              </a14:m>
              <a:r>
                <a:rPr lang="en-US" sz="2000">
                  <a:solidFill>
                    <a:sysClr val="windowText" lastClr="000000"/>
                  </a:solidFill>
                </a:rPr>
                <a:t> </a:t>
              </a:r>
              <a14:m>
                <m:oMath xmlns:m="http://schemas.openxmlformats.org/officeDocument/2006/math">
                  <m:sSub>
                    <m:sSubPr>
                      <m:ctrlPr>
                        <a:rPr lang="en-US" sz="1100" i="1">
                          <a:solidFill>
                            <a:sysClr val="windowText" lastClr="000000"/>
                          </a:solidFill>
                          <a:latin typeface="Cambria Math" panose="02040503050406030204" pitchFamily="18" charset="0"/>
                        </a:rPr>
                      </m:ctrlPr>
                    </m:sSubPr>
                    <m:e>
                      <m:r>
                        <a:rPr lang="en-US" sz="1100" i="1">
                          <a:solidFill>
                            <a:sysClr val="windowText" lastClr="000000"/>
                          </a:solidFill>
                          <a:latin typeface="Cambria Math" panose="02040503050406030204" pitchFamily="18" charset="0"/>
                        </a:rPr>
                        <m:t>𝑉</m:t>
                      </m:r>
                    </m:e>
                    <m:sub>
                      <m:r>
                        <a:rPr lang="en-US" sz="1100" b="0" i="1">
                          <a:solidFill>
                            <a:sysClr val="windowText" lastClr="000000"/>
                          </a:solidFill>
                          <a:latin typeface="Cambria Math" panose="02040503050406030204" pitchFamily="18" charset="0"/>
                        </a:rPr>
                        <m:t>𝑖𝑛</m:t>
                      </m:r>
                    </m:sub>
                  </m:sSub>
                  <m:d>
                    <m:dPr>
                      <m:ctrlPr>
                        <a:rPr lang="en-US" sz="1100" b="0" i="1">
                          <a:solidFill>
                            <a:sysClr val="windowText" lastClr="000000"/>
                          </a:solidFill>
                          <a:latin typeface="Cambria Math" panose="02040503050406030204" pitchFamily="18" charset="0"/>
                        </a:rPr>
                      </m:ctrlPr>
                    </m:dPr>
                    <m:e>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𝐴</m:t>
                              </m:r>
                            </m:e>
                            <m:sub>
                              <m:r>
                                <a:rPr lang="en-US" sz="1800" b="0" i="1" kern="1200">
                                  <a:solidFill>
                                    <a:schemeClr val="tx1"/>
                                  </a:solidFill>
                                  <a:effectLst/>
                                  <a:latin typeface="Cambria Math" panose="02040503050406030204" pitchFamily="18" charset="0"/>
                                  <a:ea typeface="+mn-ea"/>
                                  <a:cs typeface="+mn-cs"/>
                                </a:rPr>
                                <m:t>𝑉</m:t>
                              </m:r>
                            </m:sub>
                          </m:sSub>
                        </m:num>
                        <m:den>
                          <m:r>
                            <a:rPr lang="en-US"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𝑓</m:t>
                              </m:r>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𝑓</m:t>
                                  </m:r>
                                </m:e>
                                <m:sub>
                                  <m:r>
                                    <a:rPr lang="en-US" sz="1800" b="0" i="1" kern="1200">
                                      <a:solidFill>
                                        <a:schemeClr val="tx1"/>
                                      </a:solidFill>
                                      <a:effectLst/>
                                      <a:latin typeface="Cambria Math" panose="02040503050406030204" pitchFamily="18" charset="0"/>
                                      <a:ea typeface="+mn-ea"/>
                                      <a:cs typeface="+mn-cs"/>
                                    </a:rPr>
                                    <m:t>𝑐</m:t>
                                  </m:r>
                                </m:sub>
                              </m:sSub>
                            </m:den>
                          </m:f>
                        </m:den>
                      </m:f>
                    </m:e>
                  </m:d>
                  <m:r>
                    <a:rPr lang="en-US" sz="1200" b="0" i="1" kern="1200">
                      <a:solidFill>
                        <a:sysClr val="windowText" lastClr="000000"/>
                      </a:solidFill>
                      <a:effectLst/>
                      <a:latin typeface="Cambria Math" panose="02040503050406030204" pitchFamily="18" charset="0"/>
                      <a:ea typeface="+mn-ea"/>
                      <a:cs typeface="+mn-cs"/>
                    </a:rPr>
                    <m:t>→</m:t>
                  </m:r>
                  <m:sSub>
                    <m:sSubPr>
                      <m:ctrlPr>
                        <a:rPr lang="en-US" sz="1200" b="0" i="1" kern="1200">
                          <a:solidFill>
                            <a:sysClr val="windowText" lastClr="000000"/>
                          </a:solidFill>
                          <a:effectLst/>
                          <a:latin typeface="Cambria Math" panose="02040503050406030204" pitchFamily="18" charset="0"/>
                          <a:ea typeface="+mn-ea"/>
                          <a:cs typeface="+mn-cs"/>
                        </a:rPr>
                      </m:ctrlPr>
                    </m:sSubPr>
                    <m:e>
                      <m:r>
                        <a:rPr lang="en-US" sz="1200" b="0" i="1" kern="1200">
                          <a:solidFill>
                            <a:sysClr val="windowText" lastClr="000000"/>
                          </a:solidFill>
                          <a:effectLst/>
                          <a:latin typeface="Cambria Math" panose="02040503050406030204" pitchFamily="18" charset="0"/>
                          <a:ea typeface="+mn-ea"/>
                          <a:cs typeface="+mn-cs"/>
                        </a:rPr>
                        <m:t>𝐺𝑎𝑖𝑛</m:t>
                      </m:r>
                    </m:e>
                    <m:sub>
                      <m:r>
                        <a:rPr lang="en-US" sz="1200" b="0" i="1" kern="1200">
                          <a:solidFill>
                            <a:sysClr val="windowText" lastClr="000000"/>
                          </a:solidFill>
                          <a:effectLst/>
                          <a:latin typeface="Cambria Math" panose="02040503050406030204" pitchFamily="18" charset="0"/>
                          <a:ea typeface="+mn-ea"/>
                          <a:cs typeface="+mn-cs"/>
                        </a:rPr>
                        <m:t>𝑑𝐵</m:t>
                      </m:r>
                    </m:sub>
                  </m:sSub>
                  <m:r>
                    <a:rPr lang="en-US" sz="1200" b="0" i="1" kern="1200">
                      <a:solidFill>
                        <a:sysClr val="windowText" lastClr="000000"/>
                      </a:solidFill>
                      <a:effectLst/>
                      <a:latin typeface="Cambria Math" panose="02040503050406030204" pitchFamily="18" charset="0"/>
                      <a:ea typeface="+mn-ea"/>
                      <a:cs typeface="+mn-cs"/>
                    </a:rPr>
                    <m:t>=20×</m:t>
                  </m:r>
                  <m:r>
                    <a:rPr lang="en-US" sz="1200" b="0" i="1" kern="1200">
                      <a:solidFill>
                        <a:sysClr val="windowText" lastClr="000000"/>
                      </a:solidFill>
                      <a:effectLst/>
                      <a:latin typeface="Cambria Math" panose="02040503050406030204" pitchFamily="18" charset="0"/>
                      <a:ea typeface="+mn-ea"/>
                      <a:cs typeface="+mn-cs"/>
                    </a:rPr>
                    <m:t>𝑙𝑜𝑔</m:t>
                  </m:r>
                  <m:d>
                    <m:dPr>
                      <m:ctrlPr>
                        <a:rPr lang="en-US" sz="1200" b="0" i="1" kern="1200">
                          <a:solidFill>
                            <a:sysClr val="windowText" lastClr="000000"/>
                          </a:solidFill>
                          <a:effectLst/>
                          <a:latin typeface="Cambria Math" panose="02040503050406030204" pitchFamily="18" charset="0"/>
                          <a:ea typeface="+mn-ea"/>
                          <a:cs typeface="+mn-cs"/>
                        </a:rPr>
                      </m:ctrlPr>
                    </m:dPr>
                    <m:e>
                      <m:f>
                        <m:fPr>
                          <m:ctrlPr>
                            <a:rPr lang="en-US" sz="1200" i="1" kern="1200">
                              <a:solidFill>
                                <a:sysClr val="windowText" lastClr="000000"/>
                              </a:solidFill>
                              <a:effectLst/>
                              <a:latin typeface="Cambria Math" panose="02040503050406030204" pitchFamily="18" charset="0"/>
                              <a:ea typeface="+mn-ea"/>
                              <a:cs typeface="+mn-cs"/>
                            </a:rPr>
                          </m:ctrlPr>
                        </m:fPr>
                        <m:num>
                          <m:sSub>
                            <m:sSubPr>
                              <m:ctrlPr>
                                <a:rPr lang="en-US" sz="1200" i="1" kern="1200">
                                  <a:solidFill>
                                    <a:sysClr val="windowText" lastClr="000000"/>
                                  </a:solidFill>
                                  <a:effectLst/>
                                  <a:latin typeface="Cambria Math" panose="02040503050406030204" pitchFamily="18" charset="0"/>
                                  <a:ea typeface="+mn-ea"/>
                                  <a:cs typeface="+mn-cs"/>
                                </a:rPr>
                              </m:ctrlPr>
                            </m:sSubPr>
                            <m:e>
                              <m:r>
                                <a:rPr lang="en-CA" sz="1200" b="0" i="1" kern="1200">
                                  <a:solidFill>
                                    <a:sysClr val="windowText" lastClr="000000"/>
                                  </a:solidFill>
                                  <a:effectLst/>
                                  <a:latin typeface="Cambria Math" panose="02040503050406030204" pitchFamily="18" charset="0"/>
                                  <a:ea typeface="+mn-ea"/>
                                  <a:cs typeface="+mn-cs"/>
                                </a:rPr>
                                <m:t>𝐴</m:t>
                              </m:r>
                            </m:e>
                            <m:sub>
                              <m:r>
                                <a:rPr lang="en-CA" sz="1200" b="0" i="1" kern="1200">
                                  <a:solidFill>
                                    <a:sysClr val="windowText" lastClr="000000"/>
                                  </a:solidFill>
                                  <a:effectLst/>
                                  <a:latin typeface="Cambria Math" panose="02040503050406030204" pitchFamily="18" charset="0"/>
                                  <a:ea typeface="+mn-ea"/>
                                  <a:cs typeface="+mn-cs"/>
                                </a:rPr>
                                <m:t>𝑣</m:t>
                              </m:r>
                            </m:sub>
                          </m:sSub>
                        </m:num>
                        <m:den>
                          <m:r>
                            <a:rPr lang="en-US" sz="1800" b="0" i="1" kern="1200">
                              <a:solidFill>
                                <a:schemeClr val="tx1"/>
                              </a:solidFill>
                              <a:effectLst/>
                              <a:latin typeface="Cambria Math" panose="02040503050406030204" pitchFamily="18" charset="0"/>
                              <a:ea typeface="+mn-ea"/>
                              <a:cs typeface="+mn-cs"/>
                            </a:rPr>
                            <m:t>1+</m:t>
                          </m:r>
                          <m:f>
                            <m:fPr>
                              <m:ctrlPr>
                                <a:rPr lang="en-US" sz="1800" b="0" i="1" kern="1200">
                                  <a:solidFill>
                                    <a:schemeClr val="tx1"/>
                                  </a:solidFill>
                                  <a:effectLst/>
                                  <a:latin typeface="Cambria Math" panose="02040503050406030204" pitchFamily="18" charset="0"/>
                                  <a:ea typeface="+mn-ea"/>
                                  <a:cs typeface="+mn-cs"/>
                                </a:rPr>
                              </m:ctrlPr>
                            </m:fPr>
                            <m:num>
                              <m:r>
                                <a:rPr lang="en-US" sz="1800" b="0" i="1" kern="1200">
                                  <a:solidFill>
                                    <a:schemeClr val="tx1"/>
                                  </a:solidFill>
                                  <a:effectLst/>
                                  <a:latin typeface="Cambria Math" panose="02040503050406030204" pitchFamily="18" charset="0"/>
                                  <a:ea typeface="+mn-ea"/>
                                  <a:cs typeface="+mn-cs"/>
                                </a:rPr>
                                <m:t>𝑓</m:t>
                              </m:r>
                            </m:num>
                            <m:den>
                              <m:sSub>
                                <m:sSubPr>
                                  <m:ctrlPr>
                                    <a:rPr lang="en-US" sz="1800" b="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𝑓</m:t>
                                  </m:r>
                                </m:e>
                                <m:sub>
                                  <m:r>
                                    <a:rPr lang="en-US" sz="1800" b="0" i="1" kern="1200">
                                      <a:solidFill>
                                        <a:schemeClr val="tx1"/>
                                      </a:solidFill>
                                      <a:effectLst/>
                                      <a:latin typeface="Cambria Math" panose="02040503050406030204" pitchFamily="18" charset="0"/>
                                      <a:ea typeface="+mn-ea"/>
                                      <a:cs typeface="+mn-cs"/>
                                    </a:rPr>
                                    <m:t>𝑐</m:t>
                                  </m:r>
                                </m:sub>
                              </m:sSub>
                            </m:den>
                          </m:f>
                        </m:den>
                      </m:f>
                    </m:e>
                  </m:d>
                </m:oMath>
              </a14:m>
              <a:endParaRPr lang="en-US" sz="1400" b="0">
                <a:solidFill>
                  <a:sysClr val="windowText" lastClr="000000"/>
                </a:solidFill>
              </a:endParaRPr>
            </a:p>
          </xdr:txBody>
        </xdr:sp>
      </mc:Choice>
      <mc:Fallback xmlns="">
        <xdr:sp macro="" textlink="">
          <xdr:nvSpPr>
            <xdr:cNvPr id="7" name="Content Placeholder 2">
              <a:extLst>
                <a:ext uri="{FF2B5EF4-FFF2-40B4-BE49-F238E27FC236}">
                  <a16:creationId xmlns:a16="http://schemas.microsoft.com/office/drawing/2014/main" id="{D4B864F9-A19F-4ED1-88A7-7B33BDD4C733}"/>
                </a:ext>
              </a:extLst>
            </xdr:cNvPr>
            <xdr:cNvSpPr txBox="1">
              <a:spLocks/>
            </xdr:cNvSpPr>
          </xdr:nvSpPr>
          <xdr:spPr>
            <a:xfrm>
              <a:off x="8646321" y="3573463"/>
              <a:ext cx="3968994" cy="1582228"/>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LPF</a:t>
              </a:r>
            </a:p>
            <a:p>
              <a:r>
                <a:rPr lang="en-US" sz="1600">
                  <a:solidFill>
                    <a:schemeClr val="tx1"/>
                  </a:solidFill>
                </a:rPr>
                <a:t>Pass-Region Gain: </a:t>
              </a:r>
              <a:r>
                <a:rPr lang="en-US" sz="1400" i="0">
                  <a:solidFill>
                    <a:schemeClr val="tx1"/>
                  </a:solidFill>
                  <a:latin typeface="Cambria Math" panose="02040503050406030204" pitchFamily="18" charset="0"/>
                </a:rPr>
                <a:t>〖 𝑨〗_𝒗=</a:t>
              </a:r>
              <a:r>
                <a:rPr lang="en-US" sz="1400" b="1" i="0">
                  <a:solidFill>
                    <a:schemeClr val="tx1"/>
                  </a:solidFill>
                  <a:latin typeface="Cambria Math" panose="02040503050406030204" pitchFamily="18" charset="0"/>
                </a:rPr>
                <a:t>−</a:t>
              </a:r>
              <a:r>
                <a:rPr lang="en-US" sz="1400" i="0">
                  <a:solidFill>
                    <a:schemeClr val="tx1"/>
                  </a:solidFill>
                  <a:latin typeface="Cambria Math" panose="02040503050406030204" pitchFamily="18" charset="0"/>
                </a:rPr>
                <a:t>(𝑹_𝑭∕𝑹_𝟏 )  </a:t>
              </a:r>
              <a:endParaRPr lang="en-US" sz="1400">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𝑓_𝑐=1/(2𝜋𝑅_𝐹 𝐶_1 )</a:t>
              </a:r>
              <a:endParaRPr lang="en-US" sz="1600">
                <a:solidFill>
                  <a:schemeClr val="tx1"/>
                </a:solidFill>
              </a:endParaRPr>
            </a:p>
            <a:p>
              <a:r>
                <a:rPr lang="en-US" sz="1600" b="0" i="0">
                  <a:solidFill>
                    <a:sysClr val="windowText" lastClr="000000"/>
                  </a:solidFill>
                  <a:latin typeface="Cambria Math" panose="02040503050406030204" pitchFamily="18" charset="0"/>
                </a:rPr>
                <a:t>𝑉_𝑜𝑢𝑡=</a:t>
              </a:r>
              <a:r>
                <a:rPr lang="en-US" sz="2000">
                  <a:solidFill>
                    <a:sysClr val="windowText" lastClr="000000"/>
                  </a:solidFill>
                </a:rPr>
                <a:t> </a:t>
              </a:r>
              <a:r>
                <a:rPr lang="en-US" sz="1100" i="0">
                  <a:solidFill>
                    <a:sysClr val="windowText" lastClr="000000"/>
                  </a:solidFill>
                  <a:latin typeface="Cambria Math" panose="02040503050406030204" pitchFamily="18" charset="0"/>
                </a:rPr>
                <a:t>𝑉_</a:t>
              </a:r>
              <a:r>
                <a:rPr lang="en-US" sz="1100" b="0" i="0">
                  <a:solidFill>
                    <a:sysClr val="windowText" lastClr="000000"/>
                  </a:solidFill>
                  <a:latin typeface="Cambria Math" panose="02040503050406030204" pitchFamily="18" charset="0"/>
                </a:rPr>
                <a:t>𝑖𝑛 (</a:t>
              </a:r>
              <a:r>
                <a:rPr lang="en-US" sz="1800" b="0" i="0" kern="1200">
                  <a:solidFill>
                    <a:schemeClr val="tx1"/>
                  </a:solidFill>
                  <a:effectLst/>
                  <a:latin typeface="+mn-lt"/>
                  <a:ea typeface="+mn-ea"/>
                  <a:cs typeface="+mn-cs"/>
                </a:rPr>
                <a:t>𝐴_𝑉/(1+𝑓/𝑓_𝑐 )</a:t>
              </a:r>
              <a:r>
                <a:rPr lang="en-US" sz="1100" b="0" i="0" kern="1200">
                  <a:solidFill>
                    <a:sysClr val="windowText" lastClr="000000"/>
                  </a:solidFill>
                  <a:effectLst/>
                  <a:latin typeface="Cambria Math" panose="02040503050406030204" pitchFamily="18" charset="0"/>
                  <a:ea typeface="+mn-ea"/>
                  <a:cs typeface="+mn-cs"/>
                </a:rPr>
                <a:t>)</a:t>
              </a:r>
              <a:r>
                <a:rPr lang="en-US" sz="1200" b="0" i="0" kern="1200">
                  <a:solidFill>
                    <a:sysClr val="windowText" lastClr="000000"/>
                  </a:solidFill>
                  <a:effectLst/>
                  <a:latin typeface="Cambria Math" panose="02040503050406030204" pitchFamily="18" charset="0"/>
                  <a:ea typeface="+mn-ea"/>
                  <a:cs typeface="+mn-cs"/>
                </a:rPr>
                <a:t>→〖𝐺𝑎𝑖𝑛〗_𝑑𝐵=20×𝑙𝑜𝑔(</a:t>
              </a:r>
              <a:r>
                <a:rPr lang="en-CA" sz="1200" b="0" i="0" kern="1200">
                  <a:solidFill>
                    <a:sysClr val="windowText" lastClr="000000"/>
                  </a:solidFill>
                  <a:effectLst/>
                  <a:latin typeface="Cambria Math" panose="02040503050406030204" pitchFamily="18" charset="0"/>
                  <a:ea typeface="+mn-ea"/>
                  <a:cs typeface="+mn-cs"/>
                </a:rPr>
                <a:t>𝐴</a:t>
              </a:r>
              <a:r>
                <a:rPr lang="en-US" sz="1200" b="0" i="0" kern="1200">
                  <a:solidFill>
                    <a:sysClr val="windowText" lastClr="000000"/>
                  </a:solidFill>
                  <a:effectLst/>
                  <a:latin typeface="Cambria Math" panose="02040503050406030204" pitchFamily="18" charset="0"/>
                  <a:ea typeface="+mn-ea"/>
                  <a:cs typeface="+mn-cs"/>
                </a:rPr>
                <a:t>_</a:t>
              </a:r>
              <a:r>
                <a:rPr lang="en-CA" sz="1200" b="0" i="0" kern="1200">
                  <a:solidFill>
                    <a:sysClr val="windowText" lastClr="000000"/>
                  </a:solidFill>
                  <a:effectLst/>
                  <a:latin typeface="Cambria Math" panose="02040503050406030204" pitchFamily="18" charset="0"/>
                  <a:ea typeface="+mn-ea"/>
                  <a:cs typeface="+mn-cs"/>
                </a:rPr>
                <a:t>𝑣</a:t>
              </a:r>
              <a:r>
                <a:rPr lang="en-US" sz="1200" b="0" i="0" kern="1200">
                  <a:solidFill>
                    <a:sysClr val="windowText" lastClr="000000"/>
                  </a:solidFill>
                  <a:effectLst/>
                  <a:latin typeface="Cambria Math" panose="02040503050406030204" pitchFamily="18" charset="0"/>
                  <a:ea typeface="+mn-ea"/>
                  <a:cs typeface="+mn-cs"/>
                </a:rPr>
                <a:t>/(</a:t>
              </a:r>
              <a:r>
                <a:rPr lang="en-US" sz="1800" b="0" i="0" kern="1200">
                  <a:solidFill>
                    <a:schemeClr val="tx1"/>
                  </a:solidFill>
                  <a:effectLst/>
                  <a:latin typeface="+mn-lt"/>
                  <a:ea typeface="+mn-ea"/>
                  <a:cs typeface="+mn-cs"/>
                </a:rPr>
                <a:t>1+𝑓/𝑓_𝑐 </a:t>
              </a:r>
              <a:r>
                <a:rPr lang="en-US" sz="1200" b="0" i="0" kern="1200">
                  <a:solidFill>
                    <a:sysClr val="windowText" lastClr="000000"/>
                  </a:solidFill>
                  <a:effectLst/>
                  <a:latin typeface="Cambria Math" panose="02040503050406030204" pitchFamily="18" charset="0"/>
                  <a:ea typeface="+mn-ea"/>
                  <a:cs typeface="+mn-cs"/>
                </a:rPr>
                <a:t>))</a:t>
              </a:r>
              <a:endParaRPr lang="en-US" sz="1400" b="0">
                <a:solidFill>
                  <a:sysClr val="windowText" lastClr="000000"/>
                </a:solidFill>
              </a:endParaRPr>
            </a:p>
          </xdr:txBody>
        </xdr:sp>
      </mc:Fallback>
    </mc:AlternateContent>
    <xdr:clientData/>
  </xdr:twoCellAnchor>
  <xdr:twoCellAnchor>
    <xdr:from>
      <xdr:col>6</xdr:col>
      <xdr:colOff>244078</xdr:colOff>
      <xdr:row>45</xdr:row>
      <xdr:rowOff>146445</xdr:rowOff>
    </xdr:from>
    <xdr:to>
      <xdr:col>14</xdr:col>
      <xdr:colOff>450453</xdr:colOff>
      <xdr:row>60</xdr:row>
      <xdr:rowOff>61911</xdr:rowOff>
    </xdr:to>
    <xdr:graphicFrame macro="">
      <xdr:nvGraphicFramePr>
        <xdr:cNvPr id="8" name="Chart 7">
          <a:extLst>
            <a:ext uri="{FF2B5EF4-FFF2-40B4-BE49-F238E27FC236}">
              <a16:creationId xmlns:a16="http://schemas.microsoft.com/office/drawing/2014/main" id="{E78F1EBE-8485-4925-890E-EDD953EB5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218282</xdr:colOff>
      <xdr:row>16</xdr:row>
      <xdr:rowOff>39687</xdr:rowOff>
    </xdr:from>
    <xdr:to>
      <xdr:col>26</xdr:col>
      <xdr:colOff>426640</xdr:colOff>
      <xdr:row>22</xdr:row>
      <xdr:rowOff>101420</xdr:rowOff>
    </xdr:to>
    <mc:AlternateContent xmlns:mc="http://schemas.openxmlformats.org/markup-compatibility/2006" xmlns:a14="http://schemas.microsoft.com/office/drawing/2010/main">
      <mc:Choice Requires="a14">
        <xdr:sp macro="" textlink="">
          <xdr:nvSpPr>
            <xdr:cNvPr id="3" name="Content Placeholder 2">
              <a:extLst>
                <a:ext uri="{FF2B5EF4-FFF2-40B4-BE49-F238E27FC236}">
                  <a16:creationId xmlns:a16="http://schemas.microsoft.com/office/drawing/2014/main" id="{E44BD0E4-0A03-4218-A048-1BF773188192}"/>
                </a:ext>
              </a:extLst>
            </xdr:cNvPr>
            <xdr:cNvSpPr txBox="1">
              <a:spLocks/>
            </xdr:cNvSpPr>
          </xdr:nvSpPr>
          <xdr:spPr>
            <a:xfrm>
              <a:off x="12650391" y="3552031"/>
              <a:ext cx="3839765" cy="119282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80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m:t>
                      </m:r>
                      <m:r>
                        <a:rPr lang="en-US" sz="1800" i="1" kern="1200">
                          <a:solidFill>
                            <a:schemeClr val="tx1"/>
                          </a:solidFill>
                          <a:effectLst/>
                          <a:latin typeface="Cambria Math" panose="02040503050406030204" pitchFamily="18" charset="0"/>
                          <a:ea typeface="+mn-ea"/>
                          <a:cs typeface="+mn-cs"/>
                        </a:rPr>
                        <m:t>𝑉</m:t>
                      </m:r>
                    </m:e>
                    <m:sub>
                      <m:r>
                        <a:rPr lang="en-US" sz="1800" b="0" i="1" kern="1200">
                          <a:solidFill>
                            <a:schemeClr val="tx1"/>
                          </a:solidFill>
                          <a:effectLst/>
                          <a:latin typeface="Cambria Math" panose="02040503050406030204" pitchFamily="18" charset="0"/>
                          <a:ea typeface="+mn-ea"/>
                          <a:cs typeface="+mn-cs"/>
                        </a:rPr>
                        <m:t>𝑖𝑛</m:t>
                      </m:r>
                    </m:sub>
                  </m:sSub>
                  <m:f>
                    <m:fPr>
                      <m:ctrlPr>
                        <a:rPr lang="en-US" sz="1800" i="1" kern="1200">
                          <a:solidFill>
                            <a:schemeClr val="tx1"/>
                          </a:solidFill>
                          <a:effectLst/>
                          <a:latin typeface="Cambria Math" panose="02040503050406030204" pitchFamily="18" charset="0"/>
                          <a:ea typeface="+mn-ea"/>
                          <a:cs typeface="+mn-cs"/>
                        </a:rPr>
                      </m:ctrlPr>
                    </m:fPr>
                    <m:num>
                      <m:sSub>
                        <m:sSubPr>
                          <m:ctrlPr>
                            <a:rPr lang="en-US" sz="1800" i="1" kern="1200">
                              <a:solidFill>
                                <a:schemeClr val="tx1"/>
                              </a:solidFill>
                              <a:effectLst/>
                              <a:latin typeface="Cambria Math" panose="02040503050406030204" pitchFamily="18" charset="0"/>
                              <a:ea typeface="+mn-ea"/>
                              <a:cs typeface="+mn-cs"/>
                            </a:rPr>
                          </m:ctrlPr>
                        </m:sSubPr>
                        <m:e>
                          <m:r>
                            <a:rPr lang="en-US" sz="1800" b="0" i="1" kern="1200">
                              <a:solidFill>
                                <a:schemeClr val="tx1"/>
                              </a:solidFill>
                              <a:effectLst/>
                              <a:latin typeface="Cambria Math" panose="02040503050406030204" pitchFamily="18" charset="0"/>
                              <a:ea typeface="+mn-ea"/>
                              <a:cs typeface="+mn-cs"/>
                            </a:rPr>
                            <m:t>𝑋</m:t>
                          </m:r>
                        </m:e>
                        <m:sub>
                          <m:r>
                            <a:rPr lang="en-US" sz="1800" b="0" i="1" kern="1200">
                              <a:solidFill>
                                <a:schemeClr val="tx1"/>
                              </a:solidFill>
                              <a:effectLst/>
                              <a:latin typeface="Cambria Math" panose="02040503050406030204" pitchFamily="18" charset="0"/>
                              <a:ea typeface="+mn-ea"/>
                              <a:cs typeface="+mn-cs"/>
                            </a:rPr>
                            <m:t>𝑐</m:t>
                          </m:r>
                        </m:sub>
                      </m:sSub>
                      <m:r>
                        <a:rPr lang="en-CA" sz="1800" b="0" i="1" kern="1200">
                          <a:solidFill>
                            <a:schemeClr val="tx1"/>
                          </a:solidFill>
                          <a:effectLst/>
                          <a:latin typeface="Cambria Math" panose="02040503050406030204" pitchFamily="18" charset="0"/>
                          <a:ea typeface="+mn-ea"/>
                          <a:cs typeface="+mn-cs"/>
                        </a:rPr>
                        <m:t>||</m:t>
                      </m:r>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US"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den>
                  </m:f>
                  <m:r>
                    <a:rPr lang="en-CA" sz="1800" b="0" i="1" kern="1200">
                      <a:solidFill>
                        <a:schemeClr val="tx1"/>
                      </a:solidFill>
                      <a:effectLst/>
                      <a:latin typeface="Cambria Math" panose="02040503050406030204" pitchFamily="18" charset="0"/>
                      <a:ea typeface="+mn-ea"/>
                      <a:cs typeface="+mn-cs"/>
                    </a:rPr>
                    <m:t>=−</m:t>
                  </m:r>
                  <m:f>
                    <m:fPr>
                      <m:ctrlPr>
                        <a:rPr lang="en-CA" sz="1800" b="0" i="1" kern="1200">
                          <a:solidFill>
                            <a:schemeClr val="tx1"/>
                          </a:solidFill>
                          <a:effectLst/>
                          <a:latin typeface="Cambria Math" panose="02040503050406030204" pitchFamily="18" charset="0"/>
                          <a:ea typeface="+mn-ea"/>
                          <a:cs typeface="+mn-cs"/>
                        </a:rPr>
                      </m:ctrlPr>
                    </m:fPr>
                    <m:num>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𝐹</m:t>
                          </m:r>
                        </m:sub>
                      </m:sSub>
                    </m:num>
                    <m:den>
                      <m:sSub>
                        <m:sSubPr>
                          <m:ctrlPr>
                            <a:rPr lang="en-CA" sz="1800" b="0" i="1" kern="1200">
                              <a:solidFill>
                                <a:schemeClr val="tx1"/>
                              </a:solidFill>
                              <a:effectLst/>
                              <a:latin typeface="Cambria Math" panose="02040503050406030204" pitchFamily="18" charset="0"/>
                              <a:ea typeface="+mn-ea"/>
                              <a:cs typeface="+mn-cs"/>
                            </a:rPr>
                          </m:ctrlPr>
                        </m:sSubPr>
                        <m:e>
                          <m:r>
                            <a:rPr lang="en-CA" sz="1800" b="0" i="1" kern="1200">
                              <a:solidFill>
                                <a:schemeClr val="tx1"/>
                              </a:solidFill>
                              <a:effectLst/>
                              <a:latin typeface="Cambria Math" panose="02040503050406030204" pitchFamily="18" charset="0"/>
                              <a:ea typeface="+mn-ea"/>
                              <a:cs typeface="+mn-cs"/>
                            </a:rPr>
                            <m:t>𝑅</m:t>
                          </m:r>
                        </m:e>
                        <m:sub>
                          <m:r>
                            <a:rPr lang="en-CA" sz="1800" b="0" i="1" kern="1200">
                              <a:solidFill>
                                <a:schemeClr val="tx1"/>
                              </a:solidFill>
                              <a:effectLst/>
                              <a:latin typeface="Cambria Math" panose="02040503050406030204" pitchFamily="18" charset="0"/>
                              <a:ea typeface="+mn-ea"/>
                              <a:cs typeface="+mn-cs"/>
                            </a:rPr>
                            <m:t>1</m:t>
                          </m:r>
                        </m:sub>
                      </m:sSub>
                    </m:den>
                  </m:f>
                  <m:d>
                    <m:dPr>
                      <m:ctrlPr>
                        <a:rPr lang="en-CA" sz="1800" b="0" i="1" kern="1200">
                          <a:solidFill>
                            <a:schemeClr val="tx1"/>
                          </a:solidFill>
                          <a:effectLst/>
                          <a:latin typeface="Cambria Math" panose="02040503050406030204" pitchFamily="18" charset="0"/>
                          <a:ea typeface="+mn-ea"/>
                          <a:cs typeface="+mn-cs"/>
                        </a:rPr>
                      </m:ctrlPr>
                    </m:dPr>
                    <m:e>
                      <m:f>
                        <m:fPr>
                          <m:ctrlPr>
                            <a:rPr lang="en-CA" sz="1800" b="0" i="1" kern="1200">
                              <a:solidFill>
                                <a:schemeClr val="tx1"/>
                              </a:solidFill>
                              <a:effectLst/>
                              <a:latin typeface="Cambria Math" panose="02040503050406030204" pitchFamily="18" charset="0"/>
                              <a:ea typeface="+mn-ea"/>
                              <a:cs typeface="+mn-cs"/>
                            </a:rPr>
                          </m:ctrlPr>
                        </m:fPr>
                        <m:num>
                          <m:r>
                            <a:rPr lang="en-CA" sz="1800" b="0" i="1" kern="1200">
                              <a:solidFill>
                                <a:schemeClr val="tx1"/>
                              </a:solidFill>
                              <a:effectLst/>
                              <a:latin typeface="Cambria Math" panose="02040503050406030204" pitchFamily="18" charset="0"/>
                              <a:ea typeface="+mn-ea"/>
                              <a:cs typeface="+mn-cs"/>
                            </a:rPr>
                            <m:t>1</m:t>
                          </m:r>
                        </m:num>
                        <m:den>
                          <m:r>
                            <a:rPr lang="en-CA" sz="1800" b="0" i="1" kern="1200">
                              <a:solidFill>
                                <a:schemeClr val="tx1"/>
                              </a:solidFill>
                              <a:effectLst/>
                              <a:latin typeface="Cambria Math" panose="02040503050406030204" pitchFamily="18" charset="0"/>
                              <a:ea typeface="+mn-ea"/>
                              <a:cs typeface="+mn-cs"/>
                            </a:rPr>
                            <m:t>1+2</m:t>
                          </m:r>
                          <m:r>
                            <a:rPr lang="en-CA" sz="1800" b="0" i="1" kern="1200">
                              <a:solidFill>
                                <a:schemeClr val="tx1"/>
                              </a:solidFill>
                              <a:effectLst/>
                              <a:latin typeface="Cambria Math" panose="02040503050406030204" pitchFamily="18" charset="0"/>
                              <a:ea typeface="Cambria Math" panose="02040503050406030204" pitchFamily="18" charset="0"/>
                              <a:cs typeface="+mn-cs"/>
                            </a:rPr>
                            <m:t>𝜋</m:t>
                          </m:r>
                          <m:r>
                            <a:rPr lang="en-CA" sz="1800" b="0" i="1" kern="1200">
                              <a:solidFill>
                                <a:schemeClr val="tx1"/>
                              </a:solidFill>
                              <a:effectLst/>
                              <a:latin typeface="Cambria Math" panose="02040503050406030204" pitchFamily="18" charset="0"/>
                              <a:ea typeface="Cambria Math" panose="02040503050406030204" pitchFamily="18" charset="0"/>
                              <a:cs typeface="+mn-cs"/>
                            </a:rPr>
                            <m:t>𝑓</m:t>
                          </m:r>
                          <m:sSub>
                            <m:sSubPr>
                              <m:ctrlPr>
                                <a:rPr lang="en-CA" sz="1800" b="0" i="1" kern="1200">
                                  <a:solidFill>
                                    <a:schemeClr val="tx1"/>
                                  </a:solidFill>
                                  <a:effectLst/>
                                  <a:latin typeface="Cambria Math" panose="02040503050406030204" pitchFamily="18" charset="0"/>
                                  <a:ea typeface="Cambria Math" panose="02040503050406030204" pitchFamily="18" charset="0"/>
                                  <a:cs typeface="+mn-cs"/>
                                </a:rPr>
                              </m:ctrlPr>
                            </m:sSubPr>
                            <m:e>
                              <m:r>
                                <a:rPr lang="en-CA" sz="1800" b="0" i="1" kern="1200">
                                  <a:solidFill>
                                    <a:schemeClr val="tx1"/>
                                  </a:solidFill>
                                  <a:effectLst/>
                                  <a:latin typeface="Cambria Math" panose="02040503050406030204" pitchFamily="18" charset="0"/>
                                  <a:ea typeface="Cambria Math" panose="02040503050406030204" pitchFamily="18" charset="0"/>
                                  <a:cs typeface="+mn-cs"/>
                                </a:rPr>
                                <m:t>𝐶</m:t>
                              </m:r>
                            </m:e>
                            <m:sub>
                              <m:r>
                                <a:rPr lang="en-CA" sz="1800" b="0" i="1" kern="1200">
                                  <a:solidFill>
                                    <a:schemeClr val="tx1"/>
                                  </a:solidFill>
                                  <a:effectLst/>
                                  <a:latin typeface="Cambria Math" panose="02040503050406030204" pitchFamily="18" charset="0"/>
                                  <a:ea typeface="Cambria Math" panose="02040503050406030204" pitchFamily="18" charset="0"/>
                                  <a:cs typeface="+mn-cs"/>
                                </a:rPr>
                                <m:t>1</m:t>
                              </m:r>
                            </m:sub>
                          </m:sSub>
                          <m:sSub>
                            <m:sSubPr>
                              <m:ctrlPr>
                                <a:rPr lang="en-CA" sz="1800" b="0" i="1" kern="1200">
                                  <a:solidFill>
                                    <a:schemeClr val="tx1"/>
                                  </a:solidFill>
                                  <a:effectLst/>
                                  <a:latin typeface="Cambria Math" panose="02040503050406030204" pitchFamily="18" charset="0"/>
                                  <a:ea typeface="Cambria Math" panose="02040503050406030204" pitchFamily="18" charset="0"/>
                                  <a:cs typeface="+mn-cs"/>
                                </a:rPr>
                              </m:ctrlPr>
                            </m:sSubPr>
                            <m:e>
                              <m:r>
                                <a:rPr lang="en-CA" sz="1800" b="0" i="1" kern="1200">
                                  <a:solidFill>
                                    <a:schemeClr val="tx1"/>
                                  </a:solidFill>
                                  <a:effectLst/>
                                  <a:latin typeface="Cambria Math" panose="02040503050406030204" pitchFamily="18" charset="0"/>
                                  <a:ea typeface="Cambria Math" panose="02040503050406030204" pitchFamily="18" charset="0"/>
                                  <a:cs typeface="+mn-cs"/>
                                </a:rPr>
                                <m:t>𝑅</m:t>
                              </m:r>
                            </m:e>
                            <m:sub>
                              <m:r>
                                <a:rPr lang="en-CA" sz="1800" b="0" i="1" kern="1200">
                                  <a:solidFill>
                                    <a:schemeClr val="tx1"/>
                                  </a:solidFill>
                                  <a:effectLst/>
                                  <a:latin typeface="Cambria Math" panose="02040503050406030204" pitchFamily="18" charset="0"/>
                                  <a:ea typeface="Cambria Math" panose="02040503050406030204" pitchFamily="18" charset="0"/>
                                  <a:cs typeface="+mn-cs"/>
                                </a:rPr>
                                <m:t>𝐹</m:t>
                              </m:r>
                            </m:sub>
                          </m:sSub>
                        </m:den>
                      </m:f>
                    </m:e>
                  </m:d>
                </m:oMath>
              </a14:m>
              <a:endParaRPr lang="en-US" sz="1400" b="0">
                <a:solidFill>
                  <a:schemeClr val="tx1"/>
                </a:solidFill>
              </a:endParaRPr>
            </a:p>
          </xdr:txBody>
        </xdr:sp>
      </mc:Choice>
      <mc:Fallback xmlns="">
        <xdr:sp macro="" textlink="">
          <xdr:nvSpPr>
            <xdr:cNvPr id="3" name="Content Placeholder 2">
              <a:extLst>
                <a:ext uri="{FF2B5EF4-FFF2-40B4-BE49-F238E27FC236}">
                  <a16:creationId xmlns:a16="http://schemas.microsoft.com/office/drawing/2014/main" id="{E44BD0E4-0A03-4218-A048-1BF773188192}"/>
                </a:ext>
              </a:extLst>
            </xdr:cNvPr>
            <xdr:cNvSpPr txBox="1">
              <a:spLocks/>
            </xdr:cNvSpPr>
          </xdr:nvSpPr>
          <xdr:spPr>
            <a:xfrm>
              <a:off x="12650391" y="3552031"/>
              <a:ext cx="3839765" cy="1192827"/>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80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a:t>
              </a:r>
              <a:r>
                <a:rPr lang="en-US" sz="1800" i="0" kern="1200">
                  <a:solidFill>
                    <a:schemeClr val="tx1"/>
                  </a:solidFill>
                  <a:effectLst/>
                  <a:latin typeface="Cambria Math" panose="02040503050406030204" pitchFamily="18" charset="0"/>
                  <a:ea typeface="+mn-ea"/>
                  <a:cs typeface="+mn-cs"/>
                </a:rPr>
                <a:t>𝑉〗_</a:t>
              </a:r>
              <a:r>
                <a:rPr lang="en-US" sz="1800" b="0" i="0" kern="1200">
                  <a:solidFill>
                    <a:schemeClr val="tx1"/>
                  </a:solidFill>
                  <a:effectLst/>
                  <a:latin typeface="Cambria Math" panose="02040503050406030204" pitchFamily="18" charset="0"/>
                  <a:ea typeface="+mn-ea"/>
                  <a:cs typeface="+mn-cs"/>
                </a:rPr>
                <a:t>𝑖𝑛 </a:t>
              </a:r>
              <a:r>
                <a:rPr lang="en-US" sz="1800" i="0" kern="1200">
                  <a:solidFill>
                    <a:schemeClr val="tx1"/>
                  </a:solidFill>
                  <a:effectLst/>
                  <a:latin typeface="Cambria Math" panose="02040503050406030204" pitchFamily="18" charset="0"/>
                  <a:ea typeface="+mn-ea"/>
                  <a:cs typeface="+mn-cs"/>
                </a:rPr>
                <a:t> (</a:t>
              </a:r>
              <a:r>
                <a:rPr lang="en-US" sz="1800" b="0" i="0" kern="1200">
                  <a:solidFill>
                    <a:schemeClr val="tx1"/>
                  </a:solidFill>
                  <a:effectLst/>
                  <a:latin typeface="Cambria Math" panose="02040503050406030204" pitchFamily="18" charset="0"/>
                  <a:ea typeface="+mn-ea"/>
                  <a:cs typeface="+mn-cs"/>
                </a:rPr>
                <a:t>𝑋_𝑐</a:t>
              </a:r>
              <a:r>
                <a:rPr lang="en-CA" sz="1800" b="0" i="0" kern="1200">
                  <a:solidFill>
                    <a:schemeClr val="tx1"/>
                  </a:solidFill>
                  <a:effectLst/>
                  <a:latin typeface="Cambria Math" panose="02040503050406030204" pitchFamily="18" charset="0"/>
                  <a:ea typeface="+mn-ea"/>
                  <a:cs typeface="+mn-cs"/>
                </a:rPr>
                <a:t> ||𝑅_𝐹</a:t>
              </a:r>
              <a:r>
                <a:rPr lang="en-US"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mn-ea"/>
                  <a:cs typeface="+mn-cs"/>
                </a:rPr>
                <a:t>𝑅</a:t>
              </a:r>
              <a:r>
                <a:rPr lang="en-US" sz="1800" b="0" i="0" kern="1200">
                  <a:solidFill>
                    <a:schemeClr val="tx1"/>
                  </a:solidFill>
                  <a:effectLst/>
                  <a:latin typeface="Cambria Math" panose="02040503050406030204" pitchFamily="18" charset="0"/>
                  <a:ea typeface="+mn-ea"/>
                  <a:cs typeface="+mn-cs"/>
                </a:rPr>
                <a:t>_</a:t>
              </a:r>
              <a:r>
                <a:rPr lang="en-CA" sz="1800" b="0" i="0" kern="1200">
                  <a:solidFill>
                    <a:schemeClr val="tx1"/>
                  </a:solidFill>
                  <a:effectLst/>
                  <a:latin typeface="Cambria Math" panose="02040503050406030204" pitchFamily="18" charset="0"/>
                  <a:ea typeface="+mn-ea"/>
                  <a:cs typeface="+mn-cs"/>
                </a:rPr>
                <a:t>1 =−𝑅_𝐹/𝑅_1  (1/(1+2</a:t>
              </a:r>
              <a:r>
                <a:rPr lang="en-CA" sz="1800" b="0" i="0" kern="1200">
                  <a:solidFill>
                    <a:schemeClr val="tx1"/>
                  </a:solidFill>
                  <a:effectLst/>
                  <a:latin typeface="Cambria Math" panose="02040503050406030204" pitchFamily="18" charset="0"/>
                  <a:ea typeface="Cambria Math" panose="02040503050406030204" pitchFamily="18" charset="0"/>
                  <a:cs typeface="+mn-cs"/>
                </a:rPr>
                <a:t>𝜋𝑓𝐶_1 𝑅_𝐹 </a:t>
              </a:r>
              <a:r>
                <a:rPr lang="en-CA" sz="1800" b="0" i="0" kern="1200">
                  <a:solidFill>
                    <a:schemeClr val="tx1"/>
                  </a:solidFill>
                  <a:effectLst/>
                  <a:latin typeface="Cambria Math" panose="02040503050406030204" pitchFamily="18" charset="0"/>
                  <a:ea typeface="+mn-ea"/>
                  <a:cs typeface="+mn-cs"/>
                </a:rPr>
                <a:t>)</a:t>
              </a:r>
              <a:r>
                <a:rPr lang="en-CA" sz="1800" b="0" i="0" kern="1200">
                  <a:solidFill>
                    <a:schemeClr val="tx1"/>
                  </a:solidFill>
                  <a:effectLst/>
                  <a:latin typeface="Cambria Math" panose="02040503050406030204" pitchFamily="18" charset="0"/>
                  <a:ea typeface="Cambria Math" panose="02040503050406030204" pitchFamily="18" charset="0"/>
                  <a:cs typeface="+mn-cs"/>
                </a:rPr>
                <a:t>)</a:t>
              </a:r>
              <a:endParaRPr lang="en-US" sz="1400" b="0">
                <a:solidFill>
                  <a:schemeClr val="tx1"/>
                </a:solidFill>
              </a:endParaRPr>
            </a:p>
          </xdr:txBody>
        </xdr:sp>
      </mc:Fallback>
    </mc:AlternateContent>
    <xdr:clientData/>
  </xdr:twoCellAnchor>
  <xdr:twoCellAnchor editAs="oneCell">
    <xdr:from>
      <xdr:col>14</xdr:col>
      <xdr:colOff>238127</xdr:colOff>
      <xdr:row>27</xdr:row>
      <xdr:rowOff>1</xdr:rowOff>
    </xdr:from>
    <xdr:to>
      <xdr:col>21</xdr:col>
      <xdr:colOff>345492</xdr:colOff>
      <xdr:row>39</xdr:row>
      <xdr:rowOff>43186</xdr:rowOff>
    </xdr:to>
    <xdr:pic>
      <xdr:nvPicPr>
        <xdr:cNvPr id="13" name="Picture 12">
          <a:extLst>
            <a:ext uri="{FF2B5EF4-FFF2-40B4-BE49-F238E27FC236}">
              <a16:creationId xmlns:a16="http://schemas.microsoft.com/office/drawing/2014/main" id="{06D89884-F33E-C70F-75EC-EC83DD68424E}"/>
            </a:ext>
          </a:extLst>
        </xdr:cNvPr>
        <xdr:cNvPicPr>
          <a:picLocks noChangeAspect="1"/>
        </xdr:cNvPicPr>
      </xdr:nvPicPr>
      <xdr:blipFill>
        <a:blip xmlns:r="http://schemas.openxmlformats.org/officeDocument/2006/relationships" r:embed="rId4"/>
        <a:stretch>
          <a:fillRect/>
        </a:stretch>
      </xdr:blipFill>
      <xdr:spPr>
        <a:xfrm>
          <a:off x="9038830" y="5586017"/>
          <a:ext cx="4344006" cy="2305372"/>
        </a:xfrm>
        <a:prstGeom prst="rect">
          <a:avLst/>
        </a:prstGeom>
      </xdr:spPr>
    </xdr:pic>
    <xdr:clientData/>
  </xdr:twoCellAnchor>
  <xdr:twoCellAnchor editAs="oneCell">
    <xdr:from>
      <xdr:col>28</xdr:col>
      <xdr:colOff>0</xdr:colOff>
      <xdr:row>2</xdr:row>
      <xdr:rowOff>0</xdr:rowOff>
    </xdr:from>
    <xdr:to>
      <xdr:col>35</xdr:col>
      <xdr:colOff>409575</xdr:colOff>
      <xdr:row>34</xdr:row>
      <xdr:rowOff>57150</xdr:rowOff>
    </xdr:to>
    <xdr:pic>
      <xdr:nvPicPr>
        <xdr:cNvPr id="4" name="Picture 3">
          <a:extLst>
            <a:ext uri="{FF2B5EF4-FFF2-40B4-BE49-F238E27FC236}">
              <a16:creationId xmlns:a16="http://schemas.microsoft.com/office/drawing/2014/main" id="{225E9EB6-A77A-31B7-64E5-7919844757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373600" y="790575"/>
          <a:ext cx="4676775" cy="622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75408</xdr:colOff>
      <xdr:row>18</xdr:row>
      <xdr:rowOff>106758</xdr:rowOff>
    </xdr:from>
    <xdr:to>
      <xdr:col>13</xdr:col>
      <xdr:colOff>410767</xdr:colOff>
      <xdr:row>33</xdr:row>
      <xdr:rowOff>32147</xdr:rowOff>
    </xdr:to>
    <xdr:graphicFrame macro="">
      <xdr:nvGraphicFramePr>
        <xdr:cNvPr id="2" name="Chart 1">
          <a:extLst>
            <a:ext uri="{FF2B5EF4-FFF2-40B4-BE49-F238E27FC236}">
              <a16:creationId xmlns:a16="http://schemas.microsoft.com/office/drawing/2014/main" id="{2AAB10C4-2393-498E-A7B4-ECB45D403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184547</xdr:colOff>
      <xdr:row>45</xdr:row>
      <xdr:rowOff>47227</xdr:rowOff>
    </xdr:from>
    <xdr:to>
      <xdr:col>14</xdr:col>
      <xdr:colOff>390921</xdr:colOff>
      <xdr:row>59</xdr:row>
      <xdr:rowOff>151208</xdr:rowOff>
    </xdr:to>
    <xdr:graphicFrame macro="">
      <xdr:nvGraphicFramePr>
        <xdr:cNvPr id="4" name="Chart 3">
          <a:extLst>
            <a:ext uri="{FF2B5EF4-FFF2-40B4-BE49-F238E27FC236}">
              <a16:creationId xmlns:a16="http://schemas.microsoft.com/office/drawing/2014/main" id="{23E46509-0E22-4536-BEFD-E75F753F4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19843</xdr:colOff>
      <xdr:row>8</xdr:row>
      <xdr:rowOff>158750</xdr:rowOff>
    </xdr:from>
    <xdr:to>
      <xdr:col>18</xdr:col>
      <xdr:colOff>326872</xdr:colOff>
      <xdr:row>17</xdr:row>
      <xdr:rowOff>150996</xdr:rowOff>
    </xdr:to>
    <mc:AlternateContent xmlns:mc="http://schemas.openxmlformats.org/markup-compatibility/2006" xmlns:a14="http://schemas.microsoft.com/office/drawing/2010/main">
      <mc:Choice Requires="a14">
        <xdr:sp macro="" textlink="">
          <xdr:nvSpPr>
            <xdr:cNvPr id="6" name="Content Placeholder 2">
              <a:extLst>
                <a:ext uri="{FF2B5EF4-FFF2-40B4-BE49-F238E27FC236}">
                  <a16:creationId xmlns:a16="http://schemas.microsoft.com/office/drawing/2014/main" id="{45A2D195-ECDA-40B3-8554-D64B6FC1B845}"/>
                </a:ext>
              </a:extLst>
            </xdr:cNvPr>
            <xdr:cNvSpPr txBox="1">
              <a:spLocks/>
            </xdr:cNvSpPr>
          </xdr:nvSpPr>
          <xdr:spPr>
            <a:xfrm>
              <a:off x="7875167" y="2142191"/>
              <a:ext cx="3937734"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HPF</a:t>
              </a:r>
            </a:p>
            <a:p>
              <a:r>
                <a:rPr lang="en-US" sz="1600">
                  <a:solidFill>
                    <a:schemeClr val="tx1"/>
                  </a:solidFill>
                </a:rPr>
                <a:t>Pass-Region Gain: </a:t>
              </a:r>
              <a14:m>
                <m:oMath xmlns:m="http://schemas.openxmlformats.org/officeDocument/2006/math">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 </m:t>
                      </m:r>
                      <m:r>
                        <a:rPr lang="en-US" sz="1400" i="1">
                          <a:solidFill>
                            <a:schemeClr val="tx1"/>
                          </a:solidFill>
                          <a:latin typeface="Cambria Math" panose="02040503050406030204" pitchFamily="18" charset="0"/>
                        </a:rPr>
                        <m:t>𝑨</m:t>
                      </m:r>
                    </m:e>
                    <m:sub>
                      <m:r>
                        <a:rPr lang="en-US" sz="1400" i="1">
                          <a:solidFill>
                            <a:schemeClr val="tx1"/>
                          </a:solidFill>
                          <a:latin typeface="Cambria Math" panose="02040503050406030204" pitchFamily="18" charset="0"/>
                        </a:rPr>
                        <m:t>𝒗</m:t>
                      </m:r>
                    </m:sub>
                  </m:sSub>
                  <m:r>
                    <a:rPr lang="en-US" sz="1400" i="1">
                      <a:solidFill>
                        <a:schemeClr val="tx1"/>
                      </a:solidFill>
                      <a:latin typeface="Cambria Math" panose="02040503050406030204" pitchFamily="18" charset="0"/>
                    </a:rPr>
                    <m:t>=−</m:t>
                  </m:r>
                  <m:d>
                    <m:dPr>
                      <m:ctrlPr>
                        <a:rPr lang="en-US" sz="1400" i="1">
                          <a:solidFill>
                            <a:schemeClr val="tx1"/>
                          </a:solidFill>
                          <a:latin typeface="Cambria Math" panose="02040503050406030204" pitchFamily="18" charset="0"/>
                        </a:rPr>
                      </m:ctrlPr>
                    </m:dPr>
                    <m:e>
                      <m:f>
                        <m:fPr>
                          <m:type m:val="lin"/>
                          <m:ctrlPr>
                            <a:rPr lang="en-US" sz="1400" i="1">
                              <a:solidFill>
                                <a:schemeClr val="tx1"/>
                              </a:solidFill>
                              <a:latin typeface="Cambria Math" panose="02040503050406030204" pitchFamily="18" charset="0"/>
                            </a:rPr>
                          </m:ctrlPr>
                        </m:fPr>
                        <m:num>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𝑭</m:t>
                              </m:r>
                            </m:sub>
                          </m:sSub>
                        </m:num>
                        <m:den>
                          <m:sSub>
                            <m:sSubPr>
                              <m:ctrlPr>
                                <a:rPr lang="en-US" sz="1400" i="1">
                                  <a:solidFill>
                                    <a:schemeClr val="tx1"/>
                                  </a:solidFill>
                                  <a:latin typeface="Cambria Math" panose="02040503050406030204" pitchFamily="18" charset="0"/>
                                </a:rPr>
                              </m:ctrlPr>
                            </m:sSubPr>
                            <m:e>
                              <m:r>
                                <a:rPr lang="en-US" sz="1400" i="1">
                                  <a:solidFill>
                                    <a:schemeClr val="tx1"/>
                                  </a:solidFill>
                                  <a:latin typeface="Cambria Math" panose="02040503050406030204" pitchFamily="18" charset="0"/>
                                </a:rPr>
                                <m:t>𝑹</m:t>
                              </m:r>
                            </m:e>
                            <m:sub>
                              <m:r>
                                <a:rPr lang="en-US" sz="1400" i="1">
                                  <a:solidFill>
                                    <a:schemeClr val="tx1"/>
                                  </a:solidFill>
                                  <a:latin typeface="Cambria Math" panose="02040503050406030204" pitchFamily="18" charset="0"/>
                                </a:rPr>
                                <m:t>𝟏</m:t>
                              </m:r>
                            </m:sub>
                          </m:sSub>
                        </m:den>
                      </m:f>
                    </m:e>
                  </m:d>
                  <m:r>
                    <a:rPr lang="en-US" sz="1400" i="1">
                      <a:solidFill>
                        <a:schemeClr val="tx1"/>
                      </a:solidFill>
                      <a:latin typeface="Cambria Math" panose="02040503050406030204" pitchFamily="18" charset="0"/>
                    </a:rPr>
                    <m:t> </m:t>
                  </m:r>
                </m:oMath>
              </a14:m>
              <a:endParaRPr lang="en-US" sz="1400">
                <a:solidFill>
                  <a:schemeClr val="tx1"/>
                </a:solidFill>
              </a:endParaRPr>
            </a:p>
            <a:p>
              <a:r>
                <a:rPr lang="en-US" sz="1600">
                  <a:solidFill>
                    <a:schemeClr val="tx1"/>
                  </a:solidFill>
                </a:rPr>
                <a:t>Cutoff Frequency: </a:t>
              </a:r>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𝑓</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𝑅</m:t>
                          </m:r>
                        </m:e>
                        <m:sub>
                          <m:r>
                            <a:rPr lang="en-US" sz="1600" b="1" i="1">
                              <a:solidFill>
                                <a:schemeClr val="tx1"/>
                              </a:solidFill>
                              <a:latin typeface="Cambria Math" panose="02040503050406030204" pitchFamily="18" charset="0"/>
                            </a:rPr>
                            <m:t>𝟏</m:t>
                          </m:r>
                        </m:sub>
                      </m:sSub>
                      <m:sSub>
                        <m:sSubPr>
                          <m:ctrlPr>
                            <a:rPr lang="en-US" sz="1600" i="1">
                              <a:solidFill>
                                <a:schemeClr val="tx1"/>
                              </a:solidFill>
                              <a:latin typeface="Cambria Math" panose="02040503050406030204" pitchFamily="18" charset="0"/>
                            </a:rPr>
                          </m:ctrlPr>
                        </m:sSubPr>
                        <m:e>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400" b="0">
                <a:solidFill>
                  <a:schemeClr val="tx1"/>
                </a:solidFill>
              </a:endParaRPr>
            </a:p>
            <a:p>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𝑜𝑢𝑡</m:t>
                      </m:r>
                    </m:sub>
                  </m:sSub>
                  <m:r>
                    <a:rPr lang="en-US" sz="1400" b="0" i="1">
                      <a:solidFill>
                        <a:sysClr val="windowText" lastClr="000000"/>
                      </a:solidFill>
                      <a:latin typeface="Cambria Math" panose="02040503050406030204" pitchFamily="18" charset="0"/>
                    </a:rPr>
                    <m:t>=</m:t>
                  </m:r>
                </m:oMath>
              </a14:m>
              <a:r>
                <a:rPr lang="en-US" sz="1400">
                  <a:solidFill>
                    <a:sysClr val="windowText" lastClr="000000"/>
                  </a:solidFill>
                </a:rPr>
                <a:t> </a:t>
              </a:r>
              <a14:m>
                <m:oMath xmlns:m="http://schemas.openxmlformats.org/officeDocument/2006/math">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𝑉</m:t>
                      </m:r>
                    </m:e>
                    <m:sub>
                      <m:r>
                        <a:rPr lang="en-US" sz="1400" b="0" i="1">
                          <a:solidFill>
                            <a:sysClr val="windowText" lastClr="000000"/>
                          </a:solidFill>
                          <a:latin typeface="Cambria Math" panose="02040503050406030204" pitchFamily="18" charset="0"/>
                        </a:rPr>
                        <m:t>𝑖𝑛</m:t>
                      </m:r>
                    </m:sub>
                  </m:sSub>
                  <m:f>
                    <m:fPr>
                      <m:ctrlPr>
                        <a:rPr lang="en-US" sz="1400" i="1">
                          <a:solidFill>
                            <a:sysClr val="windowText" lastClr="000000"/>
                          </a:solidFill>
                          <a:latin typeface="Cambria Math" panose="02040503050406030204" pitchFamily="18" charset="0"/>
                        </a:rPr>
                      </m:ctrlPr>
                    </m:fPr>
                    <m:num>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𝐴</m:t>
                          </m:r>
                        </m:e>
                        <m:sub>
                          <m:r>
                            <a:rPr lang="en-US" sz="1400" b="0" i="1">
                              <a:solidFill>
                                <a:sysClr val="windowText" lastClr="000000"/>
                              </a:solidFill>
                              <a:latin typeface="Cambria Math" panose="02040503050406030204" pitchFamily="18" charset="0"/>
                            </a:rPr>
                            <m:t>𝑉</m:t>
                          </m:r>
                        </m:sub>
                      </m:sSub>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b="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b="0" i="1">
                                      <a:solidFill>
                                        <a:sysClr val="windowText" lastClr="000000"/>
                                      </a:solidFill>
                                      <a:latin typeface="Cambria Math" panose="02040503050406030204" pitchFamily="18" charset="0"/>
                                    </a:rPr>
                                    <m:t>𝑓</m:t>
                                  </m:r>
                                </m:e>
                                <m:sub>
                                  <m:r>
                                    <a:rPr lang="en-US" sz="1400" b="0" i="1">
                                      <a:solidFill>
                                        <a:sysClr val="windowText" lastClr="000000"/>
                                      </a:solidFill>
                                      <a:latin typeface="Cambria Math" panose="02040503050406030204" pitchFamily="18" charset="0"/>
                                    </a:rPr>
                                    <m:t>𝑐</m:t>
                                  </m:r>
                                </m:sub>
                              </m:sSub>
                            </m:den>
                          </m:f>
                        </m:e>
                      </m:d>
                    </m:num>
                    <m:den>
                      <m:rad>
                        <m:radPr>
                          <m:degHide m:val="on"/>
                          <m:ctrlPr>
                            <a:rPr lang="en-US" sz="1400" i="1">
                              <a:solidFill>
                                <a:sysClr val="windowText" lastClr="000000"/>
                              </a:solidFill>
                              <a:latin typeface="Cambria Math" panose="02040503050406030204" pitchFamily="18" charset="0"/>
                            </a:rPr>
                          </m:ctrlPr>
                        </m:radPr>
                        <m:deg/>
                        <m:e>
                          <m:r>
                            <a:rPr lang="en-US" sz="1400" b="0" i="1">
                              <a:solidFill>
                                <a:sysClr val="windowText" lastClr="000000"/>
                              </a:solidFill>
                              <a:latin typeface="Cambria Math" panose="02040503050406030204" pitchFamily="18" charset="0"/>
                            </a:rPr>
                            <m:t>1+</m:t>
                          </m:r>
                          <m:sSup>
                            <m:sSupPr>
                              <m:ctrlPr>
                                <a:rPr lang="en-US" sz="1400" b="0" i="1">
                                  <a:solidFill>
                                    <a:sysClr val="windowText" lastClr="000000"/>
                                  </a:solidFill>
                                  <a:latin typeface="Cambria Math" panose="02040503050406030204" pitchFamily="18" charset="0"/>
                                </a:rPr>
                              </m:ctrlPr>
                            </m:sSupPr>
                            <m:e>
                              <m:d>
                                <m:dPr>
                                  <m:ctrlPr>
                                    <a:rPr lang="en-US" sz="1400" i="1">
                                      <a:solidFill>
                                        <a:sysClr val="windowText" lastClr="000000"/>
                                      </a:solidFill>
                                      <a:latin typeface="Cambria Math" panose="02040503050406030204" pitchFamily="18" charset="0"/>
                                    </a:rPr>
                                  </m:ctrlPr>
                                </m:dPr>
                                <m:e>
                                  <m:f>
                                    <m:fPr>
                                      <m:ctrlPr>
                                        <a:rPr lang="en-US" sz="1400" i="1">
                                          <a:solidFill>
                                            <a:sysClr val="windowText" lastClr="000000"/>
                                          </a:solidFill>
                                          <a:latin typeface="Cambria Math" panose="02040503050406030204" pitchFamily="18" charset="0"/>
                                        </a:rPr>
                                      </m:ctrlPr>
                                    </m:fPr>
                                    <m:num>
                                      <m:r>
                                        <a:rPr lang="en-US" sz="1400" i="1">
                                          <a:solidFill>
                                            <a:sysClr val="windowText" lastClr="000000"/>
                                          </a:solidFill>
                                          <a:latin typeface="Cambria Math" panose="02040503050406030204" pitchFamily="18" charset="0"/>
                                        </a:rPr>
                                        <m:t>𝑓</m:t>
                                      </m:r>
                                    </m:num>
                                    <m:den>
                                      <m:sSub>
                                        <m:sSubPr>
                                          <m:ctrlPr>
                                            <a:rPr lang="en-US" sz="1400" i="1">
                                              <a:solidFill>
                                                <a:sysClr val="windowText" lastClr="000000"/>
                                              </a:solidFill>
                                              <a:latin typeface="Cambria Math" panose="02040503050406030204" pitchFamily="18" charset="0"/>
                                            </a:rPr>
                                          </m:ctrlPr>
                                        </m:sSubPr>
                                        <m:e>
                                          <m:r>
                                            <a:rPr lang="en-US" sz="1400" i="1">
                                              <a:solidFill>
                                                <a:sysClr val="windowText" lastClr="000000"/>
                                              </a:solidFill>
                                              <a:latin typeface="Cambria Math" panose="02040503050406030204" pitchFamily="18" charset="0"/>
                                            </a:rPr>
                                            <m:t>𝑓</m:t>
                                          </m:r>
                                        </m:e>
                                        <m:sub>
                                          <m:r>
                                            <a:rPr lang="en-US" sz="1400" i="1">
                                              <a:solidFill>
                                                <a:sysClr val="windowText" lastClr="000000"/>
                                              </a:solidFill>
                                              <a:latin typeface="Cambria Math" panose="02040503050406030204" pitchFamily="18" charset="0"/>
                                            </a:rPr>
                                            <m:t>𝑐</m:t>
                                          </m:r>
                                        </m:sub>
                                      </m:sSub>
                                    </m:den>
                                  </m:f>
                                </m:e>
                              </m:d>
                            </m:e>
                            <m:sup>
                              <m:r>
                                <a:rPr lang="en-US" sz="1400" b="0" i="1">
                                  <a:solidFill>
                                    <a:sysClr val="windowText" lastClr="000000"/>
                                  </a:solidFill>
                                  <a:latin typeface="Cambria Math" panose="02040503050406030204" pitchFamily="18" charset="0"/>
                                </a:rPr>
                                <m:t>2</m:t>
                              </m:r>
                            </m:sup>
                          </m:sSup>
                        </m:e>
                      </m:rad>
                    </m:den>
                  </m:f>
                </m:oMath>
              </a14:m>
              <a:endParaRPr lang="en-US" sz="1400" b="0">
                <a:solidFill>
                  <a:sysClr val="windowText" lastClr="000000"/>
                </a:solidFill>
              </a:endParaRPr>
            </a:p>
          </xdr:txBody>
        </xdr:sp>
      </mc:Choice>
      <mc:Fallback xmlns="">
        <xdr:sp macro="" textlink="">
          <xdr:nvSpPr>
            <xdr:cNvPr id="6" name="Content Placeholder 2">
              <a:extLst>
                <a:ext uri="{FF2B5EF4-FFF2-40B4-BE49-F238E27FC236}">
                  <a16:creationId xmlns:a16="http://schemas.microsoft.com/office/drawing/2014/main" id="{45A2D195-ECDA-40B3-8554-D64B6FC1B845}"/>
                </a:ext>
              </a:extLst>
            </xdr:cNvPr>
            <xdr:cNvSpPr txBox="1">
              <a:spLocks/>
            </xdr:cNvSpPr>
          </xdr:nvSpPr>
          <xdr:spPr>
            <a:xfrm>
              <a:off x="7875167" y="2142191"/>
              <a:ext cx="3937734" cy="1751570"/>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Inverting Amplifying HPF</a:t>
              </a:r>
            </a:p>
            <a:p>
              <a:r>
                <a:rPr lang="en-US" sz="1600">
                  <a:solidFill>
                    <a:schemeClr val="tx1"/>
                  </a:solidFill>
                </a:rPr>
                <a:t>Pass-Region Gain: </a:t>
              </a:r>
              <a:r>
                <a:rPr lang="en-US" sz="1400" i="0">
                  <a:solidFill>
                    <a:schemeClr val="tx1"/>
                  </a:solidFill>
                  <a:latin typeface="Cambria Math" panose="02040503050406030204" pitchFamily="18" charset="0"/>
                </a:rPr>
                <a:t>〖 𝑨〗_𝒗=−(𝑹_𝑭∕𝑹_𝟏 )  </a:t>
              </a:r>
              <a:endParaRPr lang="en-US" sz="1400">
                <a:solidFill>
                  <a:schemeClr val="tx1"/>
                </a:solidFill>
              </a:endParaRPr>
            </a:p>
            <a:p>
              <a:r>
                <a:rPr lang="en-US" sz="1600">
                  <a:solidFill>
                    <a:schemeClr val="tx1"/>
                  </a:solidFill>
                </a:rPr>
                <a:t>Cutoff Frequency: </a:t>
              </a:r>
              <a:r>
                <a:rPr lang="en-US" sz="1600" i="0">
                  <a:solidFill>
                    <a:schemeClr val="tx1"/>
                  </a:solidFill>
                  <a:latin typeface="Cambria Math" panose="02040503050406030204" pitchFamily="18" charset="0"/>
                </a:rPr>
                <a:t>𝑓_𝑐=1/(2𝜋𝑅_</a:t>
              </a:r>
              <a:r>
                <a:rPr lang="en-US" sz="1600" b="1" i="0">
                  <a:solidFill>
                    <a:schemeClr val="tx1"/>
                  </a:solidFill>
                  <a:latin typeface="Cambria Math" panose="02040503050406030204" pitchFamily="18" charset="0"/>
                </a:rPr>
                <a:t>𝟏 </a:t>
              </a:r>
              <a:r>
                <a:rPr lang="en-US" sz="1600" i="0">
                  <a:solidFill>
                    <a:schemeClr val="tx1"/>
                  </a:solidFill>
                  <a:latin typeface="Cambria Math" panose="02040503050406030204" pitchFamily="18" charset="0"/>
                </a:rPr>
                <a:t>𝐶_1 )</a:t>
              </a:r>
              <a:endParaRPr lang="en-US" sz="1400" b="0">
                <a:solidFill>
                  <a:schemeClr val="tx1"/>
                </a:solidFill>
              </a:endParaRPr>
            </a:p>
            <a:p>
              <a:r>
                <a:rPr lang="en-US" sz="1400" b="0" i="0">
                  <a:solidFill>
                    <a:sysClr val="windowText" lastClr="000000"/>
                  </a:solidFill>
                  <a:latin typeface="Cambria Math" panose="02040503050406030204" pitchFamily="18" charset="0"/>
                </a:rPr>
                <a:t>𝑉_𝑜𝑢𝑡=</a:t>
              </a:r>
              <a:r>
                <a:rPr lang="en-US" sz="1400">
                  <a:solidFill>
                    <a:sysClr val="windowText" lastClr="000000"/>
                  </a:solidFill>
                </a:rPr>
                <a:t> </a:t>
              </a:r>
              <a:r>
                <a:rPr lang="en-US" sz="1400" i="0">
                  <a:solidFill>
                    <a:sysClr val="windowText" lastClr="000000"/>
                  </a:solidFill>
                  <a:latin typeface="Cambria Math" panose="02040503050406030204" pitchFamily="18" charset="0"/>
                </a:rPr>
                <a:t>𝑉_</a:t>
              </a:r>
              <a:r>
                <a:rPr lang="en-US" sz="1400" b="0" i="0">
                  <a:solidFill>
                    <a:sysClr val="windowText" lastClr="000000"/>
                  </a:solidFill>
                  <a:latin typeface="Cambria Math" panose="02040503050406030204" pitchFamily="18" charset="0"/>
                </a:rPr>
                <a:t>𝑖𝑛 </a:t>
              </a:r>
              <a:r>
                <a:rPr lang="en-US" sz="1400" i="0">
                  <a:solidFill>
                    <a:sysClr val="windowText" lastClr="000000"/>
                  </a:solidFill>
                  <a:latin typeface="Cambria Math" panose="02040503050406030204" pitchFamily="18" charset="0"/>
                </a:rPr>
                <a:t> (</a:t>
              </a:r>
              <a:r>
                <a:rPr lang="en-US" sz="1400" b="0" i="0">
                  <a:solidFill>
                    <a:sysClr val="windowText" lastClr="000000"/>
                  </a:solidFill>
                  <a:latin typeface="Cambria Math" panose="02040503050406030204" pitchFamily="18" charset="0"/>
                </a:rPr>
                <a:t>𝐴_𝑉 (𝑓/𝑓_𝑐 ))/√(1+(</a:t>
              </a:r>
              <a:r>
                <a:rPr lang="en-US" sz="1400" i="0">
                  <a:solidFill>
                    <a:sysClr val="windowText" lastClr="000000"/>
                  </a:solidFill>
                  <a:latin typeface="Cambria Math" panose="02040503050406030204" pitchFamily="18" charset="0"/>
                </a:rPr>
                <a:t>𝑓/𝑓_𝑐 )</a:t>
              </a:r>
              <a:r>
                <a:rPr lang="en-US" sz="1400" b="0" i="0">
                  <a:solidFill>
                    <a:sysClr val="windowText" lastClr="000000"/>
                  </a:solidFill>
                  <a:latin typeface="Cambria Math" panose="02040503050406030204" pitchFamily="18" charset="0"/>
                </a:rPr>
                <a:t>^2 )</a:t>
              </a:r>
              <a:endParaRPr lang="en-US" sz="1400" b="0">
                <a:solidFill>
                  <a:sysClr val="windowText" lastClr="000000"/>
                </a:solidFill>
              </a:endParaRPr>
            </a:p>
          </xdr:txBody>
        </xdr:sp>
      </mc:Fallback>
    </mc:AlternateContent>
    <xdr:clientData/>
  </xdr:twoCellAnchor>
  <xdr:twoCellAnchor editAs="oneCell">
    <xdr:from>
      <xdr:col>11</xdr:col>
      <xdr:colOff>565547</xdr:colOff>
      <xdr:row>0</xdr:row>
      <xdr:rowOff>218281</xdr:rowOff>
    </xdr:from>
    <xdr:to>
      <xdr:col>18</xdr:col>
      <xdr:colOff>42951</xdr:colOff>
      <xdr:row>7</xdr:row>
      <xdr:rowOff>38624</xdr:rowOff>
    </xdr:to>
    <xdr:pic>
      <xdr:nvPicPr>
        <xdr:cNvPr id="7" name="Picture 6">
          <a:extLst>
            <a:ext uri="{FF2B5EF4-FFF2-40B4-BE49-F238E27FC236}">
              <a16:creationId xmlns:a16="http://schemas.microsoft.com/office/drawing/2014/main" id="{4AFB629B-45F3-43FB-912C-584F79A8F8E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213203" y="218281"/>
          <a:ext cx="3714044" cy="1608849"/>
        </a:xfrm>
        <a:prstGeom prst="rect">
          <a:avLst/>
        </a:prstGeom>
      </xdr:spPr>
    </xdr:pic>
    <xdr:clientData/>
  </xdr:twoCellAnchor>
  <xdr:twoCellAnchor>
    <xdr:from>
      <xdr:col>18</xdr:col>
      <xdr:colOff>446485</xdr:colOff>
      <xdr:row>8</xdr:row>
      <xdr:rowOff>158750</xdr:rowOff>
    </xdr:from>
    <xdr:to>
      <xdr:col>23</xdr:col>
      <xdr:colOff>112058</xdr:colOff>
      <xdr:row>15</xdr:row>
      <xdr:rowOff>83027</xdr:rowOff>
    </xdr:to>
    <mc:AlternateContent xmlns:mc="http://schemas.openxmlformats.org/markup-compatibility/2006" xmlns:a14="http://schemas.microsoft.com/office/drawing/2010/main">
      <mc:Choice Requires="a14">
        <xdr:sp macro="" textlink="">
          <xdr:nvSpPr>
            <xdr:cNvPr id="5" name="Content Placeholder 2">
              <a:extLst>
                <a:ext uri="{FF2B5EF4-FFF2-40B4-BE49-F238E27FC236}">
                  <a16:creationId xmlns:a16="http://schemas.microsoft.com/office/drawing/2014/main" id="{D57BC4F7-DF36-4B66-8694-3D5AA2D280FE}"/>
                </a:ext>
              </a:extLst>
            </xdr:cNvPr>
            <xdr:cNvSpPr txBox="1">
              <a:spLocks/>
            </xdr:cNvSpPr>
          </xdr:nvSpPr>
          <xdr:spPr>
            <a:xfrm>
              <a:off x="11932514" y="2142191"/>
              <a:ext cx="2691162" cy="1302601"/>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US" sz="1600" i="1">
                          <a:solidFill>
                            <a:schemeClr val="tx1"/>
                          </a:solidFill>
                          <a:latin typeface="Cambria Math" panose="02040503050406030204" pitchFamily="18" charset="0"/>
                        </a:rPr>
                        <m:t>𝑐</m:t>
                      </m:r>
                    </m:sub>
                  </m:sSub>
                  <m:r>
                    <a:rPr lang="en-US" sz="1600" i="1">
                      <a:solidFill>
                        <a:schemeClr val="tx1"/>
                      </a:solidFill>
                      <a:latin typeface="Cambria Math" panose="02040503050406030204" pitchFamily="18" charset="0"/>
                    </a:rPr>
                    <m:t>=</m:t>
                  </m:r>
                  <m:f>
                    <m:fPr>
                      <m:ctrlPr>
                        <a:rPr lang="en-US" sz="1600" i="1">
                          <a:solidFill>
                            <a:schemeClr val="tx1"/>
                          </a:solidFill>
                          <a:latin typeface="Cambria Math" panose="02040503050406030204" pitchFamily="18" charset="0"/>
                        </a:rPr>
                      </m:ctrlPr>
                    </m:fPr>
                    <m:num>
                      <m:r>
                        <a:rPr lang="en-US" sz="1600" i="1">
                          <a:solidFill>
                            <a:schemeClr val="tx1"/>
                          </a:solidFill>
                          <a:latin typeface="Cambria Math" panose="02040503050406030204" pitchFamily="18" charset="0"/>
                        </a:rPr>
                        <m:t>1</m:t>
                      </m:r>
                    </m:num>
                    <m:den>
                      <m:r>
                        <a:rPr lang="en-US" sz="1600" i="1">
                          <a:solidFill>
                            <a:schemeClr val="tx1"/>
                          </a:solidFill>
                          <a:latin typeface="Cambria Math" panose="02040503050406030204" pitchFamily="18" charset="0"/>
                        </a:rPr>
                        <m:t>2</m:t>
                      </m:r>
                      <m:r>
                        <a:rPr lang="en-US" sz="1600" i="1">
                          <a:solidFill>
                            <a:schemeClr val="tx1"/>
                          </a:solidFill>
                          <a:latin typeface="Cambria Math" panose="02040503050406030204" pitchFamily="18" charset="0"/>
                        </a:rPr>
                        <m:t>𝜋</m:t>
                      </m:r>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𝑓</m:t>
                          </m:r>
                          <m:r>
                            <a:rPr lang="en-US" sz="1600" i="1">
                              <a:solidFill>
                                <a:schemeClr val="tx1"/>
                              </a:solidFill>
                              <a:latin typeface="Cambria Math" panose="02040503050406030204" pitchFamily="18" charset="0"/>
                            </a:rPr>
                            <m:t>𝐶</m:t>
                          </m:r>
                        </m:e>
                        <m:sub>
                          <m:r>
                            <a:rPr lang="en-US" sz="1600" i="1">
                              <a:solidFill>
                                <a:schemeClr val="tx1"/>
                              </a:solidFill>
                              <a:latin typeface="Cambria Math" panose="02040503050406030204" pitchFamily="18" charset="0"/>
                            </a:rPr>
                            <m:t>1</m:t>
                          </m:r>
                        </m:sub>
                      </m:sSub>
                    </m:den>
                  </m:f>
                </m:oMath>
              </a14:m>
              <a:endParaRPr lang="en-US" sz="1600">
                <a:solidFill>
                  <a:schemeClr val="tx1"/>
                </a:solidFill>
              </a:endParaRPr>
            </a:p>
            <a:p>
              <a14:m>
                <m:oMath xmlns:m="http://schemas.openxmlformats.org/officeDocument/2006/math">
                  <m:sSub>
                    <m:sSubPr>
                      <m:ctrlPr>
                        <a:rPr lang="en-US" sz="1600" i="1">
                          <a:solidFill>
                            <a:schemeClr val="tx1"/>
                          </a:solidFill>
                          <a:latin typeface="Cambria Math" panose="02040503050406030204" pitchFamily="18" charset="0"/>
                        </a:rPr>
                      </m:ctrlPr>
                    </m:sSubPr>
                    <m:e>
                      <m:r>
                        <a:rPr lang="en-US" sz="1600" b="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𝑜𝑢𝑡</m:t>
                      </m:r>
                    </m:sub>
                  </m:sSub>
                  <m:r>
                    <a:rPr lang="en-US" sz="1600" b="0" i="1">
                      <a:solidFill>
                        <a:schemeClr val="tx1"/>
                      </a:solidFill>
                      <a:latin typeface="Cambria Math" panose="02040503050406030204" pitchFamily="18" charset="0"/>
                    </a:rPr>
                    <m:t>=</m:t>
                  </m:r>
                </m:oMath>
              </a14:m>
              <a:r>
                <a:rPr lang="en-US" sz="1600">
                  <a:solidFill>
                    <a:schemeClr val="tx1"/>
                  </a:solidFill>
                </a:rPr>
                <a:t> </a:t>
              </a:r>
              <a14:m>
                <m:oMath xmlns:m="http://schemas.openxmlformats.org/officeDocument/2006/math">
                  <m:sSub>
                    <m:sSubPr>
                      <m:ctrlPr>
                        <a:rPr lang="en-US" sz="160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m:t>
                      </m:r>
                      <m:r>
                        <a:rPr lang="en-US" sz="1600" i="1">
                          <a:solidFill>
                            <a:schemeClr val="tx1"/>
                          </a:solidFill>
                          <a:latin typeface="Cambria Math" panose="02040503050406030204" pitchFamily="18" charset="0"/>
                        </a:rPr>
                        <m:t>𝑉</m:t>
                      </m:r>
                    </m:e>
                    <m:sub>
                      <m:r>
                        <a:rPr lang="en-US" sz="1600" b="0" i="1">
                          <a:solidFill>
                            <a:schemeClr val="tx1"/>
                          </a:solidFill>
                          <a:latin typeface="Cambria Math" panose="02040503050406030204" pitchFamily="18" charset="0"/>
                        </a:rPr>
                        <m:t>𝑖𝑛</m:t>
                      </m:r>
                    </m:sub>
                  </m:sSub>
                  <m:f>
                    <m:fPr>
                      <m:ctrlPr>
                        <a:rPr lang="en-US" sz="1600" i="1">
                          <a:solidFill>
                            <a:schemeClr val="tx1"/>
                          </a:solidFill>
                          <a:latin typeface="Cambria Math" panose="02040503050406030204" pitchFamily="18" charset="0"/>
                        </a:rPr>
                      </m:ctrlPr>
                    </m:fPr>
                    <m:num>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𝐹</m:t>
                          </m:r>
                        </m:sub>
                      </m:sSub>
                    </m:num>
                    <m:den>
                      <m:rad>
                        <m:radPr>
                          <m:degHide m:val="on"/>
                          <m:ctrlPr>
                            <a:rPr lang="en-CA" sz="1600" b="0" i="1">
                              <a:solidFill>
                                <a:schemeClr val="tx1"/>
                              </a:solidFill>
                              <a:latin typeface="Cambria Math" panose="02040503050406030204" pitchFamily="18" charset="0"/>
                            </a:rPr>
                          </m:ctrlPr>
                        </m:radPr>
                        <m:deg/>
                        <m:e>
                          <m:sSup>
                            <m:sSupPr>
                              <m:ctrlPr>
                                <a:rPr lang="en-CA" sz="1600" b="0" i="1">
                                  <a:solidFill>
                                    <a:schemeClr val="tx1"/>
                                  </a:solidFill>
                                  <a:latin typeface="Cambria Math" panose="02040503050406030204" pitchFamily="18" charset="0"/>
                                </a:rPr>
                              </m:ctrlPr>
                            </m:sSupPr>
                            <m:e>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𝑅</m:t>
                                  </m:r>
                                </m:e>
                                <m:sub>
                                  <m:r>
                                    <a:rPr lang="en-CA" sz="1600" b="0" i="1">
                                      <a:solidFill>
                                        <a:schemeClr val="tx1"/>
                                      </a:solidFill>
                                      <a:latin typeface="Cambria Math" panose="02040503050406030204" pitchFamily="18" charset="0"/>
                                    </a:rPr>
                                    <m:t>1</m:t>
                                  </m:r>
                                </m:sub>
                              </m:sSub>
                            </m:e>
                            <m:sup>
                              <m:r>
                                <a:rPr lang="en-CA" sz="1600" b="0" i="1">
                                  <a:solidFill>
                                    <a:schemeClr val="tx1"/>
                                  </a:solidFill>
                                  <a:latin typeface="Cambria Math" panose="02040503050406030204" pitchFamily="18" charset="0"/>
                                </a:rPr>
                                <m:t>2</m:t>
                              </m:r>
                            </m:sup>
                          </m:sSup>
                          <m:r>
                            <a:rPr lang="en-CA" sz="1600" b="0" i="1">
                              <a:solidFill>
                                <a:schemeClr val="tx1"/>
                              </a:solidFill>
                              <a:latin typeface="Cambria Math" panose="02040503050406030204" pitchFamily="18" charset="0"/>
                            </a:rPr>
                            <m:t>+</m:t>
                          </m:r>
                          <m:sSup>
                            <m:sSupPr>
                              <m:ctrlPr>
                                <a:rPr lang="en-CA" sz="1600" b="0" i="1">
                                  <a:solidFill>
                                    <a:schemeClr val="tx1"/>
                                  </a:solidFill>
                                  <a:latin typeface="Cambria Math" panose="02040503050406030204" pitchFamily="18" charset="0"/>
                                </a:rPr>
                              </m:ctrlPr>
                            </m:sSupPr>
                            <m:e>
                              <m:sSub>
                                <m:sSubPr>
                                  <m:ctrlPr>
                                    <a:rPr lang="en-CA" sz="1600" b="0" i="1">
                                      <a:solidFill>
                                        <a:schemeClr val="tx1"/>
                                      </a:solidFill>
                                      <a:latin typeface="Cambria Math" panose="02040503050406030204" pitchFamily="18" charset="0"/>
                                    </a:rPr>
                                  </m:ctrlPr>
                                </m:sSubPr>
                                <m:e>
                                  <m:r>
                                    <a:rPr lang="en-CA" sz="1600" b="0" i="1">
                                      <a:solidFill>
                                        <a:schemeClr val="tx1"/>
                                      </a:solidFill>
                                      <a:latin typeface="Cambria Math" panose="02040503050406030204" pitchFamily="18" charset="0"/>
                                    </a:rPr>
                                    <m:t>𝑋</m:t>
                                  </m:r>
                                </m:e>
                                <m:sub>
                                  <m:r>
                                    <a:rPr lang="en-CA" sz="1600" b="0" i="1">
                                      <a:solidFill>
                                        <a:schemeClr val="tx1"/>
                                      </a:solidFill>
                                      <a:latin typeface="Cambria Math" panose="02040503050406030204" pitchFamily="18" charset="0"/>
                                    </a:rPr>
                                    <m:t>𝑐</m:t>
                                  </m:r>
                                </m:sub>
                              </m:sSub>
                            </m:e>
                            <m:sup>
                              <m:r>
                                <a:rPr lang="en-CA" sz="1600" b="0" i="1">
                                  <a:solidFill>
                                    <a:schemeClr val="tx1"/>
                                  </a:solidFill>
                                  <a:latin typeface="Cambria Math" panose="02040503050406030204" pitchFamily="18" charset="0"/>
                                </a:rPr>
                                <m:t>2</m:t>
                              </m:r>
                            </m:sup>
                          </m:sSup>
                        </m:e>
                      </m:rad>
                    </m:den>
                  </m:f>
                </m:oMath>
              </a14:m>
              <a:endParaRPr lang="en-US" sz="1400" b="0">
                <a:solidFill>
                  <a:schemeClr val="tx1"/>
                </a:solidFill>
              </a:endParaRPr>
            </a:p>
          </xdr:txBody>
        </xdr:sp>
      </mc:Choice>
      <mc:Fallback xmlns="">
        <xdr:sp macro="" textlink="">
          <xdr:nvSpPr>
            <xdr:cNvPr id="5" name="Content Placeholder 2">
              <a:extLst>
                <a:ext uri="{FF2B5EF4-FFF2-40B4-BE49-F238E27FC236}">
                  <a16:creationId xmlns:a16="http://schemas.microsoft.com/office/drawing/2014/main" id="{D57BC4F7-DF36-4B66-8694-3D5AA2D280FE}"/>
                </a:ext>
              </a:extLst>
            </xdr:cNvPr>
            <xdr:cNvSpPr txBox="1">
              <a:spLocks/>
            </xdr:cNvSpPr>
          </xdr:nvSpPr>
          <xdr:spPr>
            <a:xfrm>
              <a:off x="11932514" y="2142191"/>
              <a:ext cx="2691162" cy="1302601"/>
            </a:xfrm>
            <a:prstGeom prst="rect">
              <a:avLst/>
            </a:prstGeom>
            <a:solidFill>
              <a:schemeClr val="accent4">
                <a:lumMod val="20000"/>
                <a:lumOff val="80000"/>
              </a:schemeClr>
            </a:solidFill>
            <a:ln>
              <a:solidFill>
                <a:schemeClr val="accent1"/>
              </a:solidFill>
            </a:ln>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1800" b="1" kern="1200">
                  <a:solidFill>
                    <a:srgbClr val="0070C0"/>
                  </a:solidFill>
                  <a:latin typeface="+mn-lt"/>
                  <a:ea typeface="+mn-ea"/>
                  <a:cs typeface="+mn-cs"/>
                </a:rPr>
                <a:t>Capacitive Reactance</a:t>
              </a:r>
            </a:p>
            <a:p>
              <a:r>
                <a:rPr lang="en-US" sz="1600">
                  <a:solidFill>
                    <a:schemeClr val="tx1"/>
                  </a:solidFill>
                </a:rPr>
                <a:t>Reactance of C</a:t>
              </a:r>
              <a:r>
                <a:rPr lang="en-US" sz="1600" baseline="-25000">
                  <a:solidFill>
                    <a:schemeClr val="tx1"/>
                  </a:solidFill>
                </a:rPr>
                <a:t>1</a:t>
              </a:r>
              <a:r>
                <a:rPr lang="en-US" sz="1600">
                  <a:solidFill>
                    <a:schemeClr val="tx1"/>
                  </a:solidFill>
                </a:rPr>
                <a:t>: </a:t>
              </a:r>
              <a:r>
                <a:rPr lang="en-CA" sz="1600" b="0" i="0">
                  <a:solidFill>
                    <a:schemeClr val="tx1"/>
                  </a:solidFill>
                  <a:latin typeface="Cambria Math" panose="02040503050406030204" pitchFamily="18" charset="0"/>
                </a:rPr>
                <a:t>𝑋</a:t>
              </a:r>
              <a:r>
                <a:rPr lang="en-US" sz="1600" b="0" i="0">
                  <a:solidFill>
                    <a:schemeClr val="tx1"/>
                  </a:solidFill>
                  <a:latin typeface="Cambria Math" panose="02040503050406030204" pitchFamily="18" charset="0"/>
                </a:rPr>
                <a:t>_</a:t>
              </a:r>
              <a:r>
                <a:rPr lang="en-US" sz="1600" i="0">
                  <a:solidFill>
                    <a:schemeClr val="tx1"/>
                  </a:solidFill>
                  <a:latin typeface="Cambria Math" panose="02040503050406030204" pitchFamily="18" charset="0"/>
                </a:rPr>
                <a:t>𝑐=1/(2𝜋〖</a:t>
              </a:r>
              <a:r>
                <a:rPr lang="en-CA" sz="1600" b="0" i="0">
                  <a:solidFill>
                    <a:schemeClr val="tx1"/>
                  </a:solidFill>
                  <a:latin typeface="Cambria Math" panose="02040503050406030204" pitchFamily="18" charset="0"/>
                </a:rPr>
                <a:t>𝑓</a:t>
              </a:r>
              <a:r>
                <a:rPr lang="en-US" sz="1600" i="0">
                  <a:solidFill>
                    <a:schemeClr val="tx1"/>
                  </a:solidFill>
                  <a:latin typeface="Cambria Math" panose="02040503050406030204" pitchFamily="18" charset="0"/>
                </a:rPr>
                <a:t>𝐶〗_1 )</a:t>
              </a:r>
              <a:endParaRPr lang="en-US" sz="1600">
                <a:solidFill>
                  <a:schemeClr val="tx1"/>
                </a:solidFill>
              </a:endParaRPr>
            </a:p>
            <a:p>
              <a:r>
                <a:rPr lang="en-US" sz="1600" b="0" i="0">
                  <a:solidFill>
                    <a:schemeClr val="tx1"/>
                  </a:solidFill>
                  <a:latin typeface="Cambria Math" panose="02040503050406030204" pitchFamily="18" charset="0"/>
                </a:rPr>
                <a:t>𝑉_𝑜𝑢𝑡=</a:t>
              </a:r>
              <a:r>
                <a:rPr lang="en-US" sz="1600">
                  <a:solidFill>
                    <a:schemeClr val="tx1"/>
                  </a:solidFill>
                </a:rPr>
                <a:t> </a:t>
              </a:r>
              <a:r>
                <a:rPr lang="en-US" sz="160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a:t>
              </a:r>
              <a:r>
                <a:rPr lang="en-US" sz="1600" i="0">
                  <a:solidFill>
                    <a:schemeClr val="tx1"/>
                  </a:solidFill>
                  <a:latin typeface="Cambria Math" panose="02040503050406030204" pitchFamily="18" charset="0"/>
                </a:rPr>
                <a:t>𝑉〗_</a:t>
              </a:r>
              <a:r>
                <a:rPr lang="en-US" sz="1600" b="0" i="0">
                  <a:solidFill>
                    <a:schemeClr val="tx1"/>
                  </a:solidFill>
                  <a:latin typeface="Cambria Math" panose="02040503050406030204" pitchFamily="18" charset="0"/>
                </a:rPr>
                <a:t>𝑖𝑛 </a:t>
              </a:r>
              <a:r>
                <a:rPr lang="en-CA" sz="1600" b="0" i="0">
                  <a:solidFill>
                    <a:schemeClr val="tx1"/>
                  </a:solidFill>
                  <a:latin typeface="Cambria Math" panose="02040503050406030204" pitchFamily="18" charset="0"/>
                </a:rPr>
                <a:t> 𝑅_𝐹</a:t>
              </a:r>
              <a:r>
                <a:rPr lang="en-US" sz="1600" b="0" i="0">
                  <a:solidFill>
                    <a:schemeClr val="tx1"/>
                  </a:solidFill>
                  <a:latin typeface="Cambria Math" panose="02040503050406030204" pitchFamily="18" charset="0"/>
                </a:rPr>
                <a:t>/</a:t>
              </a:r>
              <a:r>
                <a:rPr lang="en-CA" sz="1600" b="0" i="0">
                  <a:solidFill>
                    <a:schemeClr val="tx1"/>
                  </a:solidFill>
                  <a:latin typeface="Cambria Math" panose="02040503050406030204" pitchFamily="18" charset="0"/>
                </a:rPr>
                <a:t>√(〖𝑅_1〗^2+〖𝑋_𝑐〗^2 )</a:t>
              </a:r>
              <a:endParaRPr lang="en-US" sz="1400" b="0">
                <a:solidFill>
                  <a:schemeClr val="tx1"/>
                </a:solidFill>
              </a:endParaRPr>
            </a:p>
          </xdr:txBody>
        </xdr:sp>
      </mc:Fallback>
    </mc:AlternateContent>
    <xdr:clientData/>
  </xdr:twoCellAnchor>
  <xdr:twoCellAnchor editAs="oneCell">
    <xdr:from>
      <xdr:col>25</xdr:col>
      <xdr:colOff>79374</xdr:colOff>
      <xdr:row>0</xdr:row>
      <xdr:rowOff>267892</xdr:rowOff>
    </xdr:from>
    <xdr:to>
      <xdr:col>32</xdr:col>
      <xdr:colOff>488949</xdr:colOff>
      <xdr:row>31</xdr:row>
      <xdr:rowOff>86029</xdr:rowOff>
    </xdr:to>
    <xdr:pic>
      <xdr:nvPicPr>
        <xdr:cNvPr id="3" name="Picture 2">
          <a:extLst>
            <a:ext uri="{FF2B5EF4-FFF2-40B4-BE49-F238E27FC236}">
              <a16:creationId xmlns:a16="http://schemas.microsoft.com/office/drawing/2014/main" id="{68F7A8CE-A0FF-15E5-AFD7-C034332C90A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805546" y="267892"/>
          <a:ext cx="4646216" cy="61694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s://www.electronics-tutorials.ws/filter/filter_5.html"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s://www.electronics-tutorials.ws/filter/filter_5.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electronics-tutorials.ws/filter/filter_2.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www.electronics-tutorials.ws/opamp/opamp_6.html"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B7F5-7BB9-4A20-B368-8B0E5F060260}">
  <sheetPr codeName="Sheet1"/>
  <dimension ref="B1:D36"/>
  <sheetViews>
    <sheetView tabSelected="1" zoomScaleNormal="100" workbookViewId="0">
      <selection activeCell="C4" sqref="C4"/>
    </sheetView>
  </sheetViews>
  <sheetFormatPr defaultColWidth="8.81640625" defaultRowHeight="14.5"/>
  <cols>
    <col min="1" max="1" width="4.26953125" style="2" customWidth="1"/>
    <col min="2" max="16384" width="8.81640625" style="2"/>
  </cols>
  <sheetData>
    <row r="1" spans="2:4" ht="46">
      <c r="B1" s="1" t="s">
        <v>60</v>
      </c>
    </row>
    <row r="2" spans="2:4">
      <c r="B2" s="2" t="s">
        <v>61</v>
      </c>
    </row>
    <row r="3" spans="2:4" ht="15" thickBot="1"/>
    <row r="4" spans="2:4" ht="15" thickBot="1">
      <c r="B4" s="2" t="s">
        <v>0</v>
      </c>
      <c r="C4" s="8">
        <v>2.5</v>
      </c>
      <c r="D4" s="2" t="s">
        <v>17</v>
      </c>
    </row>
    <row r="5" spans="2:4" ht="15" thickBot="1">
      <c r="B5" s="2" t="s">
        <v>1</v>
      </c>
      <c r="C5" s="4">
        <v>1</v>
      </c>
    </row>
    <row r="6" spans="2:4" ht="15" thickBot="1">
      <c r="B6" s="2" t="s">
        <v>25</v>
      </c>
      <c r="C6" s="4">
        <v>1</v>
      </c>
    </row>
    <row r="7" spans="2:4" ht="15" thickBot="1">
      <c r="B7" s="2" t="s">
        <v>5</v>
      </c>
      <c r="C7" s="4">
        <v>0.1</v>
      </c>
      <c r="D7" s="2" t="s">
        <v>22</v>
      </c>
    </row>
    <row r="10" spans="2:4">
      <c r="B10" s="7" t="s">
        <v>6</v>
      </c>
      <c r="C10" s="7" t="s">
        <v>2</v>
      </c>
      <c r="D10" s="7" t="s">
        <v>3</v>
      </c>
    </row>
    <row r="11" spans="2:4">
      <c r="B11" s="2">
        <v>0</v>
      </c>
      <c r="C11" s="2">
        <f t="shared" ref="C11:C36" si="0">$C$6*SIN(B11)</f>
        <v>0</v>
      </c>
      <c r="D11" s="2">
        <f t="shared" ref="D11:D36" si="1">$C$5*SIN(B11+$C$7)+$C$4</f>
        <v>2.599833416646828</v>
      </c>
    </row>
    <row r="12" spans="2:4">
      <c r="B12" s="2">
        <v>0.1</v>
      </c>
      <c r="C12" s="2">
        <f t="shared" si="0"/>
        <v>9.9833416646828155E-2</v>
      </c>
      <c r="D12" s="2">
        <f t="shared" si="1"/>
        <v>2.6986693307950613</v>
      </c>
    </row>
    <row r="13" spans="2:4">
      <c r="B13" s="2">
        <v>0.2</v>
      </c>
      <c r="C13" s="2">
        <f t="shared" si="0"/>
        <v>0.19866933079506122</v>
      </c>
      <c r="D13" s="2">
        <f t="shared" si="1"/>
        <v>2.7955202066613394</v>
      </c>
    </row>
    <row r="14" spans="2:4">
      <c r="B14" s="2">
        <v>1.2</v>
      </c>
      <c r="C14" s="2">
        <f t="shared" si="0"/>
        <v>0.93203908596722629</v>
      </c>
      <c r="D14" s="2">
        <f t="shared" si="1"/>
        <v>3.4635581854171931</v>
      </c>
    </row>
    <row r="15" spans="2:4">
      <c r="B15" s="2">
        <v>2.2000000000000002</v>
      </c>
      <c r="C15" s="2">
        <f t="shared" si="0"/>
        <v>0.80849640381959009</v>
      </c>
      <c r="D15" s="2">
        <f t="shared" si="1"/>
        <v>3.2457052121767198</v>
      </c>
    </row>
    <row r="16" spans="2:4">
      <c r="B16" s="2">
        <v>3.2</v>
      </c>
      <c r="C16" s="2">
        <f t="shared" si="0"/>
        <v>-5.8374143427580086E-2</v>
      </c>
      <c r="D16" s="2">
        <f t="shared" si="1"/>
        <v>2.3422543058567515</v>
      </c>
    </row>
    <row r="17" spans="2:4">
      <c r="B17" s="2">
        <v>4.2</v>
      </c>
      <c r="C17" s="2">
        <f t="shared" si="0"/>
        <v>-0.87157577241358819</v>
      </c>
      <c r="D17" s="2">
        <f t="shared" si="1"/>
        <v>1.5838340632505452</v>
      </c>
    </row>
    <row r="18" spans="2:4">
      <c r="B18" s="2">
        <v>5.2</v>
      </c>
      <c r="C18" s="2">
        <f t="shared" si="0"/>
        <v>-0.88345465572015314</v>
      </c>
      <c r="D18" s="2">
        <f t="shared" si="1"/>
        <v>1.6677325577760986</v>
      </c>
    </row>
    <row r="19" spans="2:4">
      <c r="B19" s="2">
        <v>6.2</v>
      </c>
      <c r="C19" s="2">
        <f t="shared" si="0"/>
        <v>-8.3089402817496397E-2</v>
      </c>
      <c r="D19" s="2">
        <f t="shared" si="1"/>
        <v>2.5168139004843497</v>
      </c>
    </row>
    <row r="20" spans="2:4">
      <c r="B20" s="2">
        <v>7.2</v>
      </c>
      <c r="C20" s="2">
        <f t="shared" si="0"/>
        <v>0.79366786384915311</v>
      </c>
      <c r="D20" s="2">
        <f t="shared" si="1"/>
        <v>3.3504366206285643</v>
      </c>
    </row>
    <row r="21" spans="2:4">
      <c r="B21" s="2">
        <v>8.1999999999999993</v>
      </c>
      <c r="C21" s="2">
        <f t="shared" si="0"/>
        <v>0.94073055667977312</v>
      </c>
      <c r="D21" s="2">
        <f t="shared" si="1"/>
        <v>3.4021718337562943</v>
      </c>
    </row>
    <row r="22" spans="2:4">
      <c r="B22" s="2">
        <v>9.1999999999999993</v>
      </c>
      <c r="C22" s="2">
        <f t="shared" si="0"/>
        <v>0.22288991410024764</v>
      </c>
      <c r="D22" s="2">
        <f t="shared" si="1"/>
        <v>2.6244544235070633</v>
      </c>
    </row>
    <row r="23" spans="2:4">
      <c r="B23" s="2">
        <v>10.199999999999999</v>
      </c>
      <c r="C23" s="2">
        <f t="shared" si="0"/>
        <v>-0.69987468759354232</v>
      </c>
      <c r="D23" s="2">
        <f t="shared" si="1"/>
        <v>1.7323141902364187</v>
      </c>
    </row>
    <row r="24" spans="2:4">
      <c r="B24" s="2">
        <v>11.2</v>
      </c>
      <c r="C24" s="2">
        <f t="shared" si="0"/>
        <v>-0.9791777291513174</v>
      </c>
      <c r="D24" s="2">
        <f t="shared" si="1"/>
        <v>1.5459807500979106</v>
      </c>
    </row>
    <row r="25" spans="2:4">
      <c r="B25" s="2">
        <v>12.2</v>
      </c>
      <c r="C25" s="2">
        <f t="shared" si="0"/>
        <v>-0.35822928223682871</v>
      </c>
      <c r="D25" s="2">
        <f t="shared" si="1"/>
        <v>2.2367682086341976</v>
      </c>
    </row>
    <row r="26" spans="2:4">
      <c r="B26" s="2">
        <v>13.2</v>
      </c>
      <c r="C26" s="2">
        <f t="shared" si="0"/>
        <v>0.59207351470722303</v>
      </c>
      <c r="D26" s="2">
        <f t="shared" si="1"/>
        <v>3.169569762196601</v>
      </c>
    </row>
    <row r="27" spans="2:4">
      <c r="B27" s="2">
        <v>14.2</v>
      </c>
      <c r="C27" s="2">
        <f t="shared" si="0"/>
        <v>0.99802665271636171</v>
      </c>
      <c r="D27" s="2">
        <f t="shared" si="1"/>
        <v>3.4867719642746136</v>
      </c>
    </row>
    <row r="28" spans="2:4">
      <c r="B28" s="2">
        <v>15.2</v>
      </c>
      <c r="C28" s="2">
        <f t="shared" si="0"/>
        <v>0.48639868885379967</v>
      </c>
      <c r="D28" s="2">
        <f t="shared" si="1"/>
        <v>2.8967405731306135</v>
      </c>
    </row>
    <row r="29" spans="2:4">
      <c r="B29" s="2">
        <v>16.2</v>
      </c>
      <c r="C29" s="2">
        <f t="shared" si="0"/>
        <v>-0.47242198639846616</v>
      </c>
      <c r="D29" s="2">
        <f t="shared" si="1"/>
        <v>1.9419477287132207</v>
      </c>
    </row>
    <row r="30" spans="2:4">
      <c r="B30" s="2">
        <v>17.2</v>
      </c>
      <c r="C30" s="2">
        <f t="shared" si="0"/>
        <v>-0.99690006604159609</v>
      </c>
      <c r="D30" s="2">
        <f t="shared" si="1"/>
        <v>1.500225568926989</v>
      </c>
    </row>
    <row r="31" spans="2:4">
      <c r="B31" s="2">
        <v>18.2</v>
      </c>
      <c r="C31" s="2">
        <f t="shared" si="0"/>
        <v>-0.60483282240628411</v>
      </c>
      <c r="D31" s="2">
        <f t="shared" si="1"/>
        <v>1.9776914103732683</v>
      </c>
    </row>
    <row r="32" spans="2:4">
      <c r="B32" s="2">
        <v>19.2</v>
      </c>
      <c r="C32" s="2">
        <f t="shared" si="0"/>
        <v>0.34331492881989539</v>
      </c>
      <c r="D32" s="2">
        <f t="shared" si="1"/>
        <v>2.9353653603728933</v>
      </c>
    </row>
    <row r="33" spans="2:4">
      <c r="B33" s="2">
        <v>20.2</v>
      </c>
      <c r="C33" s="2">
        <f t="shared" si="0"/>
        <v>0.97582051776697554</v>
      </c>
      <c r="D33" s="2">
        <f t="shared" si="1"/>
        <v>3.4927664058359071</v>
      </c>
    </row>
    <row r="34" spans="2:4">
      <c r="B34" s="2">
        <v>21.2</v>
      </c>
      <c r="C34" s="2">
        <f t="shared" si="0"/>
        <v>0.71116122290598238</v>
      </c>
      <c r="D34" s="2">
        <f t="shared" si="1"/>
        <v>3.1374225961502389</v>
      </c>
    </row>
    <row r="35" spans="2:4">
      <c r="B35" s="2">
        <v>22.2</v>
      </c>
      <c r="C35" s="2">
        <f t="shared" si="0"/>
        <v>-0.20733642060675878</v>
      </c>
      <c r="D35" s="2">
        <f t="shared" si="1"/>
        <v>2.196035391188953</v>
      </c>
    </row>
    <row r="36" spans="2:4">
      <c r="B36" s="2">
        <v>23.2</v>
      </c>
      <c r="C36" s="2">
        <f t="shared" si="0"/>
        <v>-0.93520991519453889</v>
      </c>
      <c r="D36" s="2">
        <f t="shared" si="1"/>
        <v>1.5341118457639296</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D14E0-7E96-4F07-9F79-D2BAA6D11D4C}">
  <sheetPr codeName="Sheet5"/>
  <dimension ref="B1:J35"/>
  <sheetViews>
    <sheetView zoomScale="96" zoomScaleNormal="96" workbookViewId="0">
      <selection activeCell="C2" sqref="C2"/>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5" thickBot="1">
      <c r="B1" s="1" t="s">
        <v>43</v>
      </c>
    </row>
    <row r="2" spans="2:9" ht="15" thickBot="1">
      <c r="B2" s="2" t="s">
        <v>12</v>
      </c>
      <c r="C2" s="4">
        <v>1</v>
      </c>
      <c r="D2" s="2" t="s">
        <v>16</v>
      </c>
      <c r="G2" s="6" t="s">
        <v>36</v>
      </c>
    </row>
    <row r="3" spans="2:9" ht="15" thickBot="1">
      <c r="B3" s="2" t="s">
        <v>15</v>
      </c>
      <c r="C3" s="4">
        <v>3.5</v>
      </c>
      <c r="D3" s="2" t="s">
        <v>16</v>
      </c>
      <c r="G3" s="2" t="s">
        <v>9</v>
      </c>
      <c r="H3" s="4">
        <v>10</v>
      </c>
      <c r="I3" s="2" t="s">
        <v>18</v>
      </c>
    </row>
    <row r="4" spans="2:9" ht="15" thickBot="1">
      <c r="B4" s="2" t="s">
        <v>0</v>
      </c>
      <c r="C4" s="3">
        <v>0</v>
      </c>
      <c r="D4" s="2" t="s">
        <v>17</v>
      </c>
      <c r="G4" s="2" t="s">
        <v>10</v>
      </c>
      <c r="H4" s="15">
        <v>0</v>
      </c>
      <c r="I4" s="2" t="s">
        <v>19</v>
      </c>
    </row>
    <row r="5" spans="2:9" ht="15" thickBot="1">
      <c r="B5" s="2" t="s">
        <v>1</v>
      </c>
      <c r="C5" s="3">
        <f>-C3/C2</f>
        <v>-3.5</v>
      </c>
      <c r="D5" s="2" t="s">
        <v>39</v>
      </c>
      <c r="G5" s="2" t="s">
        <v>31</v>
      </c>
      <c r="H5" s="4">
        <v>0.5</v>
      </c>
      <c r="I5" s="2" t="s">
        <v>32</v>
      </c>
    </row>
    <row r="6" spans="2:9" ht="15" thickBot="1">
      <c r="B6" s="2" t="s">
        <v>25</v>
      </c>
      <c r="C6" s="4">
        <v>1</v>
      </c>
      <c r="D6" s="2" t="s">
        <v>38</v>
      </c>
    </row>
    <row r="8" spans="2:9" ht="15" thickBot="1">
      <c r="E8" s="6" t="s">
        <v>30</v>
      </c>
      <c r="G8" s="6" t="s">
        <v>33</v>
      </c>
    </row>
    <row r="9" spans="2:9" ht="15" thickBot="1">
      <c r="B9" s="7" t="s">
        <v>6</v>
      </c>
      <c r="C9" s="7" t="s">
        <v>7</v>
      </c>
      <c r="D9" s="7" t="s">
        <v>3</v>
      </c>
      <c r="E9" s="7" t="s">
        <v>3</v>
      </c>
      <c r="G9" s="6" t="s">
        <v>29</v>
      </c>
      <c r="H9" s="4">
        <v>2.5</v>
      </c>
      <c r="I9" s="2" t="s">
        <v>17</v>
      </c>
    </row>
    <row r="10" spans="2:9">
      <c r="B10" s="2">
        <v>0</v>
      </c>
      <c r="C10" s="2">
        <f t="shared" ref="C10:C35" si="0">$C$6*SIN($B10)+1</f>
        <v>1</v>
      </c>
      <c r="D10" s="2">
        <f t="shared" ref="D10:D35" si="1">$C$5*C10</f>
        <v>-3.5</v>
      </c>
      <c r="E10" s="2">
        <f t="shared" ref="E10:E35" si="2">IF(D10&gt;($H$3-$H$5),($H$3-$H$5),IF(D10&lt;($H$4+$H$5),($H$4+$H$5),D10))</f>
        <v>0.5</v>
      </c>
      <c r="G10" s="6" t="s">
        <v>34</v>
      </c>
      <c r="H10" s="3">
        <f>IF(H9*C5&gt;($H$3-$H$5),($H$3-$H$5),IF(H9*C5&lt;($H$4+$H$5),($H$4+$H$5),H9*C5))</f>
        <v>0.5</v>
      </c>
      <c r="I10" s="2" t="s">
        <v>17</v>
      </c>
    </row>
    <row r="11" spans="2:9">
      <c r="B11" s="2">
        <v>0.1</v>
      </c>
      <c r="C11" s="2">
        <f t="shared" si="0"/>
        <v>1.0998334166468282</v>
      </c>
      <c r="D11" s="2">
        <f t="shared" si="1"/>
        <v>-3.8494169582638986</v>
      </c>
      <c r="E11" s="2">
        <f t="shared" si="2"/>
        <v>0.5</v>
      </c>
    </row>
    <row r="12" spans="2:9">
      <c r="B12" s="2">
        <v>0.2</v>
      </c>
      <c r="C12" s="2">
        <f t="shared" si="0"/>
        <v>1.1986693307950613</v>
      </c>
      <c r="D12" s="2">
        <f t="shared" si="1"/>
        <v>-4.1953426577827146</v>
      </c>
      <c r="E12" s="2">
        <f t="shared" si="2"/>
        <v>0.5</v>
      </c>
    </row>
    <row r="13" spans="2:9">
      <c r="B13" s="2">
        <v>1.2</v>
      </c>
      <c r="C13" s="2">
        <f t="shared" si="0"/>
        <v>1.9320390859672263</v>
      </c>
      <c r="D13" s="2">
        <f t="shared" si="1"/>
        <v>-6.7621368008852922</v>
      </c>
      <c r="E13" s="2">
        <f t="shared" si="2"/>
        <v>0.5</v>
      </c>
    </row>
    <row r="14" spans="2:9">
      <c r="B14" s="2">
        <v>2.2000000000000002</v>
      </c>
      <c r="C14" s="2">
        <f t="shared" si="0"/>
        <v>1.8084964038195901</v>
      </c>
      <c r="D14" s="2">
        <f t="shared" si="1"/>
        <v>-6.3297374133685658</v>
      </c>
      <c r="E14" s="2">
        <f t="shared" si="2"/>
        <v>0.5</v>
      </c>
    </row>
    <row r="15" spans="2:9">
      <c r="B15" s="2">
        <v>3.2</v>
      </c>
      <c r="C15" s="2">
        <f t="shared" si="0"/>
        <v>0.94162585657241993</v>
      </c>
      <c r="D15" s="2">
        <f t="shared" si="1"/>
        <v>-3.2956904980034696</v>
      </c>
      <c r="E15" s="2">
        <f t="shared" si="2"/>
        <v>0.5</v>
      </c>
    </row>
    <row r="16" spans="2:9">
      <c r="B16" s="2">
        <v>4.2</v>
      </c>
      <c r="C16" s="2">
        <f t="shared" si="0"/>
        <v>0.12842422758641181</v>
      </c>
      <c r="D16" s="2">
        <f t="shared" si="1"/>
        <v>-0.44948479655244133</v>
      </c>
      <c r="E16" s="2">
        <f t="shared" si="2"/>
        <v>0.5</v>
      </c>
    </row>
    <row r="17" spans="2:10">
      <c r="B17" s="2">
        <v>5.2</v>
      </c>
      <c r="C17" s="2">
        <f t="shared" si="0"/>
        <v>0.11654534427984686</v>
      </c>
      <c r="D17" s="2">
        <f t="shared" si="1"/>
        <v>-0.40790870497946402</v>
      </c>
      <c r="E17" s="2">
        <f t="shared" si="2"/>
        <v>0.5</v>
      </c>
    </row>
    <row r="18" spans="2:10">
      <c r="B18" s="2">
        <v>6.2</v>
      </c>
      <c r="C18" s="2">
        <f t="shared" si="0"/>
        <v>0.91691059718250356</v>
      </c>
      <c r="D18" s="2">
        <f t="shared" si="1"/>
        <v>-3.2091870901387622</v>
      </c>
      <c r="E18" s="2">
        <f t="shared" si="2"/>
        <v>0.5</v>
      </c>
    </row>
    <row r="19" spans="2:10">
      <c r="B19" s="2">
        <v>7.2</v>
      </c>
      <c r="C19" s="2">
        <f t="shared" si="0"/>
        <v>1.7936678638491532</v>
      </c>
      <c r="D19" s="2">
        <f t="shared" si="1"/>
        <v>-6.2778375234720363</v>
      </c>
      <c r="E19" s="2">
        <f t="shared" si="2"/>
        <v>0.5</v>
      </c>
    </row>
    <row r="20" spans="2:10">
      <c r="B20" s="2">
        <v>8.1999999999999993</v>
      </c>
      <c r="C20" s="2">
        <f t="shared" si="0"/>
        <v>1.9407305566797732</v>
      </c>
      <c r="D20" s="2">
        <f t="shared" si="1"/>
        <v>-6.7925569483792065</v>
      </c>
      <c r="E20" s="2">
        <f t="shared" si="2"/>
        <v>0.5</v>
      </c>
    </row>
    <row r="21" spans="2:10">
      <c r="B21" s="2">
        <v>9.1999999999999993</v>
      </c>
      <c r="C21" s="2">
        <f t="shared" si="0"/>
        <v>1.2228899141002476</v>
      </c>
      <c r="D21" s="2">
        <f t="shared" si="1"/>
        <v>-4.2801146993508663</v>
      </c>
      <c r="E21" s="2">
        <f t="shared" si="2"/>
        <v>0.5</v>
      </c>
    </row>
    <row r="22" spans="2:10">
      <c r="B22" s="2">
        <v>10.199999999999999</v>
      </c>
      <c r="C22" s="2">
        <f t="shared" si="0"/>
        <v>0.30012531240645768</v>
      </c>
      <c r="D22" s="2">
        <f t="shared" si="1"/>
        <v>-1.0504385934226019</v>
      </c>
      <c r="E22" s="2">
        <f t="shared" si="2"/>
        <v>0.5</v>
      </c>
    </row>
    <row r="23" spans="2:10">
      <c r="B23" s="2">
        <v>11.2</v>
      </c>
      <c r="C23" s="2">
        <f t="shared" si="0"/>
        <v>2.08222708486826E-2</v>
      </c>
      <c r="D23" s="2">
        <f t="shared" si="1"/>
        <v>-7.2877947970389101E-2</v>
      </c>
      <c r="E23" s="2">
        <f t="shared" si="2"/>
        <v>0.5</v>
      </c>
    </row>
    <row r="24" spans="2:10">
      <c r="B24" s="2">
        <v>12.2</v>
      </c>
      <c r="C24" s="2">
        <f t="shared" si="0"/>
        <v>0.64177071776317129</v>
      </c>
      <c r="D24" s="2">
        <f t="shared" si="1"/>
        <v>-2.2461975121710998</v>
      </c>
      <c r="E24" s="2">
        <f t="shared" si="2"/>
        <v>0.5</v>
      </c>
    </row>
    <row r="25" spans="2:10">
      <c r="B25" s="2">
        <v>13.2</v>
      </c>
      <c r="C25" s="2">
        <f t="shared" si="0"/>
        <v>1.5920735147072231</v>
      </c>
      <c r="D25" s="2">
        <f t="shared" si="1"/>
        <v>-5.5722573014752808</v>
      </c>
      <c r="E25" s="2">
        <f t="shared" si="2"/>
        <v>0.5</v>
      </c>
    </row>
    <row r="26" spans="2:10">
      <c r="B26" s="2">
        <v>14.2</v>
      </c>
      <c r="C26" s="2">
        <f t="shared" si="0"/>
        <v>1.9980266527163617</v>
      </c>
      <c r="D26" s="2">
        <f t="shared" si="1"/>
        <v>-6.9930932845072657</v>
      </c>
      <c r="E26" s="2">
        <f t="shared" si="2"/>
        <v>0.5</v>
      </c>
    </row>
    <row r="27" spans="2:10">
      <c r="B27" s="2">
        <v>15.2</v>
      </c>
      <c r="C27" s="2">
        <f t="shared" si="0"/>
        <v>1.4863986888537997</v>
      </c>
      <c r="D27" s="2">
        <f t="shared" si="1"/>
        <v>-5.2023954109882986</v>
      </c>
      <c r="E27" s="2">
        <f t="shared" si="2"/>
        <v>0.5</v>
      </c>
    </row>
    <row r="28" spans="2:10">
      <c r="B28" s="2">
        <v>16.2</v>
      </c>
      <c r="C28" s="2">
        <f t="shared" si="0"/>
        <v>0.52757801360153378</v>
      </c>
      <c r="D28" s="2">
        <f t="shared" si="1"/>
        <v>-1.8465230476053682</v>
      </c>
      <c r="E28" s="2">
        <f t="shared" si="2"/>
        <v>0.5</v>
      </c>
    </row>
    <row r="29" spans="2:10">
      <c r="B29" s="2">
        <v>17.2</v>
      </c>
      <c r="C29" s="2">
        <f t="shared" si="0"/>
        <v>3.0999339584039109E-3</v>
      </c>
      <c r="D29" s="2">
        <f t="shared" si="1"/>
        <v>-1.0849768854413688E-2</v>
      </c>
      <c r="E29" s="2">
        <f t="shared" si="2"/>
        <v>0.5</v>
      </c>
      <c r="G29" s="6" t="s">
        <v>65</v>
      </c>
    </row>
    <row r="30" spans="2:10">
      <c r="B30" s="2">
        <v>18.2</v>
      </c>
      <c r="C30" s="2">
        <f t="shared" si="0"/>
        <v>0.39516717759371589</v>
      </c>
      <c r="D30" s="2">
        <f t="shared" si="1"/>
        <v>-1.3830851215780056</v>
      </c>
      <c r="E30" s="2">
        <f t="shared" si="2"/>
        <v>0.5</v>
      </c>
      <c r="G30" s="12" t="s">
        <v>64</v>
      </c>
      <c r="H30" s="12">
        <f>H3</f>
        <v>10</v>
      </c>
      <c r="I30" s="12" t="s">
        <v>17</v>
      </c>
      <c r="J30" s="13" t="str">
        <f>TRIM(G30)&amp;"   "&amp;IF(H30&gt;0,"+","")&amp;TRIM(H30)&amp;" "&amp;TRIM(I30)</f>
        <v>V+:   +10 V</v>
      </c>
    </row>
    <row r="31" spans="2:10">
      <c r="B31" s="2">
        <v>19.2</v>
      </c>
      <c r="C31" s="2">
        <f t="shared" si="0"/>
        <v>1.3433149288198953</v>
      </c>
      <c r="D31" s="2">
        <f t="shared" si="1"/>
        <v>-4.7016022508696338</v>
      </c>
      <c r="E31" s="2">
        <f t="shared" si="2"/>
        <v>0.5</v>
      </c>
      <c r="G31" s="12" t="s">
        <v>66</v>
      </c>
      <c r="H31" s="12">
        <f>H4</f>
        <v>0</v>
      </c>
      <c r="I31" s="12" t="s">
        <v>17</v>
      </c>
      <c r="J31" s="13" t="str">
        <f t="shared" ref="J31:J32" si="3">TRIM(G31)&amp;"   "&amp;IF(H31&gt;0,"+","")&amp;TRIM(H31)&amp;" "&amp;TRIM(I31)</f>
        <v>V-:   0 V</v>
      </c>
    </row>
    <row r="32" spans="2:10">
      <c r="B32" s="2">
        <v>20.2</v>
      </c>
      <c r="C32" s="2">
        <f t="shared" si="0"/>
        <v>1.9758205177669756</v>
      </c>
      <c r="D32" s="2">
        <f t="shared" si="1"/>
        <v>-6.9153718121844143</v>
      </c>
      <c r="E32" s="2">
        <f t="shared" si="2"/>
        <v>0.5</v>
      </c>
      <c r="G32" s="12" t="s">
        <v>29</v>
      </c>
      <c r="H32" s="12">
        <f>H9</f>
        <v>2.5</v>
      </c>
      <c r="I32" s="12" t="s">
        <v>17</v>
      </c>
      <c r="J32" s="13" t="str">
        <f t="shared" si="3"/>
        <v>Vin:   +2.5 V</v>
      </c>
    </row>
    <row r="33" spans="2:10">
      <c r="B33" s="2">
        <v>21.2</v>
      </c>
      <c r="C33" s="2">
        <f t="shared" si="0"/>
        <v>1.7111612229059823</v>
      </c>
      <c r="D33" s="2">
        <f t="shared" si="1"/>
        <v>-5.9890642801709379</v>
      </c>
      <c r="E33" s="2">
        <f t="shared" si="2"/>
        <v>0.5</v>
      </c>
      <c r="G33" s="12" t="s">
        <v>67</v>
      </c>
      <c r="H33" s="12">
        <f>C2</f>
        <v>1</v>
      </c>
      <c r="I33" s="12" t="s">
        <v>16</v>
      </c>
      <c r="J33" s="13" t="str">
        <f>TRIM(G33)&amp;"   "&amp;TRIM(H33)&amp;" "&amp;TRIM(I33)</f>
        <v>R1:   1 K</v>
      </c>
    </row>
    <row r="34" spans="2:10">
      <c r="B34" s="2">
        <v>22.2</v>
      </c>
      <c r="C34" s="2">
        <f t="shared" si="0"/>
        <v>0.79266357939324128</v>
      </c>
      <c r="D34" s="2">
        <f t="shared" si="1"/>
        <v>-2.7743225278763446</v>
      </c>
      <c r="E34" s="2">
        <f t="shared" si="2"/>
        <v>0.5</v>
      </c>
      <c r="G34" s="12" t="s">
        <v>68</v>
      </c>
      <c r="H34" s="12">
        <f>C3</f>
        <v>3.5</v>
      </c>
      <c r="I34" s="12" t="s">
        <v>16</v>
      </c>
      <c r="J34" s="13" t="str">
        <f>TRIM(G34)&amp;"   "&amp;TRIM(H34)&amp;" "&amp;TRIM(I34)</f>
        <v>RF:   3.5 K</v>
      </c>
    </row>
    <row r="35" spans="2:10">
      <c r="B35" s="2">
        <v>23.2</v>
      </c>
      <c r="C35" s="2">
        <f t="shared" si="0"/>
        <v>6.4790084805461112E-2</v>
      </c>
      <c r="D35" s="2">
        <f t="shared" si="1"/>
        <v>-0.22676529681911389</v>
      </c>
      <c r="E35" s="2">
        <f t="shared" si="2"/>
        <v>0.5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15A3-7721-47C6-9D40-B91CF4C8E08A}">
  <sheetPr codeName="Sheet6"/>
  <dimension ref="B1:J35"/>
  <sheetViews>
    <sheetView zoomScale="96" zoomScaleNormal="96" workbookViewId="0">
      <selection activeCell="C3" sqref="C3"/>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5" thickBot="1">
      <c r="B1" s="1" t="s">
        <v>44</v>
      </c>
    </row>
    <row r="2" spans="2:9" ht="15" thickBot="1">
      <c r="B2" s="2" t="s">
        <v>12</v>
      </c>
      <c r="C2" s="4">
        <v>1</v>
      </c>
      <c r="D2" s="2" t="s">
        <v>16</v>
      </c>
      <c r="G2" s="6" t="s">
        <v>36</v>
      </c>
    </row>
    <row r="3" spans="2:9" ht="15" thickBot="1">
      <c r="B3" s="2" t="s">
        <v>15</v>
      </c>
      <c r="C3" s="4">
        <v>2</v>
      </c>
      <c r="D3" s="2" t="s">
        <v>16</v>
      </c>
      <c r="G3" s="2" t="s">
        <v>9</v>
      </c>
      <c r="H3" s="4">
        <v>10</v>
      </c>
      <c r="I3" s="2" t="s">
        <v>18</v>
      </c>
    </row>
    <row r="4" spans="2:9" ht="15" thickBot="1">
      <c r="B4" s="2" t="s">
        <v>11</v>
      </c>
      <c r="C4" s="4">
        <v>-0.5</v>
      </c>
      <c r="D4" s="2" t="s">
        <v>17</v>
      </c>
      <c r="G4" s="2" t="s">
        <v>10</v>
      </c>
      <c r="H4" s="5">
        <v>-10</v>
      </c>
      <c r="I4" s="2" t="s">
        <v>19</v>
      </c>
    </row>
    <row r="5" spans="2:9" ht="15" thickBot="1">
      <c r="B5" s="2" t="s">
        <v>0</v>
      </c>
      <c r="C5" s="3">
        <f>(1+C3/C2)*C4</f>
        <v>-1.5</v>
      </c>
      <c r="D5" s="2" t="s">
        <v>17</v>
      </c>
      <c r="G5" s="2" t="s">
        <v>31</v>
      </c>
      <c r="H5" s="4">
        <v>0</v>
      </c>
      <c r="I5" s="2" t="s">
        <v>32</v>
      </c>
    </row>
    <row r="6" spans="2:9" ht="15" thickBot="1">
      <c r="B6" s="2" t="s">
        <v>1</v>
      </c>
      <c r="C6" s="3">
        <f>-C3/C2</f>
        <v>-2</v>
      </c>
      <c r="D6" s="2" t="s">
        <v>39</v>
      </c>
    </row>
    <row r="7" spans="2:9" ht="15" thickBot="1">
      <c r="B7" s="2" t="s">
        <v>25</v>
      </c>
      <c r="C7" s="4">
        <v>1</v>
      </c>
      <c r="D7" s="2" t="s">
        <v>38</v>
      </c>
    </row>
    <row r="8" spans="2:9" ht="15" thickBot="1">
      <c r="E8" s="6" t="s">
        <v>30</v>
      </c>
      <c r="G8" s="6" t="s">
        <v>33</v>
      </c>
    </row>
    <row r="9" spans="2:9" ht="15" thickBot="1">
      <c r="B9" s="7" t="s">
        <v>6</v>
      </c>
      <c r="C9" s="7" t="s">
        <v>7</v>
      </c>
      <c r="D9" s="7" t="s">
        <v>3</v>
      </c>
      <c r="E9" s="7" t="s">
        <v>3</v>
      </c>
      <c r="G9" s="6" t="s">
        <v>29</v>
      </c>
      <c r="H9" s="4">
        <v>2.6</v>
      </c>
      <c r="I9" s="2" t="s">
        <v>17</v>
      </c>
    </row>
    <row r="10" spans="2:9">
      <c r="B10" s="2">
        <v>0</v>
      </c>
      <c r="C10" s="2">
        <f t="shared" ref="C10:C35" si="0">$C$7*SIN($B10)</f>
        <v>0</v>
      </c>
      <c r="D10" s="2">
        <f t="shared" ref="D10:D35" si="1">$C$6*C10+(1-$C$6)*$C$4</f>
        <v>-1.5</v>
      </c>
      <c r="E10" s="2">
        <f t="shared" ref="E10:E35" si="2">IF(D10&gt;($H$3-$H$5),($H$3-$H$5),IF(D10&lt;($H$4+$H$5),($H$4+$H$5),D10))</f>
        <v>-1.5</v>
      </c>
      <c r="G10" s="6" t="s">
        <v>34</v>
      </c>
      <c r="H10" s="3">
        <f>IF($C$6*H9+(1-$C$6)*$C$4&gt;($H$3-$H$5),($H$3-$H$5),IF($C$6*H9+(1-$C$6)*$C$4&lt;($H$4+$H$5),($H$4+$H$5),$C$6*H9+(1-$C$6)*$C$4))</f>
        <v>-6.7</v>
      </c>
      <c r="I10" s="2" t="s">
        <v>17</v>
      </c>
    </row>
    <row r="11" spans="2:9">
      <c r="B11" s="2">
        <v>0.1</v>
      </c>
      <c r="C11" s="2">
        <f t="shared" si="0"/>
        <v>9.9833416646828155E-2</v>
      </c>
      <c r="D11" s="2">
        <f t="shared" si="1"/>
        <v>-1.6996668332936564</v>
      </c>
      <c r="E11" s="2">
        <f t="shared" si="2"/>
        <v>-1.6996668332936564</v>
      </c>
    </row>
    <row r="12" spans="2:9">
      <c r="B12" s="2">
        <v>0.2</v>
      </c>
      <c r="C12" s="2">
        <f t="shared" si="0"/>
        <v>0.19866933079506122</v>
      </c>
      <c r="D12" s="2">
        <f t="shared" si="1"/>
        <v>-1.8973386615901224</v>
      </c>
      <c r="E12" s="2">
        <f t="shared" si="2"/>
        <v>-1.8973386615901224</v>
      </c>
    </row>
    <row r="13" spans="2:9">
      <c r="B13" s="2">
        <v>1.2</v>
      </c>
      <c r="C13" s="2">
        <f t="shared" si="0"/>
        <v>0.93203908596722629</v>
      </c>
      <c r="D13" s="2">
        <f t="shared" si="1"/>
        <v>-3.3640781719344526</v>
      </c>
      <c r="E13" s="2">
        <f t="shared" si="2"/>
        <v>-3.3640781719344526</v>
      </c>
    </row>
    <row r="14" spans="2:9">
      <c r="B14" s="2">
        <v>2.2000000000000002</v>
      </c>
      <c r="C14" s="2">
        <f t="shared" si="0"/>
        <v>0.80849640381959009</v>
      </c>
      <c r="D14" s="2">
        <f t="shared" si="1"/>
        <v>-3.1169928076391802</v>
      </c>
      <c r="E14" s="2">
        <f t="shared" si="2"/>
        <v>-3.1169928076391802</v>
      </c>
    </row>
    <row r="15" spans="2:9">
      <c r="B15" s="2">
        <v>3.2</v>
      </c>
      <c r="C15" s="2">
        <f t="shared" si="0"/>
        <v>-5.8374143427580086E-2</v>
      </c>
      <c r="D15" s="2">
        <f t="shared" si="1"/>
        <v>-1.3832517131448399</v>
      </c>
      <c r="E15" s="2">
        <f t="shared" si="2"/>
        <v>-1.3832517131448399</v>
      </c>
    </row>
    <row r="16" spans="2:9">
      <c r="B16" s="2">
        <v>4.2</v>
      </c>
      <c r="C16" s="2">
        <f t="shared" si="0"/>
        <v>-0.87157577241358819</v>
      </c>
      <c r="D16" s="2">
        <f t="shared" si="1"/>
        <v>0.24315154482717638</v>
      </c>
      <c r="E16" s="2">
        <f t="shared" si="2"/>
        <v>0.24315154482717638</v>
      </c>
    </row>
    <row r="17" spans="2:10">
      <c r="B17" s="2">
        <v>5.2</v>
      </c>
      <c r="C17" s="2">
        <f t="shared" si="0"/>
        <v>-0.88345465572015314</v>
      </c>
      <c r="D17" s="2">
        <f t="shared" si="1"/>
        <v>0.26690931144030627</v>
      </c>
      <c r="E17" s="2">
        <f t="shared" si="2"/>
        <v>0.26690931144030627</v>
      </c>
    </row>
    <row r="18" spans="2:10">
      <c r="B18" s="2">
        <v>6.2</v>
      </c>
      <c r="C18" s="2">
        <f t="shared" si="0"/>
        <v>-8.3089402817496397E-2</v>
      </c>
      <c r="D18" s="2">
        <f t="shared" si="1"/>
        <v>-1.3338211943650071</v>
      </c>
      <c r="E18" s="2">
        <f t="shared" si="2"/>
        <v>-1.3338211943650071</v>
      </c>
    </row>
    <row r="19" spans="2:10">
      <c r="B19" s="2">
        <v>7.2</v>
      </c>
      <c r="C19" s="2">
        <f t="shared" si="0"/>
        <v>0.79366786384915311</v>
      </c>
      <c r="D19" s="2">
        <f t="shared" si="1"/>
        <v>-3.0873357276983064</v>
      </c>
      <c r="E19" s="2">
        <f t="shared" si="2"/>
        <v>-3.0873357276983064</v>
      </c>
    </row>
    <row r="20" spans="2:10">
      <c r="B20" s="2">
        <v>8.1999999999999993</v>
      </c>
      <c r="C20" s="2">
        <f t="shared" si="0"/>
        <v>0.94073055667977312</v>
      </c>
      <c r="D20" s="2">
        <f t="shared" si="1"/>
        <v>-3.3814611133595465</v>
      </c>
      <c r="E20" s="2">
        <f t="shared" si="2"/>
        <v>-3.3814611133595465</v>
      </c>
    </row>
    <row r="21" spans="2:10">
      <c r="B21" s="2">
        <v>9.1999999999999993</v>
      </c>
      <c r="C21" s="2">
        <f t="shared" si="0"/>
        <v>0.22288991410024764</v>
      </c>
      <c r="D21" s="2">
        <f t="shared" si="1"/>
        <v>-1.9457798282004952</v>
      </c>
      <c r="E21" s="2">
        <f t="shared" si="2"/>
        <v>-1.9457798282004952</v>
      </c>
    </row>
    <row r="22" spans="2:10">
      <c r="B22" s="2">
        <v>10.199999999999999</v>
      </c>
      <c r="C22" s="2">
        <f t="shared" si="0"/>
        <v>-0.69987468759354232</v>
      </c>
      <c r="D22" s="2">
        <f t="shared" si="1"/>
        <v>-0.10025062481291536</v>
      </c>
      <c r="E22" s="2">
        <f t="shared" si="2"/>
        <v>-0.10025062481291536</v>
      </c>
    </row>
    <row r="23" spans="2:10">
      <c r="B23" s="2">
        <v>11.2</v>
      </c>
      <c r="C23" s="2">
        <f t="shared" si="0"/>
        <v>-0.9791777291513174</v>
      </c>
      <c r="D23" s="2">
        <f t="shared" si="1"/>
        <v>0.4583554583026348</v>
      </c>
      <c r="E23" s="2">
        <f t="shared" si="2"/>
        <v>0.4583554583026348</v>
      </c>
    </row>
    <row r="24" spans="2:10">
      <c r="B24" s="2">
        <v>12.2</v>
      </c>
      <c r="C24" s="2">
        <f t="shared" si="0"/>
        <v>-0.35822928223682871</v>
      </c>
      <c r="D24" s="2">
        <f t="shared" si="1"/>
        <v>-0.78354143552634259</v>
      </c>
      <c r="E24" s="2">
        <f t="shared" si="2"/>
        <v>-0.78354143552634259</v>
      </c>
    </row>
    <row r="25" spans="2:10">
      <c r="B25" s="2">
        <v>13.2</v>
      </c>
      <c r="C25" s="2">
        <f t="shared" si="0"/>
        <v>0.59207351470722303</v>
      </c>
      <c r="D25" s="2">
        <f t="shared" si="1"/>
        <v>-2.6841470294144463</v>
      </c>
      <c r="E25" s="2">
        <f t="shared" si="2"/>
        <v>-2.6841470294144463</v>
      </c>
    </row>
    <row r="26" spans="2:10">
      <c r="B26" s="2">
        <v>14.2</v>
      </c>
      <c r="C26" s="2">
        <f t="shared" si="0"/>
        <v>0.99802665271636171</v>
      </c>
      <c r="D26" s="2">
        <f t="shared" si="1"/>
        <v>-3.4960533054327234</v>
      </c>
      <c r="E26" s="2">
        <f t="shared" si="2"/>
        <v>-3.4960533054327234</v>
      </c>
    </row>
    <row r="27" spans="2:10">
      <c r="B27" s="2">
        <v>15.2</v>
      </c>
      <c r="C27" s="2">
        <f t="shared" si="0"/>
        <v>0.48639868885379967</v>
      </c>
      <c r="D27" s="2">
        <f t="shared" si="1"/>
        <v>-2.4727973777075993</v>
      </c>
      <c r="E27" s="2">
        <f t="shared" si="2"/>
        <v>-2.4727973777075993</v>
      </c>
    </row>
    <row r="28" spans="2:10">
      <c r="B28" s="2">
        <v>16.2</v>
      </c>
      <c r="C28" s="2">
        <f t="shared" si="0"/>
        <v>-0.47242198639846616</v>
      </c>
      <c r="D28" s="2">
        <f t="shared" si="1"/>
        <v>-0.55515602720306767</v>
      </c>
      <c r="E28" s="2">
        <f t="shared" si="2"/>
        <v>-0.55515602720306767</v>
      </c>
    </row>
    <row r="29" spans="2:10">
      <c r="B29" s="2">
        <v>17.2</v>
      </c>
      <c r="C29" s="2">
        <f t="shared" si="0"/>
        <v>-0.99690006604159609</v>
      </c>
      <c r="D29" s="2">
        <f t="shared" si="1"/>
        <v>0.49380013208319218</v>
      </c>
      <c r="E29" s="2">
        <f t="shared" si="2"/>
        <v>0.49380013208319218</v>
      </c>
      <c r="G29" s="6" t="s">
        <v>65</v>
      </c>
    </row>
    <row r="30" spans="2:10">
      <c r="B30" s="2">
        <v>18.2</v>
      </c>
      <c r="C30" s="2">
        <f t="shared" si="0"/>
        <v>-0.60483282240628411</v>
      </c>
      <c r="D30" s="2">
        <f t="shared" si="1"/>
        <v>-0.29033435518743178</v>
      </c>
      <c r="E30" s="2">
        <f t="shared" si="2"/>
        <v>-0.29033435518743178</v>
      </c>
      <c r="G30" s="12" t="s">
        <v>64</v>
      </c>
      <c r="H30" s="12">
        <f>H3</f>
        <v>10</v>
      </c>
      <c r="I30" s="12" t="s">
        <v>17</v>
      </c>
      <c r="J30" s="13" t="str">
        <f>TRIM(G30)&amp;"   "&amp;IF(H30&gt;0,"+","")&amp;TRIM(H30)&amp;" "&amp;TRIM(I30)</f>
        <v>V+:   +10 V</v>
      </c>
    </row>
    <row r="31" spans="2:10">
      <c r="B31" s="2">
        <v>19.2</v>
      </c>
      <c r="C31" s="2">
        <f t="shared" si="0"/>
        <v>0.34331492881989539</v>
      </c>
      <c r="D31" s="2">
        <f t="shared" si="1"/>
        <v>-2.1866298576397907</v>
      </c>
      <c r="E31" s="2">
        <f t="shared" si="2"/>
        <v>-2.1866298576397907</v>
      </c>
      <c r="G31" s="12" t="s">
        <v>66</v>
      </c>
      <c r="H31" s="12">
        <f>H4</f>
        <v>-10</v>
      </c>
      <c r="I31" s="12" t="s">
        <v>17</v>
      </c>
      <c r="J31" s="13" t="str">
        <f t="shared" ref="J31:J33" si="3">TRIM(G31)&amp;"   "&amp;IF(H31&gt;0,"+","")&amp;TRIM(H31)&amp;" "&amp;TRIM(I31)</f>
        <v>V-:   -10 V</v>
      </c>
    </row>
    <row r="32" spans="2:10">
      <c r="B32" s="2">
        <v>20.2</v>
      </c>
      <c r="C32" s="2">
        <f t="shared" si="0"/>
        <v>0.97582051776697554</v>
      </c>
      <c r="D32" s="2">
        <f t="shared" si="1"/>
        <v>-3.4516410355339513</v>
      </c>
      <c r="E32" s="2">
        <f t="shared" si="2"/>
        <v>-3.4516410355339513</v>
      </c>
      <c r="G32" s="12" t="s">
        <v>29</v>
      </c>
      <c r="H32" s="12">
        <f>H9</f>
        <v>2.6</v>
      </c>
      <c r="I32" s="12" t="s">
        <v>17</v>
      </c>
      <c r="J32" s="13" t="str">
        <f t="shared" si="3"/>
        <v>Vin:   +2.6 V</v>
      </c>
    </row>
    <row r="33" spans="2:10">
      <c r="B33" s="2">
        <v>21.2</v>
      </c>
      <c r="C33" s="2">
        <f t="shared" si="0"/>
        <v>0.71116122290598238</v>
      </c>
      <c r="D33" s="2">
        <f t="shared" si="1"/>
        <v>-2.9223224458119645</v>
      </c>
      <c r="E33" s="2">
        <f t="shared" si="2"/>
        <v>-2.9223224458119645</v>
      </c>
      <c r="G33" s="12" t="s">
        <v>69</v>
      </c>
      <c r="H33" s="12">
        <f>C4</f>
        <v>-0.5</v>
      </c>
      <c r="I33" s="12" t="s">
        <v>17</v>
      </c>
      <c r="J33" s="13" t="str">
        <f t="shared" si="3"/>
        <v>Vb:   -0.5 V</v>
      </c>
    </row>
    <row r="34" spans="2:10">
      <c r="B34" s="2">
        <v>22.2</v>
      </c>
      <c r="C34" s="2">
        <f t="shared" si="0"/>
        <v>-0.20733642060675878</v>
      </c>
      <c r="D34" s="2">
        <f t="shared" si="1"/>
        <v>-1.0853271587864826</v>
      </c>
      <c r="E34" s="2">
        <f t="shared" si="2"/>
        <v>-1.0853271587864826</v>
      </c>
      <c r="G34" s="12" t="s">
        <v>67</v>
      </c>
      <c r="H34" s="12">
        <f>C2</f>
        <v>1</v>
      </c>
      <c r="I34" s="12" t="s">
        <v>16</v>
      </c>
      <c r="J34" s="13" t="str">
        <f>TRIM(G34)&amp;"   "&amp;TRIM(H34)&amp;" "&amp;TRIM(I34)</f>
        <v>R1:   1 K</v>
      </c>
    </row>
    <row r="35" spans="2:10">
      <c r="B35" s="2">
        <v>23.2</v>
      </c>
      <c r="C35" s="2">
        <f t="shared" si="0"/>
        <v>-0.93520991519453889</v>
      </c>
      <c r="D35" s="2">
        <f t="shared" si="1"/>
        <v>0.37041983038907778</v>
      </c>
      <c r="E35" s="2">
        <f t="shared" si="2"/>
        <v>0.37041983038907778</v>
      </c>
      <c r="G35" s="12" t="s">
        <v>68</v>
      </c>
      <c r="H35" s="12">
        <f>C3</f>
        <v>2</v>
      </c>
      <c r="I35" s="12" t="s">
        <v>16</v>
      </c>
      <c r="J35" s="13" t="str">
        <f>TRIM(G35)&amp;"   "&amp;TRIM(H35)&amp;" "&amp;TRIM(I35)</f>
        <v>RF:   2 K</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CD9BF-0F6E-4A4D-9A74-74057F0FF1D7}">
  <dimension ref="B1:S35"/>
  <sheetViews>
    <sheetView zoomScale="99" zoomScaleNormal="99" workbookViewId="0">
      <selection activeCell="H3" sqref="H3"/>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53" thickBot="1">
      <c r="B1" s="1" t="s">
        <v>266</v>
      </c>
    </row>
    <row r="2" spans="2:9" ht="15" thickBot="1">
      <c r="B2" s="2" t="s">
        <v>12</v>
      </c>
      <c r="C2" s="4">
        <v>1</v>
      </c>
      <c r="D2" s="2" t="s">
        <v>16</v>
      </c>
      <c r="G2" s="6" t="s">
        <v>36</v>
      </c>
    </row>
    <row r="3" spans="2:9" ht="15" thickBot="1">
      <c r="B3" s="2" t="s">
        <v>15</v>
      </c>
      <c r="C3" s="4">
        <v>5</v>
      </c>
      <c r="D3" s="2" t="s">
        <v>16</v>
      </c>
      <c r="G3" s="2" t="s">
        <v>9</v>
      </c>
      <c r="H3" s="4">
        <v>5</v>
      </c>
      <c r="I3" s="2" t="s">
        <v>18</v>
      </c>
    </row>
    <row r="4" spans="2:9" ht="15" thickBot="1">
      <c r="B4" s="2" t="s">
        <v>11</v>
      </c>
      <c r="C4" s="3">
        <f>H3/2</f>
        <v>2.5</v>
      </c>
      <c r="D4" s="2" t="s">
        <v>259</v>
      </c>
      <c r="G4" s="2" t="s">
        <v>10</v>
      </c>
      <c r="H4" s="5">
        <v>0</v>
      </c>
      <c r="I4" s="2" t="s">
        <v>19</v>
      </c>
    </row>
    <row r="5" spans="2:9" ht="15" thickBot="1">
      <c r="B5" s="2" t="s">
        <v>0</v>
      </c>
      <c r="C5" s="3">
        <f>(1+C3/C2)*C4</f>
        <v>15</v>
      </c>
      <c r="D5" s="2" t="s">
        <v>17</v>
      </c>
      <c r="G5" s="2" t="s">
        <v>31</v>
      </c>
      <c r="H5" s="4">
        <v>0</v>
      </c>
      <c r="I5" s="2" t="s">
        <v>32</v>
      </c>
    </row>
    <row r="6" spans="2:9" ht="15" thickBot="1">
      <c r="B6" s="2" t="s">
        <v>1</v>
      </c>
      <c r="C6" s="3">
        <f>-C3/C2</f>
        <v>-5</v>
      </c>
      <c r="D6" s="2" t="s">
        <v>39</v>
      </c>
    </row>
    <row r="7" spans="2:9" ht="15" thickBot="1">
      <c r="B7" s="2" t="s">
        <v>25</v>
      </c>
      <c r="C7" s="4">
        <v>0.1</v>
      </c>
      <c r="D7" s="2" t="s">
        <v>265</v>
      </c>
    </row>
    <row r="8" spans="2:9" ht="15" thickBot="1">
      <c r="E8" s="6" t="s">
        <v>30</v>
      </c>
      <c r="G8" s="6" t="s">
        <v>33</v>
      </c>
    </row>
    <row r="9" spans="2:9" ht="15" thickBot="1">
      <c r="B9" s="7" t="s">
        <v>6</v>
      </c>
      <c r="C9" s="7" t="s">
        <v>7</v>
      </c>
      <c r="D9" s="7" t="s">
        <v>3</v>
      </c>
      <c r="E9" s="7" t="s">
        <v>3</v>
      </c>
      <c r="G9" s="6" t="s">
        <v>29</v>
      </c>
      <c r="H9" s="4">
        <v>2.6</v>
      </c>
      <c r="I9" s="2" t="s">
        <v>17</v>
      </c>
    </row>
    <row r="10" spans="2:9">
      <c r="B10" s="2">
        <v>0</v>
      </c>
      <c r="C10" s="2">
        <f>$C$7*SIN($B10)+$C$4</f>
        <v>2.5</v>
      </c>
      <c r="D10" s="2">
        <f t="shared" ref="D10:D35" si="0">$C$6*C10+(1-$C$6)*$C$4</f>
        <v>2.5</v>
      </c>
      <c r="E10" s="2">
        <f t="shared" ref="E10:E35" si="1">IF(D10&gt;($H$3-$H$5),($H$3-$H$5),IF(D10&lt;($H$4+$H$5),($H$4+$H$5),D10))</f>
        <v>2.5</v>
      </c>
      <c r="G10" s="6" t="s">
        <v>34</v>
      </c>
      <c r="H10" s="3">
        <f>IF($C$6*H9+(1-$C$6)*$C$4&gt;($H$3-$H$5),($H$3-$H$5),IF($C$6*H9+(1-$C$6)*$C$4&lt;($H$4+$H$5),($H$4+$H$5),$C$6*H9+(1-$C$6)*$C$4))</f>
        <v>2</v>
      </c>
      <c r="I10" s="2" t="s">
        <v>17</v>
      </c>
    </row>
    <row r="11" spans="2:9">
      <c r="B11" s="2">
        <v>0.1</v>
      </c>
      <c r="C11" s="2">
        <f t="shared" ref="C11:C35" si="2">$C$7*SIN($B11)+$C$4</f>
        <v>2.5099833416646828</v>
      </c>
      <c r="D11" s="2">
        <f t="shared" si="0"/>
        <v>2.4500832916765862</v>
      </c>
      <c r="E11" s="2">
        <f t="shared" si="1"/>
        <v>2.4500832916765862</v>
      </c>
    </row>
    <row r="12" spans="2:9">
      <c r="B12" s="2">
        <v>0.2</v>
      </c>
      <c r="C12" s="2">
        <f t="shared" si="2"/>
        <v>2.519866933079506</v>
      </c>
      <c r="D12" s="2">
        <f t="shared" si="0"/>
        <v>2.4006653346024702</v>
      </c>
      <c r="E12" s="2">
        <f t="shared" si="1"/>
        <v>2.4006653346024702</v>
      </c>
    </row>
    <row r="13" spans="2:9">
      <c r="B13" s="2">
        <v>1.2</v>
      </c>
      <c r="C13" s="2">
        <f t="shared" si="2"/>
        <v>2.5932039085967227</v>
      </c>
      <c r="D13" s="2">
        <f t="shared" si="0"/>
        <v>2.0339804570163871</v>
      </c>
      <c r="E13" s="2">
        <f t="shared" si="1"/>
        <v>2.0339804570163871</v>
      </c>
    </row>
    <row r="14" spans="2:9">
      <c r="B14" s="2">
        <v>2.2000000000000002</v>
      </c>
      <c r="C14" s="2">
        <f t="shared" si="2"/>
        <v>2.5808496403819592</v>
      </c>
      <c r="D14" s="2">
        <f t="shared" si="0"/>
        <v>2.0957517980902036</v>
      </c>
      <c r="E14" s="2">
        <f t="shared" si="1"/>
        <v>2.0957517980902036</v>
      </c>
    </row>
    <row r="15" spans="2:9">
      <c r="B15" s="2">
        <v>3.2</v>
      </c>
      <c r="C15" s="2">
        <f t="shared" si="2"/>
        <v>2.494162585657242</v>
      </c>
      <c r="D15" s="2">
        <f t="shared" si="0"/>
        <v>2.529187071713789</v>
      </c>
      <c r="E15" s="2">
        <f t="shared" si="1"/>
        <v>2.529187071713789</v>
      </c>
    </row>
    <row r="16" spans="2:9">
      <c r="B16" s="2">
        <v>4.2</v>
      </c>
      <c r="C16" s="2">
        <f t="shared" si="2"/>
        <v>2.4128424227586414</v>
      </c>
      <c r="D16" s="2">
        <f t="shared" si="0"/>
        <v>2.9357878862067928</v>
      </c>
      <c r="E16" s="2">
        <f t="shared" si="1"/>
        <v>2.9357878862067928</v>
      </c>
    </row>
    <row r="17" spans="2:19">
      <c r="B17" s="2">
        <v>5.2</v>
      </c>
      <c r="C17" s="2">
        <f t="shared" si="2"/>
        <v>2.4116545344279845</v>
      </c>
      <c r="D17" s="2">
        <f t="shared" si="0"/>
        <v>2.9417273278600771</v>
      </c>
      <c r="E17" s="2">
        <f t="shared" si="1"/>
        <v>2.9417273278600771</v>
      </c>
    </row>
    <row r="18" spans="2:19">
      <c r="B18" s="2">
        <v>6.2</v>
      </c>
      <c r="C18" s="2">
        <f t="shared" si="2"/>
        <v>2.4916910597182502</v>
      </c>
      <c r="D18" s="2">
        <f t="shared" si="0"/>
        <v>2.5415447014087498</v>
      </c>
      <c r="E18" s="2">
        <f t="shared" si="1"/>
        <v>2.5415447014087498</v>
      </c>
    </row>
    <row r="19" spans="2:19">
      <c r="B19" s="2">
        <v>7.2</v>
      </c>
      <c r="C19" s="2">
        <f t="shared" si="2"/>
        <v>2.5793667863849152</v>
      </c>
      <c r="D19" s="2">
        <f t="shared" si="0"/>
        <v>2.1031660680754243</v>
      </c>
      <c r="E19" s="2">
        <f t="shared" si="1"/>
        <v>2.1031660680754243</v>
      </c>
    </row>
    <row r="20" spans="2:19">
      <c r="B20" s="2">
        <v>8.1999999999999993</v>
      </c>
      <c r="C20" s="2">
        <f t="shared" si="2"/>
        <v>2.5940730556679772</v>
      </c>
      <c r="D20" s="2">
        <f t="shared" si="0"/>
        <v>2.0296347216601145</v>
      </c>
      <c r="E20" s="2">
        <f t="shared" si="1"/>
        <v>2.0296347216601145</v>
      </c>
    </row>
    <row r="21" spans="2:19">
      <c r="B21" s="2">
        <v>9.1999999999999993</v>
      </c>
      <c r="C21" s="2">
        <f t="shared" si="2"/>
        <v>2.5222889914100248</v>
      </c>
      <c r="D21" s="2">
        <f t="shared" si="0"/>
        <v>2.388555042949875</v>
      </c>
      <c r="E21" s="2">
        <f t="shared" si="1"/>
        <v>2.388555042949875</v>
      </c>
    </row>
    <row r="22" spans="2:19">
      <c r="B22" s="2">
        <v>10.199999999999999</v>
      </c>
      <c r="C22" s="2">
        <f t="shared" si="2"/>
        <v>2.4300125312406458</v>
      </c>
      <c r="D22" s="2">
        <f t="shared" si="0"/>
        <v>2.8499373437967712</v>
      </c>
      <c r="E22" s="2">
        <f t="shared" si="1"/>
        <v>2.8499373437967712</v>
      </c>
    </row>
    <row r="23" spans="2:19">
      <c r="B23" s="2">
        <v>11.2</v>
      </c>
      <c r="C23" s="2">
        <f t="shared" si="2"/>
        <v>2.4020822270848683</v>
      </c>
      <c r="D23" s="2">
        <f t="shared" si="0"/>
        <v>2.9895888645756585</v>
      </c>
      <c r="E23" s="2">
        <f t="shared" si="1"/>
        <v>2.9895888645756585</v>
      </c>
    </row>
    <row r="24" spans="2:19">
      <c r="B24" s="2">
        <v>12.2</v>
      </c>
      <c r="C24" s="2">
        <f t="shared" si="2"/>
        <v>2.4641770717763172</v>
      </c>
      <c r="D24" s="2">
        <f t="shared" si="0"/>
        <v>2.6791146411184137</v>
      </c>
      <c r="E24" s="2">
        <f t="shared" si="1"/>
        <v>2.6791146411184137</v>
      </c>
    </row>
    <row r="25" spans="2:19">
      <c r="B25" s="2">
        <v>13.2</v>
      </c>
      <c r="C25" s="2">
        <f t="shared" si="2"/>
        <v>2.5592073514707221</v>
      </c>
      <c r="D25" s="2">
        <f t="shared" si="0"/>
        <v>2.20396324264639</v>
      </c>
      <c r="E25" s="2">
        <f t="shared" si="1"/>
        <v>2.20396324264639</v>
      </c>
    </row>
    <row r="26" spans="2:19">
      <c r="B26" s="2">
        <v>14.2</v>
      </c>
      <c r="C26" s="2">
        <f t="shared" si="2"/>
        <v>2.5998026652716364</v>
      </c>
      <c r="D26" s="2">
        <f t="shared" si="0"/>
        <v>2.0009866736418189</v>
      </c>
      <c r="E26" s="2">
        <f t="shared" si="1"/>
        <v>2.0009866736418189</v>
      </c>
      <c r="S26" s="6" t="s">
        <v>269</v>
      </c>
    </row>
    <row r="27" spans="2:19">
      <c r="B27" s="2">
        <v>15.2</v>
      </c>
      <c r="C27" s="2">
        <f t="shared" si="2"/>
        <v>2.5486398688853802</v>
      </c>
      <c r="D27" s="2">
        <f t="shared" si="0"/>
        <v>2.2568006555730982</v>
      </c>
      <c r="E27" s="2">
        <f t="shared" si="1"/>
        <v>2.2568006555730982</v>
      </c>
    </row>
    <row r="28" spans="2:19">
      <c r="B28" s="2">
        <v>16.2</v>
      </c>
      <c r="C28" s="2">
        <f t="shared" si="2"/>
        <v>2.4527578013601534</v>
      </c>
      <c r="D28" s="2">
        <f t="shared" si="0"/>
        <v>2.7362109931992329</v>
      </c>
      <c r="E28" s="2">
        <f t="shared" si="1"/>
        <v>2.7362109931992329</v>
      </c>
      <c r="N28" s="2" t="s">
        <v>260</v>
      </c>
    </row>
    <row r="29" spans="2:19">
      <c r="B29" s="2">
        <v>17.2</v>
      </c>
      <c r="C29" s="2">
        <f t="shared" si="2"/>
        <v>2.4003099933958403</v>
      </c>
      <c r="D29" s="2">
        <f t="shared" si="0"/>
        <v>2.9984500330207986</v>
      </c>
      <c r="E29" s="2">
        <f t="shared" si="1"/>
        <v>2.9984500330207986</v>
      </c>
      <c r="G29" s="6" t="s">
        <v>65</v>
      </c>
    </row>
    <row r="30" spans="2:19">
      <c r="B30" s="2">
        <v>18.2</v>
      </c>
      <c r="C30" s="2">
        <f t="shared" si="2"/>
        <v>2.4395167177593717</v>
      </c>
      <c r="D30" s="2">
        <f t="shared" si="0"/>
        <v>2.8024164112031418</v>
      </c>
      <c r="E30" s="2">
        <f t="shared" si="1"/>
        <v>2.8024164112031418</v>
      </c>
      <c r="G30" s="12" t="s">
        <v>64</v>
      </c>
      <c r="H30" s="12">
        <f>H3</f>
        <v>5</v>
      </c>
      <c r="I30" s="12" t="s">
        <v>17</v>
      </c>
      <c r="J30" s="13" t="str">
        <f>TRIM(G30)&amp;"   "&amp;IF(H30&gt;0,"+","")&amp;TRIM(H30)&amp;" "&amp;TRIM(I30)</f>
        <v>V+:   +5 V</v>
      </c>
      <c r="N30" s="6" t="s">
        <v>261</v>
      </c>
    </row>
    <row r="31" spans="2:19">
      <c r="B31" s="2">
        <v>19.2</v>
      </c>
      <c r="C31" s="2">
        <f t="shared" si="2"/>
        <v>2.5343314928819893</v>
      </c>
      <c r="D31" s="2">
        <f t="shared" si="0"/>
        <v>2.3283425355900533</v>
      </c>
      <c r="E31" s="2">
        <f t="shared" si="1"/>
        <v>2.3283425355900533</v>
      </c>
      <c r="G31" s="12" t="s">
        <v>66</v>
      </c>
      <c r="H31" s="12">
        <f>H4</f>
        <v>0</v>
      </c>
      <c r="I31" s="12" t="s">
        <v>17</v>
      </c>
      <c r="J31" s="13" t="str">
        <f t="shared" ref="J31:J33" si="3">TRIM(G31)&amp;"   "&amp;IF(H31&gt;0,"+","")&amp;TRIM(H31)&amp;" "&amp;TRIM(I31)</f>
        <v>V-:   0 V</v>
      </c>
      <c r="N31" s="2" t="s">
        <v>268</v>
      </c>
    </row>
    <row r="32" spans="2:19">
      <c r="B32" s="2">
        <v>20.2</v>
      </c>
      <c r="C32" s="2">
        <f t="shared" si="2"/>
        <v>2.5975820517766977</v>
      </c>
      <c r="D32" s="2">
        <f t="shared" si="0"/>
        <v>2.0120897411165117</v>
      </c>
      <c r="E32" s="2">
        <f t="shared" si="1"/>
        <v>2.0120897411165117</v>
      </c>
      <c r="G32" s="12" t="s">
        <v>29</v>
      </c>
      <c r="H32" s="12">
        <f>H9</f>
        <v>2.6</v>
      </c>
      <c r="I32" s="12" t="s">
        <v>17</v>
      </c>
      <c r="J32" s="13" t="str">
        <f t="shared" si="3"/>
        <v>Vin:   +2.6 V</v>
      </c>
      <c r="N32" s="2" t="s">
        <v>263</v>
      </c>
    </row>
    <row r="33" spans="2:14">
      <c r="B33" s="2">
        <v>21.2</v>
      </c>
      <c r="C33" s="2">
        <f t="shared" si="2"/>
        <v>2.571116122290598</v>
      </c>
      <c r="D33" s="2">
        <f t="shared" si="0"/>
        <v>2.1444193885470106</v>
      </c>
      <c r="E33" s="2">
        <f t="shared" si="1"/>
        <v>2.1444193885470106</v>
      </c>
      <c r="G33" s="12" t="s">
        <v>69</v>
      </c>
      <c r="H33" s="12">
        <f>C4</f>
        <v>2.5</v>
      </c>
      <c r="I33" s="12" t="s">
        <v>17</v>
      </c>
      <c r="J33" s="13" t="str">
        <f t="shared" si="3"/>
        <v>Vb:   +2.5 V</v>
      </c>
      <c r="N33" s="2" t="s">
        <v>264</v>
      </c>
    </row>
    <row r="34" spans="2:14">
      <c r="B34" s="2">
        <v>22.2</v>
      </c>
      <c r="C34" s="2">
        <f t="shared" si="2"/>
        <v>2.4792663579393239</v>
      </c>
      <c r="D34" s="2">
        <f t="shared" si="0"/>
        <v>2.6036682103033808</v>
      </c>
      <c r="E34" s="2">
        <f t="shared" si="1"/>
        <v>2.6036682103033808</v>
      </c>
      <c r="G34" s="12" t="s">
        <v>67</v>
      </c>
      <c r="H34" s="12">
        <f>C2</f>
        <v>1</v>
      </c>
      <c r="I34" s="12" t="s">
        <v>16</v>
      </c>
      <c r="J34" s="13" t="str">
        <f>TRIM(G34)&amp;"   "&amp;TRIM(H34)&amp;" "&amp;TRIM(I34)</f>
        <v>R1:   1 K</v>
      </c>
    </row>
    <row r="35" spans="2:14">
      <c r="B35" s="2">
        <v>23.2</v>
      </c>
      <c r="C35" s="2">
        <f t="shared" si="2"/>
        <v>2.4064790084805461</v>
      </c>
      <c r="D35" s="2">
        <f t="shared" si="0"/>
        <v>2.9676049575972705</v>
      </c>
      <c r="E35" s="2">
        <f t="shared" si="1"/>
        <v>2.9676049575972705</v>
      </c>
      <c r="G35" s="12" t="s">
        <v>68</v>
      </c>
      <c r="H35" s="12">
        <f>C3</f>
        <v>5</v>
      </c>
      <c r="I35" s="12" t="s">
        <v>16</v>
      </c>
      <c r="J35" s="13" t="str">
        <f>TRIM(G35)&amp;"   "&amp;TRIM(H35)&amp;" "&amp;TRIM(I35)</f>
        <v>RF:   5 K</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527CD-D223-4E26-840B-6CB894B1F131}">
  <sheetPr codeName="Sheet7"/>
  <dimension ref="B1:L35"/>
  <sheetViews>
    <sheetView zoomScale="96" zoomScaleNormal="96" workbookViewId="0">
      <selection activeCell="H3" sqref="H3"/>
    </sheetView>
  </sheetViews>
  <sheetFormatPr defaultColWidth="9.1796875" defaultRowHeight="14.5"/>
  <cols>
    <col min="1" max="1" width="5.1796875" style="2" customWidth="1"/>
    <col min="2" max="4" width="9.1796875" style="2"/>
    <col min="5" max="5" width="11.81640625" style="2" customWidth="1"/>
    <col min="6" max="6" width="9.1796875" style="2"/>
    <col min="7" max="7" width="13.7265625" style="2" customWidth="1"/>
    <col min="8" max="9" width="9.1796875" style="2"/>
    <col min="10" max="10" width="11.1796875" style="2" customWidth="1"/>
    <col min="11" max="16384" width="9.1796875" style="2"/>
  </cols>
  <sheetData>
    <row r="1" spans="2:12" ht="46">
      <c r="B1" s="1" t="s">
        <v>44</v>
      </c>
    </row>
    <row r="2" spans="2:12" ht="15" thickBot="1">
      <c r="B2" s="2" t="s">
        <v>12</v>
      </c>
      <c r="C2" s="3">
        <v>1</v>
      </c>
      <c r="D2" s="2" t="s">
        <v>16</v>
      </c>
      <c r="G2" s="6" t="s">
        <v>63</v>
      </c>
      <c r="J2" s="6" t="s">
        <v>36</v>
      </c>
    </row>
    <row r="3" spans="2:12" ht="15" thickBot="1">
      <c r="B3" s="2" t="s">
        <v>15</v>
      </c>
      <c r="C3" s="3">
        <f>-C6*C2</f>
        <v>2.5</v>
      </c>
      <c r="D3" s="2" t="s">
        <v>16</v>
      </c>
      <c r="G3" s="2" t="s">
        <v>24</v>
      </c>
      <c r="H3" s="4">
        <v>-2</v>
      </c>
      <c r="I3" s="2" t="s">
        <v>17</v>
      </c>
      <c r="J3" s="2" t="s">
        <v>9</v>
      </c>
      <c r="K3" s="4">
        <v>12</v>
      </c>
      <c r="L3" s="2" t="s">
        <v>18</v>
      </c>
    </row>
    <row r="4" spans="2:12" ht="15" thickBot="1">
      <c r="B4" s="2" t="s">
        <v>11</v>
      </c>
      <c r="C4" s="3">
        <f>C5/(1-C6)</f>
        <v>1.7142857142857142</v>
      </c>
      <c r="D4" s="2" t="s">
        <v>17</v>
      </c>
      <c r="G4" s="2" t="s">
        <v>25</v>
      </c>
      <c r="H4" s="4">
        <v>0</v>
      </c>
      <c r="I4" s="2" t="s">
        <v>17</v>
      </c>
      <c r="J4" s="2" t="s">
        <v>10</v>
      </c>
      <c r="K4" s="5">
        <v>-12</v>
      </c>
      <c r="L4" s="2" t="s">
        <v>19</v>
      </c>
    </row>
    <row r="5" spans="2:12" ht="15" thickBot="1">
      <c r="B5" s="2" t="s">
        <v>0</v>
      </c>
      <c r="C5" s="3">
        <f>H6-C6*H4</f>
        <v>6</v>
      </c>
      <c r="D5" s="2" t="s">
        <v>17</v>
      </c>
      <c r="G5" s="2" t="s">
        <v>74</v>
      </c>
      <c r="H5" s="4">
        <v>11</v>
      </c>
      <c r="I5" s="2" t="s">
        <v>17</v>
      </c>
      <c r="J5" s="2" t="s">
        <v>31</v>
      </c>
      <c r="K5" s="4">
        <v>0</v>
      </c>
      <c r="L5" s="2" t="s">
        <v>32</v>
      </c>
    </row>
    <row r="6" spans="2:12" ht="15" thickBot="1">
      <c r="B6" s="2" t="s">
        <v>1</v>
      </c>
      <c r="C6" s="3">
        <f>(H6-H5)/(H4-H3)</f>
        <v>-2.5</v>
      </c>
      <c r="D6" s="2" t="s">
        <v>39</v>
      </c>
      <c r="G6" s="2" t="s">
        <v>75</v>
      </c>
      <c r="H6" s="4">
        <v>6</v>
      </c>
      <c r="I6" s="2" t="s">
        <v>17</v>
      </c>
    </row>
    <row r="8" spans="2:12">
      <c r="E8" s="6" t="s">
        <v>30</v>
      </c>
    </row>
    <row r="9" spans="2:12" ht="15" thickBot="1">
      <c r="B9" s="7" t="s">
        <v>6</v>
      </c>
      <c r="C9" s="7" t="s">
        <v>7</v>
      </c>
      <c r="D9" s="7" t="s">
        <v>3</v>
      </c>
      <c r="E9" s="7" t="s">
        <v>3</v>
      </c>
      <c r="J9" s="6" t="s">
        <v>33</v>
      </c>
    </row>
    <row r="10" spans="2:12" ht="15" thickBot="1">
      <c r="B10" s="2">
        <v>0</v>
      </c>
      <c r="C10" s="2">
        <f>AVERAGE($H$3:$H$4)+SIN($B10)*($H$4-$H$3)/2</f>
        <v>-1</v>
      </c>
      <c r="D10" s="2">
        <f>$C$6*C10+(1-$C$6)*$C$4</f>
        <v>8.5</v>
      </c>
      <c r="E10" s="2">
        <f t="shared" ref="E10:E35" si="0">IF(D10&gt;($K$3-$K$5),($K$3-$K$5),IF(D10&lt;($K$4+$K$5),($K$4+$K$5),D10))</f>
        <v>8.5</v>
      </c>
      <c r="J10" s="6" t="s">
        <v>29</v>
      </c>
      <c r="K10" s="4">
        <v>0</v>
      </c>
      <c r="L10" s="2" t="s">
        <v>17</v>
      </c>
    </row>
    <row r="11" spans="2:12">
      <c r="B11" s="2">
        <v>0.1</v>
      </c>
      <c r="C11" s="2">
        <f t="shared" ref="C11:C35" si="1">AVERAGE($H$3:$H$4)+SIN($B11)*($H$4-$H$3)/2</f>
        <v>-0.90016658335317179</v>
      </c>
      <c r="D11" s="2">
        <f t="shared" ref="D11:D35" si="2">$C$6*C11+(1-$C$6)*$C$4</f>
        <v>8.2504164583829294</v>
      </c>
      <c r="E11" s="2">
        <f t="shared" si="0"/>
        <v>8.2504164583829294</v>
      </c>
      <c r="J11" s="6" t="s">
        <v>34</v>
      </c>
      <c r="K11" s="3">
        <f>IF($C$6*K10+(1-$C$6)*$C$4&gt;($K$3-$K$5),($K$3-$K$5),IF($C$6*K10+(1-$C$6)*$C$4&lt;($K$4+$K$5),($K$4+$K$5),$C$6*K10+(1-$C$6)*$C$4))</f>
        <v>6</v>
      </c>
      <c r="L11" s="2" t="s">
        <v>17</v>
      </c>
    </row>
    <row r="12" spans="2:12">
      <c r="B12" s="2">
        <v>0.2</v>
      </c>
      <c r="C12" s="2">
        <f t="shared" si="1"/>
        <v>-0.80133066920493878</v>
      </c>
      <c r="D12" s="2">
        <f t="shared" si="2"/>
        <v>8.0033266730123476</v>
      </c>
      <c r="E12" s="2">
        <f t="shared" si="0"/>
        <v>8.0033266730123476</v>
      </c>
    </row>
    <row r="13" spans="2:12">
      <c r="B13" s="2">
        <v>1.2</v>
      </c>
      <c r="C13" s="2">
        <f t="shared" si="1"/>
        <v>-6.7960914032773712E-2</v>
      </c>
      <c r="D13" s="2">
        <f t="shared" si="2"/>
        <v>6.1699022850819345</v>
      </c>
      <c r="E13" s="2">
        <f t="shared" si="0"/>
        <v>6.1699022850819345</v>
      </c>
    </row>
    <row r="14" spans="2:12">
      <c r="B14" s="2">
        <v>2.2000000000000002</v>
      </c>
      <c r="C14" s="2">
        <f t="shared" si="1"/>
        <v>-0.19150359618040991</v>
      </c>
      <c r="D14" s="2">
        <f t="shared" si="2"/>
        <v>6.4787589904510252</v>
      </c>
      <c r="E14" s="2">
        <f t="shared" si="0"/>
        <v>6.4787589904510252</v>
      </c>
    </row>
    <row r="15" spans="2:12">
      <c r="B15" s="2">
        <v>3.2</v>
      </c>
      <c r="C15" s="2">
        <f t="shared" si="1"/>
        <v>-1.0583741434275802</v>
      </c>
      <c r="D15" s="2">
        <f t="shared" si="2"/>
        <v>8.6459353585689502</v>
      </c>
      <c r="E15" s="2">
        <f t="shared" si="0"/>
        <v>8.6459353585689502</v>
      </c>
    </row>
    <row r="16" spans="2:12">
      <c r="B16" s="2">
        <v>4.2</v>
      </c>
      <c r="C16" s="2">
        <f t="shared" si="1"/>
        <v>-1.8715757724135882</v>
      </c>
      <c r="D16" s="2">
        <f t="shared" si="2"/>
        <v>10.678939431033971</v>
      </c>
      <c r="E16" s="2">
        <f t="shared" si="0"/>
        <v>10.678939431033971</v>
      </c>
    </row>
    <row r="17" spans="2:5">
      <c r="B17" s="2">
        <v>5.2</v>
      </c>
      <c r="C17" s="2">
        <f t="shared" si="1"/>
        <v>-1.8834546557201532</v>
      </c>
      <c r="D17" s="2">
        <f t="shared" si="2"/>
        <v>10.708636639300384</v>
      </c>
      <c r="E17" s="2">
        <f t="shared" si="0"/>
        <v>10.708636639300384</v>
      </c>
    </row>
    <row r="18" spans="2:5">
      <c r="B18" s="2">
        <v>6.2</v>
      </c>
      <c r="C18" s="2">
        <f t="shared" si="1"/>
        <v>-1.0830894028174964</v>
      </c>
      <c r="D18" s="2">
        <f t="shared" si="2"/>
        <v>8.7077235070437418</v>
      </c>
      <c r="E18" s="2">
        <f t="shared" si="0"/>
        <v>8.7077235070437418</v>
      </c>
    </row>
    <row r="19" spans="2:5">
      <c r="B19" s="2">
        <v>7.2</v>
      </c>
      <c r="C19" s="2">
        <f t="shared" si="1"/>
        <v>-0.20633213615084689</v>
      </c>
      <c r="D19" s="2">
        <f t="shared" si="2"/>
        <v>6.5158303403771169</v>
      </c>
      <c r="E19" s="2">
        <f t="shared" si="0"/>
        <v>6.5158303403771169</v>
      </c>
    </row>
    <row r="20" spans="2:5">
      <c r="B20" s="2">
        <v>8.1999999999999993</v>
      </c>
      <c r="C20" s="2">
        <f t="shared" si="1"/>
        <v>-5.9269443320226878E-2</v>
      </c>
      <c r="D20" s="2">
        <f t="shared" si="2"/>
        <v>6.1481736083005671</v>
      </c>
      <c r="E20" s="2">
        <f t="shared" si="0"/>
        <v>6.1481736083005671</v>
      </c>
    </row>
    <row r="21" spans="2:5">
      <c r="B21" s="2">
        <v>9.1999999999999993</v>
      </c>
      <c r="C21" s="2">
        <f t="shared" si="1"/>
        <v>-0.77711008589975239</v>
      </c>
      <c r="D21" s="2">
        <f t="shared" si="2"/>
        <v>7.9427752147493811</v>
      </c>
      <c r="E21" s="2">
        <f t="shared" si="0"/>
        <v>7.9427752147493811</v>
      </c>
    </row>
    <row r="22" spans="2:5">
      <c r="B22" s="2">
        <v>10.199999999999999</v>
      </c>
      <c r="C22" s="2">
        <f t="shared" si="1"/>
        <v>-1.6998746875935424</v>
      </c>
      <c r="D22" s="2">
        <f t="shared" si="2"/>
        <v>10.249686718983856</v>
      </c>
      <c r="E22" s="2">
        <f t="shared" si="0"/>
        <v>10.249686718983856</v>
      </c>
    </row>
    <row r="23" spans="2:5">
      <c r="B23" s="2">
        <v>11.2</v>
      </c>
      <c r="C23" s="2">
        <f t="shared" si="1"/>
        <v>-1.9791777291513175</v>
      </c>
      <c r="D23" s="2">
        <f t="shared" si="2"/>
        <v>10.947944322878293</v>
      </c>
      <c r="E23" s="2">
        <f t="shared" si="0"/>
        <v>10.947944322878293</v>
      </c>
    </row>
    <row r="24" spans="2:5">
      <c r="B24" s="2">
        <v>12.2</v>
      </c>
      <c r="C24" s="2">
        <f t="shared" si="1"/>
        <v>-1.3582292822368287</v>
      </c>
      <c r="D24" s="2">
        <f t="shared" si="2"/>
        <v>9.395573205592072</v>
      </c>
      <c r="E24" s="2">
        <f t="shared" si="0"/>
        <v>9.395573205592072</v>
      </c>
    </row>
    <row r="25" spans="2:5">
      <c r="B25" s="2">
        <v>13.2</v>
      </c>
      <c r="C25" s="2">
        <f t="shared" si="1"/>
        <v>-0.40792648529277697</v>
      </c>
      <c r="D25" s="2">
        <f t="shared" si="2"/>
        <v>7.0198162132319428</v>
      </c>
      <c r="E25" s="2">
        <f t="shared" si="0"/>
        <v>7.0198162132319428</v>
      </c>
    </row>
    <row r="26" spans="2:5">
      <c r="B26" s="2">
        <v>14.2</v>
      </c>
      <c r="C26" s="2">
        <f t="shared" si="1"/>
        <v>-1.9733472836382937E-3</v>
      </c>
      <c r="D26" s="2">
        <f t="shared" si="2"/>
        <v>6.0049333682090955</v>
      </c>
      <c r="E26" s="2">
        <f t="shared" si="0"/>
        <v>6.0049333682090955</v>
      </c>
    </row>
    <row r="27" spans="2:5">
      <c r="B27" s="2">
        <v>15.2</v>
      </c>
      <c r="C27" s="2">
        <f t="shared" si="1"/>
        <v>-0.51360131114620033</v>
      </c>
      <c r="D27" s="2">
        <f t="shared" si="2"/>
        <v>7.2840032778655006</v>
      </c>
      <c r="E27" s="2">
        <f t="shared" si="0"/>
        <v>7.2840032778655006</v>
      </c>
    </row>
    <row r="28" spans="2:5">
      <c r="B28" s="2">
        <v>16.2</v>
      </c>
      <c r="C28" s="2">
        <f t="shared" si="1"/>
        <v>-1.4724219863984662</v>
      </c>
      <c r="D28" s="2">
        <f t="shared" si="2"/>
        <v>9.6810549659961644</v>
      </c>
      <c r="E28" s="2">
        <f t="shared" si="0"/>
        <v>9.6810549659961644</v>
      </c>
    </row>
    <row r="29" spans="2:5">
      <c r="B29" s="2">
        <v>17.2</v>
      </c>
      <c r="C29" s="2">
        <f t="shared" si="1"/>
        <v>-1.9969000660415961</v>
      </c>
      <c r="D29" s="2">
        <f t="shared" si="2"/>
        <v>10.992250165103989</v>
      </c>
      <c r="E29" s="2">
        <f t="shared" si="0"/>
        <v>10.992250165103989</v>
      </c>
    </row>
    <row r="30" spans="2:5">
      <c r="B30" s="2">
        <v>18.2</v>
      </c>
      <c r="C30" s="2">
        <f t="shared" si="1"/>
        <v>-1.604832822406284</v>
      </c>
      <c r="D30" s="2">
        <f t="shared" si="2"/>
        <v>10.012082056015711</v>
      </c>
      <c r="E30" s="2">
        <f t="shared" si="0"/>
        <v>10.012082056015711</v>
      </c>
    </row>
    <row r="31" spans="2:5">
      <c r="B31" s="2">
        <v>19.2</v>
      </c>
      <c r="C31" s="2">
        <f t="shared" si="1"/>
        <v>-0.65668507118010466</v>
      </c>
      <c r="D31" s="2">
        <f t="shared" si="2"/>
        <v>7.6417126779502613</v>
      </c>
      <c r="E31" s="2">
        <f t="shared" si="0"/>
        <v>7.6417126779502613</v>
      </c>
    </row>
    <row r="32" spans="2:5">
      <c r="B32" s="2">
        <v>20.2</v>
      </c>
      <c r="C32" s="2">
        <f t="shared" si="1"/>
        <v>-2.4179482233024463E-2</v>
      </c>
      <c r="D32" s="2">
        <f t="shared" si="2"/>
        <v>6.0604487055825613</v>
      </c>
      <c r="E32" s="2">
        <f t="shared" si="0"/>
        <v>6.0604487055825613</v>
      </c>
    </row>
    <row r="33" spans="2:5">
      <c r="B33" s="2">
        <v>21.2</v>
      </c>
      <c r="C33" s="2">
        <f t="shared" si="1"/>
        <v>-0.28883877709401762</v>
      </c>
      <c r="D33" s="2">
        <f t="shared" si="2"/>
        <v>6.7220969427350443</v>
      </c>
      <c r="E33" s="2">
        <f t="shared" si="0"/>
        <v>6.7220969427350443</v>
      </c>
    </row>
    <row r="34" spans="2:5">
      <c r="B34" s="2">
        <v>22.2</v>
      </c>
      <c r="C34" s="2">
        <f t="shared" si="1"/>
        <v>-1.2073364206067587</v>
      </c>
      <c r="D34" s="2">
        <f t="shared" si="2"/>
        <v>9.0183410515168969</v>
      </c>
      <c r="E34" s="2">
        <f t="shared" si="0"/>
        <v>9.0183410515168969</v>
      </c>
    </row>
    <row r="35" spans="2:5">
      <c r="B35" s="2">
        <v>23.2</v>
      </c>
      <c r="C35" s="2">
        <f t="shared" si="1"/>
        <v>-1.9352099151945388</v>
      </c>
      <c r="D35" s="2">
        <f t="shared" si="2"/>
        <v>10.838024787986347</v>
      </c>
      <c r="E35" s="2">
        <f t="shared" si="0"/>
        <v>10.838024787986347</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004E8-9D79-4175-B5D1-B1D1C5838EA6}">
  <dimension ref="B1:K103"/>
  <sheetViews>
    <sheetView zoomScale="96" zoomScaleNormal="96" workbookViewId="0">
      <selection activeCell="C2" sqref="C2"/>
    </sheetView>
  </sheetViews>
  <sheetFormatPr defaultColWidth="9.1796875" defaultRowHeight="14.5"/>
  <cols>
    <col min="1" max="1" width="5.1796875" style="2" customWidth="1"/>
    <col min="2" max="2" width="9.1796875" style="2"/>
    <col min="3" max="3" width="13.1796875" style="2" bestFit="1" customWidth="1"/>
    <col min="4" max="4" width="9.1796875" style="2"/>
    <col min="5" max="6" width="11.81640625" style="2" customWidth="1"/>
    <col min="7" max="7" width="9.1796875" style="2"/>
    <col min="8" max="8" width="11" style="2" customWidth="1"/>
    <col min="9" max="16384" width="9.1796875" style="2"/>
  </cols>
  <sheetData>
    <row r="1" spans="2:10" ht="46.5" thickBot="1">
      <c r="B1" s="1" t="s">
        <v>104</v>
      </c>
    </row>
    <row r="2" spans="2:10" ht="15" thickBot="1">
      <c r="B2" s="2" t="s">
        <v>12</v>
      </c>
      <c r="C2" s="4">
        <v>1</v>
      </c>
      <c r="D2" s="2" t="s">
        <v>16</v>
      </c>
      <c r="H2" s="6" t="s">
        <v>36</v>
      </c>
    </row>
    <row r="3" spans="2:10" ht="15" thickBot="1">
      <c r="B3" s="2" t="s">
        <v>15</v>
      </c>
      <c r="C3" s="4">
        <v>33</v>
      </c>
      <c r="D3" s="2" t="s">
        <v>16</v>
      </c>
      <c r="H3" s="2" t="s">
        <v>9</v>
      </c>
      <c r="I3" s="4">
        <v>5</v>
      </c>
      <c r="J3" s="2" t="s">
        <v>18</v>
      </c>
    </row>
    <row r="4" spans="2:10" ht="15" thickBot="1">
      <c r="B4" s="2" t="s">
        <v>82</v>
      </c>
      <c r="C4" s="4">
        <v>2.1000000000000001E-2</v>
      </c>
      <c r="D4" s="2" t="s">
        <v>83</v>
      </c>
      <c r="H4" s="2" t="s">
        <v>10</v>
      </c>
      <c r="I4" s="5">
        <v>-5</v>
      </c>
      <c r="J4" s="2" t="s">
        <v>19</v>
      </c>
    </row>
    <row r="5" spans="2:10" ht="15" thickBot="1">
      <c r="B5" s="2" t="s">
        <v>11</v>
      </c>
      <c r="C5" s="4">
        <v>0.5</v>
      </c>
      <c r="D5" s="2" t="s">
        <v>17</v>
      </c>
      <c r="H5" s="2" t="s">
        <v>31</v>
      </c>
      <c r="I5" s="4">
        <v>0</v>
      </c>
      <c r="J5" s="2" t="s">
        <v>32</v>
      </c>
    </row>
    <row r="6" spans="2:10">
      <c r="B6" s="2" t="s">
        <v>0</v>
      </c>
      <c r="C6" s="3">
        <f>(1+C3/C2)*C5</f>
        <v>17</v>
      </c>
      <c r="D6" s="2" t="s">
        <v>17</v>
      </c>
      <c r="I6" s="16"/>
    </row>
    <row r="7" spans="2:10">
      <c r="B7" s="2" t="s">
        <v>1</v>
      </c>
      <c r="C7" s="3">
        <f>-C3/C2</f>
        <v>-33</v>
      </c>
      <c r="D7" s="2" t="s">
        <v>39</v>
      </c>
    </row>
    <row r="8" spans="2:10" ht="15" thickBot="1">
      <c r="B8" s="2" t="s">
        <v>97</v>
      </c>
      <c r="C8" s="3">
        <f>1/(2*PI()*C11*C4*0.000001)</f>
        <v>3300</v>
      </c>
      <c r="D8" s="2" t="s">
        <v>219</v>
      </c>
      <c r="H8" s="6" t="s">
        <v>33</v>
      </c>
    </row>
    <row r="9" spans="2:10" ht="15" thickBot="1">
      <c r="B9" s="2" t="s">
        <v>220</v>
      </c>
      <c r="C9" s="3">
        <f>-((C3*1000)*C8/(C3*1000+C8))/(C2*1000)</f>
        <v>-3</v>
      </c>
      <c r="D9" s="2" t="s">
        <v>39</v>
      </c>
      <c r="H9" s="6" t="s">
        <v>29</v>
      </c>
      <c r="I9" s="4">
        <v>1</v>
      </c>
      <c r="J9" s="2" t="s">
        <v>17</v>
      </c>
    </row>
    <row r="10" spans="2:10" ht="15" thickBot="1">
      <c r="B10" s="2" t="s">
        <v>25</v>
      </c>
      <c r="C10" s="4">
        <v>1</v>
      </c>
      <c r="D10" s="2" t="s">
        <v>38</v>
      </c>
      <c r="H10" s="6" t="s">
        <v>34</v>
      </c>
      <c r="I10" s="3">
        <f>IF($C$7*I9/SQRT(1+($C$11/$C$13)^2)&gt;($I$3-$I$5),($I$3-$I$5),IF($C$7*I9/SQRT(1+($C$11/$C$13)^2)&lt;($I$4+$I$5),($I$4+$I$5),$C$7*I9/SQRT(1+($C$11/$C$13)^2)))</f>
        <v>-3.2836227276929644</v>
      </c>
      <c r="J10" s="2" t="s">
        <v>17</v>
      </c>
    </row>
    <row r="11" spans="2:10" ht="15" thickBot="1">
      <c r="B11" s="2" t="s">
        <v>84</v>
      </c>
      <c r="C11" s="4">
        <f>C13*10</f>
        <v>2296.6081254241753</v>
      </c>
      <c r="D11" s="2" t="s">
        <v>80</v>
      </c>
    </row>
    <row r="12" spans="2:10">
      <c r="B12" s="2" t="s">
        <v>87</v>
      </c>
      <c r="C12" s="3">
        <f>1/C11</f>
        <v>4.354247417875453E-4</v>
      </c>
      <c r="D12" s="2" t="s">
        <v>86</v>
      </c>
      <c r="H12" s="6" t="s">
        <v>105</v>
      </c>
    </row>
    <row r="13" spans="2:10" ht="15" thickBot="1">
      <c r="B13" s="2" t="s">
        <v>81</v>
      </c>
      <c r="C13" s="3">
        <f>1/(2*PI()*(C3*1000)*(C4*0.000001))</f>
        <v>229.66081254241752</v>
      </c>
      <c r="D13" s="2" t="s">
        <v>80</v>
      </c>
      <c r="H13" s="17" t="s">
        <v>106</v>
      </c>
      <c r="I13" s="3">
        <f>1000*(C3*1000)*(C4*0.000001)</f>
        <v>0.69299999999999995</v>
      </c>
      <c r="J13" s="2" t="s">
        <v>107</v>
      </c>
    </row>
    <row r="14" spans="2:10" ht="15" thickBot="1">
      <c r="B14" s="2" t="s">
        <v>89</v>
      </c>
      <c r="C14" s="4">
        <v>4</v>
      </c>
      <c r="D14" s="2" t="s">
        <v>90</v>
      </c>
    </row>
    <row r="15" spans="2:10">
      <c r="B15" s="2" t="s">
        <v>88</v>
      </c>
      <c r="C15" s="3">
        <f>C12*C14/25</f>
        <v>6.9667958686007244E-5</v>
      </c>
      <c r="D15" s="2" t="s">
        <v>86</v>
      </c>
    </row>
    <row r="17" spans="2:6">
      <c r="E17" s="6" t="s">
        <v>30</v>
      </c>
      <c r="F17" s="6"/>
    </row>
    <row r="18" spans="2:6">
      <c r="B18" s="7" t="s">
        <v>85</v>
      </c>
      <c r="C18" s="7" t="s">
        <v>7</v>
      </c>
      <c r="D18" s="7" t="s">
        <v>3</v>
      </c>
      <c r="E18" s="7" t="s">
        <v>3</v>
      </c>
      <c r="F18" s="30" t="s">
        <v>223</v>
      </c>
    </row>
    <row r="19" spans="2:6">
      <c r="B19" s="2">
        <v>0</v>
      </c>
      <c r="C19" s="2">
        <f t="shared" ref="C19:C44" si="0">$C$10*SIN($B19*$C$11*2*PI())</f>
        <v>0</v>
      </c>
      <c r="D19" s="2">
        <f t="shared" ref="D19:D44" si="1">$C$7*C19/SQRT(1+($C$11/$C$13)^2)+(1-$C$7/SQRT(1+($C$11/$C$13)^2))*$C$5</f>
        <v>2.1418113638464824</v>
      </c>
      <c r="E19" s="2">
        <f t="shared" ref="E19:E44" si="2">IF(D19&gt;($I$3-$I$5),($I$3-$I$5),IF(D19&lt;($I$4+$I$5),($I$4+$I$5),D19))</f>
        <v>2.1418113638464824</v>
      </c>
      <c r="F19" s="30">
        <f t="shared" ref="F19:F44" si="3">$C$9*C19+(1-$C$9)*$C$5</f>
        <v>2</v>
      </c>
    </row>
    <row r="20" spans="2:6">
      <c r="B20" s="2">
        <f t="shared" ref="B20:B44" si="4">B19+$C$15</f>
        <v>6.9667958686007244E-5</v>
      </c>
      <c r="C20" s="2">
        <f t="shared" si="0"/>
        <v>0.84432792550201496</v>
      </c>
      <c r="D20" s="2">
        <f t="shared" si="1"/>
        <v>-0.630643001957786</v>
      </c>
      <c r="E20" s="2">
        <f t="shared" si="2"/>
        <v>-0.630643001957786</v>
      </c>
      <c r="F20" s="30">
        <f t="shared" si="3"/>
        <v>-0.532983776506045</v>
      </c>
    </row>
    <row r="21" spans="2:6">
      <c r="B21" s="2">
        <f t="shared" si="4"/>
        <v>1.3933591737201449E-4</v>
      </c>
      <c r="C21" s="2">
        <f t="shared" si="0"/>
        <v>0.90482705246601969</v>
      </c>
      <c r="D21" s="2">
        <f t="shared" si="1"/>
        <v>-0.8292993102623738</v>
      </c>
      <c r="E21" s="2">
        <f t="shared" si="2"/>
        <v>-0.8292993102623738</v>
      </c>
      <c r="F21" s="30">
        <f t="shared" si="3"/>
        <v>-0.71448115739805917</v>
      </c>
    </row>
    <row r="22" spans="2:6">
      <c r="B22" s="2">
        <f t="shared" si="4"/>
        <v>2.0900387605802173E-4</v>
      </c>
      <c r="C22" s="2">
        <f t="shared" si="0"/>
        <v>0.12533323356430454</v>
      </c>
      <c r="D22" s="2">
        <f t="shared" si="1"/>
        <v>1.7302643095794814</v>
      </c>
      <c r="E22" s="2">
        <f t="shared" si="2"/>
        <v>1.7302643095794814</v>
      </c>
      <c r="F22" s="30">
        <f t="shared" si="3"/>
        <v>1.6240002993070863</v>
      </c>
    </row>
    <row r="23" spans="2:6">
      <c r="B23" s="2">
        <f t="shared" si="4"/>
        <v>2.7867183474402897E-4</v>
      </c>
      <c r="C23" s="2">
        <f t="shared" si="0"/>
        <v>-0.77051324277578881</v>
      </c>
      <c r="D23" s="2">
        <f t="shared" si="1"/>
        <v>4.6718861598134698</v>
      </c>
      <c r="E23" s="2">
        <f t="shared" si="2"/>
        <v>4.6718861598134698</v>
      </c>
      <c r="F23" s="30">
        <f t="shared" si="3"/>
        <v>4.3115397283273662</v>
      </c>
    </row>
    <row r="24" spans="2:6">
      <c r="B24" s="2">
        <f t="shared" si="4"/>
        <v>3.4833979343003622E-4</v>
      </c>
      <c r="C24" s="2">
        <f t="shared" si="0"/>
        <v>-0.95105651629515364</v>
      </c>
      <c r="D24" s="2">
        <f t="shared" si="1"/>
        <v>5.2647221560737432</v>
      </c>
      <c r="E24" s="2">
        <f t="shared" si="2"/>
        <v>5</v>
      </c>
      <c r="F24" s="30">
        <f t="shared" si="3"/>
        <v>4.8531695488854609</v>
      </c>
    </row>
    <row r="25" spans="2:6">
      <c r="B25" s="2">
        <f t="shared" si="4"/>
        <v>4.1800775211604346E-4</v>
      </c>
      <c r="C25" s="2">
        <f t="shared" si="0"/>
        <v>-0.24868988716485535</v>
      </c>
      <c r="D25" s="2">
        <f t="shared" si="1"/>
        <v>2.9584151294884</v>
      </c>
      <c r="E25" s="2">
        <f t="shared" si="2"/>
        <v>2.9584151294884</v>
      </c>
      <c r="F25" s="30">
        <f t="shared" si="3"/>
        <v>2.7460696614945661</v>
      </c>
    </row>
    <row r="26" spans="2:6">
      <c r="B26" s="2">
        <f t="shared" si="4"/>
        <v>4.876757108020507E-4</v>
      </c>
      <c r="C26" s="2">
        <f t="shared" si="0"/>
        <v>0.68454710592868795</v>
      </c>
      <c r="D26" s="2">
        <f t="shared" si="1"/>
        <v>-0.10598307135740015</v>
      </c>
      <c r="E26" s="2">
        <f t="shared" si="2"/>
        <v>-0.10598307135740015</v>
      </c>
      <c r="F26" s="30">
        <f t="shared" si="3"/>
        <v>-5.3641317786063958E-2</v>
      </c>
    </row>
    <row r="27" spans="2:6">
      <c r="B27" s="2">
        <f t="shared" si="4"/>
        <v>5.5734366948805795E-4</v>
      </c>
      <c r="C27" s="2">
        <f t="shared" si="0"/>
        <v>0.98228725072868894</v>
      </c>
      <c r="D27" s="2">
        <f t="shared" si="1"/>
        <v>-1.0836493777692784</v>
      </c>
      <c r="E27" s="2">
        <f t="shared" si="2"/>
        <v>-1.0836493777692784</v>
      </c>
      <c r="F27" s="30">
        <f t="shared" si="3"/>
        <v>-0.94686175218606694</v>
      </c>
    </row>
    <row r="28" spans="2:6">
      <c r="B28" s="2">
        <f t="shared" si="4"/>
        <v>6.2701162817406519E-4</v>
      </c>
      <c r="C28" s="2">
        <f t="shared" si="0"/>
        <v>0.36812455268467797</v>
      </c>
      <c r="D28" s="2">
        <f t="shared" si="1"/>
        <v>0.93302921602926769</v>
      </c>
      <c r="E28" s="2">
        <f t="shared" si="2"/>
        <v>0.93302921602926769</v>
      </c>
      <c r="F28" s="30">
        <f t="shared" si="3"/>
        <v>0.89562634194596602</v>
      </c>
    </row>
    <row r="29" spans="2:6">
      <c r="B29" s="2">
        <f t="shared" si="4"/>
        <v>6.9667958686007244E-4</v>
      </c>
      <c r="C29" s="2">
        <f t="shared" si="0"/>
        <v>-0.5877852522924728</v>
      </c>
      <c r="D29" s="2">
        <f t="shared" si="1"/>
        <v>4.071876377276789</v>
      </c>
      <c r="E29" s="2">
        <f t="shared" si="2"/>
        <v>4.071876377276789</v>
      </c>
      <c r="F29" s="30">
        <f t="shared" si="3"/>
        <v>3.7633557568774183</v>
      </c>
    </row>
    <row r="30" spans="2:6">
      <c r="B30" s="2">
        <f t="shared" si="4"/>
        <v>7.6634754554607968E-4</v>
      </c>
      <c r="C30" s="2">
        <f t="shared" si="0"/>
        <v>-0.99802672842827167</v>
      </c>
      <c r="D30" s="2">
        <f t="shared" si="1"/>
        <v>5.4189546121586094</v>
      </c>
      <c r="E30" s="2">
        <f t="shared" si="2"/>
        <v>5</v>
      </c>
      <c r="F30" s="30">
        <f t="shared" si="3"/>
        <v>4.9940801852848153</v>
      </c>
    </row>
    <row r="31" spans="2:6">
      <c r="B31" s="2">
        <f t="shared" si="4"/>
        <v>8.3601550423208692E-4</v>
      </c>
      <c r="C31" s="2">
        <f t="shared" si="0"/>
        <v>-0.48175367410171632</v>
      </c>
      <c r="D31" s="2">
        <f t="shared" si="1"/>
        <v>3.7237086772764676</v>
      </c>
      <c r="E31" s="2">
        <f t="shared" si="2"/>
        <v>3.7237086772764676</v>
      </c>
      <c r="F31" s="30">
        <f t="shared" si="3"/>
        <v>3.4452610223051492</v>
      </c>
    </row>
    <row r="32" spans="2:6">
      <c r="B32" s="2">
        <f t="shared" si="4"/>
        <v>9.0568346291809417E-4</v>
      </c>
      <c r="C32" s="2">
        <f t="shared" si="0"/>
        <v>0.48175367410171543</v>
      </c>
      <c r="D32" s="2">
        <f t="shared" si="1"/>
        <v>0.55991405041650011</v>
      </c>
      <c r="E32" s="2">
        <f t="shared" si="2"/>
        <v>0.55991405041650011</v>
      </c>
      <c r="F32" s="30">
        <f t="shared" si="3"/>
        <v>0.5547389776948537</v>
      </c>
    </row>
    <row r="33" spans="2:11">
      <c r="B33" s="2">
        <f t="shared" si="4"/>
        <v>9.7535142160410141E-4</v>
      </c>
      <c r="C33" s="2">
        <f t="shared" si="0"/>
        <v>0.99802672842827145</v>
      </c>
      <c r="D33" s="2">
        <f t="shared" si="1"/>
        <v>-1.1353318844656433</v>
      </c>
      <c r="E33" s="2">
        <f t="shared" si="2"/>
        <v>-1.1353318844656433</v>
      </c>
      <c r="F33" s="30">
        <f t="shared" si="3"/>
        <v>-0.99408018528481445</v>
      </c>
    </row>
    <row r="34" spans="2:11">
      <c r="B34" s="2">
        <f t="shared" si="4"/>
        <v>1.0450193802901088E-3</v>
      </c>
      <c r="C34" s="2">
        <f t="shared" si="0"/>
        <v>0.58778525229247358</v>
      </c>
      <c r="D34" s="2">
        <f t="shared" si="1"/>
        <v>0.21174635041617318</v>
      </c>
      <c r="E34" s="2">
        <f t="shared" si="2"/>
        <v>0.21174635041617318</v>
      </c>
      <c r="F34" s="30">
        <f t="shared" si="3"/>
        <v>0.23664424312257926</v>
      </c>
    </row>
    <row r="35" spans="2:11">
      <c r="B35" s="2">
        <f t="shared" si="4"/>
        <v>1.1146873389761159E-3</v>
      </c>
      <c r="C35" s="2">
        <f t="shared" si="0"/>
        <v>-0.36812455268467542</v>
      </c>
      <c r="D35" s="2">
        <f t="shared" si="1"/>
        <v>3.3505935116636887</v>
      </c>
      <c r="E35" s="2">
        <f t="shared" si="2"/>
        <v>3.3505935116636887</v>
      </c>
      <c r="F35" s="30">
        <f t="shared" si="3"/>
        <v>3.1043736580540262</v>
      </c>
    </row>
    <row r="36" spans="2:11">
      <c r="B36" s="2">
        <f t="shared" si="4"/>
        <v>1.184355297662123E-3</v>
      </c>
      <c r="C36" s="2">
        <f t="shared" si="0"/>
        <v>-0.98228725072868839</v>
      </c>
      <c r="D36" s="2">
        <f t="shared" si="1"/>
        <v>5.3672721054622414</v>
      </c>
      <c r="E36" s="2">
        <f t="shared" si="2"/>
        <v>5</v>
      </c>
      <c r="F36" s="30">
        <f t="shared" si="3"/>
        <v>4.9468617521860647</v>
      </c>
    </row>
    <row r="37" spans="2:11">
      <c r="B37" s="2">
        <f t="shared" si="4"/>
        <v>1.2540232563481302E-3</v>
      </c>
      <c r="C37" s="2">
        <f t="shared" si="0"/>
        <v>-0.68454710592869128</v>
      </c>
      <c r="D37" s="2">
        <f t="shared" si="1"/>
        <v>4.3896057990503756</v>
      </c>
      <c r="E37" s="2">
        <f t="shared" si="2"/>
        <v>4.3896057990503756</v>
      </c>
      <c r="F37" s="30">
        <f t="shared" si="3"/>
        <v>4.0536413177860737</v>
      </c>
    </row>
    <row r="38" spans="2:11">
      <c r="B38" s="2">
        <f t="shared" si="4"/>
        <v>1.3236912150341373E-3</v>
      </c>
      <c r="C38" s="2">
        <f t="shared" si="0"/>
        <v>0.24868988716484924</v>
      </c>
      <c r="D38" s="2">
        <f t="shared" si="1"/>
        <v>1.3252075982045848</v>
      </c>
      <c r="E38" s="2">
        <f t="shared" si="2"/>
        <v>1.3252075982045848</v>
      </c>
      <c r="F38" s="30">
        <f t="shared" si="3"/>
        <v>1.2539303385054523</v>
      </c>
      <c r="H38" s="6" t="s">
        <v>65</v>
      </c>
    </row>
    <row r="39" spans="2:11">
      <c r="B39" s="2">
        <f t="shared" si="4"/>
        <v>1.3933591737201444E-3</v>
      </c>
      <c r="C39" s="2">
        <f t="shared" si="0"/>
        <v>0.95105651629515109</v>
      </c>
      <c r="D39" s="2">
        <f t="shared" si="1"/>
        <v>-0.98109942838076947</v>
      </c>
      <c r="E39" s="2">
        <f t="shared" si="2"/>
        <v>-0.98109942838076947</v>
      </c>
      <c r="F39" s="30">
        <f t="shared" si="3"/>
        <v>-0.85316954888545338</v>
      </c>
      <c r="H39" s="12" t="s">
        <v>64</v>
      </c>
      <c r="I39" s="12">
        <f>I3</f>
        <v>5</v>
      </c>
      <c r="J39" s="12" t="s">
        <v>17</v>
      </c>
      <c r="K39" s="13" t="str">
        <f>TRIM(H39)&amp;"   "&amp;IF(I39&gt;0,"+","")&amp;TRIM(I39)&amp;" "&amp;TRIM(J39)</f>
        <v>V+:   +5 V</v>
      </c>
    </row>
    <row r="40" spans="2:11">
      <c r="B40" s="2">
        <f t="shared" si="4"/>
        <v>1.4630271324061516E-3</v>
      </c>
      <c r="C40" s="2">
        <f t="shared" si="0"/>
        <v>0.77051324277579569</v>
      </c>
      <c r="D40" s="2">
        <f t="shared" si="1"/>
        <v>-0.38826343212052716</v>
      </c>
      <c r="E40" s="2">
        <f t="shared" si="2"/>
        <v>-0.38826343212052716</v>
      </c>
      <c r="F40" s="30">
        <f t="shared" si="3"/>
        <v>-0.31153972832738708</v>
      </c>
      <c r="H40" s="12" t="s">
        <v>66</v>
      </c>
      <c r="I40" s="12">
        <f>I4</f>
        <v>-5</v>
      </c>
      <c r="J40" s="12" t="s">
        <v>17</v>
      </c>
      <c r="K40" s="13" t="str">
        <f t="shared" ref="K40:K41" si="5">TRIM(H40)&amp;"   "&amp;IF(I40&gt;0,"+","")&amp;TRIM(I40)&amp;" "&amp;TRIM(J40)</f>
        <v>V-:   -5 V</v>
      </c>
    </row>
    <row r="41" spans="2:11">
      <c r="B41" s="2">
        <f t="shared" si="4"/>
        <v>1.5326950910921587E-3</v>
      </c>
      <c r="C41" s="2">
        <f t="shared" si="0"/>
        <v>-0.1253332335642921</v>
      </c>
      <c r="D41" s="2">
        <f t="shared" si="1"/>
        <v>2.5533584181134428</v>
      </c>
      <c r="E41" s="2">
        <f t="shared" si="2"/>
        <v>2.5533584181134428</v>
      </c>
      <c r="F41" s="30">
        <f t="shared" si="3"/>
        <v>2.3759997006928764</v>
      </c>
      <c r="H41" s="12" t="s">
        <v>29</v>
      </c>
      <c r="I41" s="12">
        <f>I9</f>
        <v>1</v>
      </c>
      <c r="J41" s="12" t="s">
        <v>17</v>
      </c>
      <c r="K41" s="13" t="str">
        <f t="shared" si="5"/>
        <v>Vin:   +1 V</v>
      </c>
    </row>
    <row r="42" spans="2:11">
      <c r="B42" s="2">
        <f t="shared" si="4"/>
        <v>1.6023630497781658E-3</v>
      </c>
      <c r="C42" s="2">
        <f t="shared" si="0"/>
        <v>-0.90482705246601336</v>
      </c>
      <c r="D42" s="2">
        <f t="shared" si="1"/>
        <v>5.1129220379553182</v>
      </c>
      <c r="E42" s="2">
        <f t="shared" si="2"/>
        <v>5</v>
      </c>
      <c r="F42" s="30">
        <f t="shared" si="3"/>
        <v>4.7144811573980405</v>
      </c>
      <c r="H42" s="12" t="s">
        <v>67</v>
      </c>
      <c r="I42" s="12">
        <f>C2</f>
        <v>1</v>
      </c>
      <c r="J42" s="12" t="s">
        <v>16</v>
      </c>
      <c r="K42" s="13" t="str">
        <f>TRIM(H42)&amp;"   "&amp;TRIM(I42)&amp;" "&amp;TRIM(J42)</f>
        <v>R1:   1 K</v>
      </c>
    </row>
    <row r="43" spans="2:11">
      <c r="B43" s="2">
        <f t="shared" si="4"/>
        <v>1.672031008464173E-3</v>
      </c>
      <c r="C43" s="2">
        <f t="shared" si="0"/>
        <v>-0.84432792550202396</v>
      </c>
      <c r="D43" s="2">
        <f t="shared" si="1"/>
        <v>4.9142657296507801</v>
      </c>
      <c r="E43" s="2">
        <f t="shared" si="2"/>
        <v>4.9142657296507801</v>
      </c>
      <c r="F43" s="30">
        <f t="shared" si="3"/>
        <v>4.5329837765060716</v>
      </c>
      <c r="H43" s="12" t="s">
        <v>68</v>
      </c>
      <c r="I43" s="12">
        <f>C3</f>
        <v>33</v>
      </c>
      <c r="J43" s="12" t="s">
        <v>16</v>
      </c>
      <c r="K43" s="13" t="str">
        <f>TRIM(H43)&amp;"   "&amp;TRIM(I43)&amp;" "&amp;TRIM(J43)</f>
        <v>RF:   33 K</v>
      </c>
    </row>
    <row r="44" spans="2:11">
      <c r="B44" s="2">
        <f t="shared" si="4"/>
        <v>1.7416989671501801E-3</v>
      </c>
      <c r="C44" s="2">
        <f t="shared" si="0"/>
        <v>-1.8743687157929401E-14</v>
      </c>
      <c r="D44" s="2">
        <f t="shared" si="1"/>
        <v>2.1418113638465441</v>
      </c>
      <c r="E44" s="2">
        <f t="shared" si="2"/>
        <v>2.1418113638465441</v>
      </c>
      <c r="F44" s="30">
        <f t="shared" si="3"/>
        <v>2.0000000000000564</v>
      </c>
      <c r="H44" s="12" t="s">
        <v>102</v>
      </c>
      <c r="I44" s="12">
        <f>C4</f>
        <v>2.1000000000000001E-2</v>
      </c>
      <c r="J44" s="12" t="s">
        <v>83</v>
      </c>
      <c r="K44" s="13" t="str">
        <f>TRIM(H44)&amp;"   "&amp;TRIM(I44)&amp;" "&amp;TRIM(J44)</f>
        <v>C1:   0.021 uF</v>
      </c>
    </row>
    <row r="45" spans="2:11">
      <c r="H45" s="12" t="s">
        <v>103</v>
      </c>
      <c r="I45" s="12">
        <f>ROUND(C11,0)</f>
        <v>2297</v>
      </c>
      <c r="J45" s="12" t="s">
        <v>80</v>
      </c>
      <c r="K45" s="13" t="str">
        <f>TRIM(H45)&amp;"   "&amp;TRIM(I45)&amp;" "&amp;TRIM(J45)</f>
        <v>f,signal:   2297 Hz</v>
      </c>
    </row>
    <row r="46" spans="2:11">
      <c r="B46" s="6" t="s">
        <v>92</v>
      </c>
    </row>
    <row r="47" spans="2:11" ht="15.5">
      <c r="B47" s="14"/>
      <c r="C47" s="2" t="s">
        <v>95</v>
      </c>
    </row>
    <row r="48" spans="2:11">
      <c r="B48" s="7" t="s">
        <v>93</v>
      </c>
      <c r="C48" s="7" t="s">
        <v>94</v>
      </c>
    </row>
    <row r="49" spans="2:3">
      <c r="B49" s="2">
        <v>1</v>
      </c>
      <c r="C49" s="2">
        <f t="shared" ref="C49:C80" si="6">20*LOG(-$C$7/SQRT(1+($B49/$C$13)^2))</f>
        <v>30.37019645840379</v>
      </c>
    </row>
    <row r="50" spans="2:3">
      <c r="B50" s="2">
        <v>2</v>
      </c>
      <c r="C50" s="2">
        <f t="shared" si="6"/>
        <v>30.369949450308052</v>
      </c>
    </row>
    <row r="51" spans="2:3">
      <c r="B51" s="2">
        <v>3</v>
      </c>
      <c r="C51" s="2">
        <f t="shared" si="6"/>
        <v>30.369537801365389</v>
      </c>
    </row>
    <row r="52" spans="2:3">
      <c r="B52" s="2">
        <v>4</v>
      </c>
      <c r="C52" s="2">
        <f t="shared" si="6"/>
        <v>30.368961558388747</v>
      </c>
    </row>
    <row r="53" spans="2:3">
      <c r="B53" s="2">
        <v>5</v>
      </c>
      <c r="C53" s="2">
        <f t="shared" si="6"/>
        <v>30.368220786891385</v>
      </c>
    </row>
    <row r="54" spans="2:3">
      <c r="B54" s="2">
        <v>6</v>
      </c>
      <c r="C54" s="2">
        <f t="shared" si="6"/>
        <v>30.367315571062093</v>
      </c>
    </row>
    <row r="55" spans="2:3">
      <c r="B55" s="2">
        <v>7</v>
      </c>
      <c r="C55" s="2">
        <f t="shared" si="6"/>
        <v>30.366246013733281</v>
      </c>
    </row>
    <row r="56" spans="2:3">
      <c r="B56" s="2">
        <v>8</v>
      </c>
      <c r="C56" s="2">
        <f t="shared" si="6"/>
        <v>30.365012236342114</v>
      </c>
    </row>
    <row r="57" spans="2:3">
      <c r="B57" s="2">
        <v>9</v>
      </c>
      <c r="C57" s="2">
        <f t="shared" si="6"/>
        <v>30.363614378884563</v>
      </c>
    </row>
    <row r="58" spans="2:3">
      <c r="B58" s="2">
        <v>10</v>
      </c>
      <c r="C58" s="2">
        <f t="shared" si="6"/>
        <v>30.362052599862576</v>
      </c>
    </row>
    <row r="59" spans="2:3">
      <c r="B59" s="2">
        <v>20</v>
      </c>
      <c r="C59" s="2">
        <f t="shared" si="6"/>
        <v>30.337467085623985</v>
      </c>
    </row>
    <row r="60" spans="2:3">
      <c r="B60" s="2">
        <v>30</v>
      </c>
      <c r="C60" s="2">
        <f t="shared" si="6"/>
        <v>30.296798009215419</v>
      </c>
    </row>
    <row r="61" spans="2:3">
      <c r="B61" s="2">
        <v>40</v>
      </c>
      <c r="C61" s="2">
        <f t="shared" si="6"/>
        <v>30.240493624404422</v>
      </c>
    </row>
    <row r="62" spans="2:3">
      <c r="B62" s="2">
        <v>50</v>
      </c>
      <c r="C62" s="2">
        <f t="shared" si="6"/>
        <v>30.16915858992185</v>
      </c>
    </row>
    <row r="63" spans="2:3">
      <c r="B63" s="2">
        <v>60</v>
      </c>
      <c r="C63" s="2">
        <f t="shared" si="6"/>
        <v>30.083533138337927</v>
      </c>
    </row>
    <row r="64" spans="2:3">
      <c r="B64" s="2">
        <v>70</v>
      </c>
      <c r="C64" s="2">
        <f t="shared" si="6"/>
        <v>29.984468951514316</v>
      </c>
    </row>
    <row r="65" spans="2:3">
      <c r="B65" s="2">
        <v>80</v>
      </c>
      <c r="C65" s="2">
        <f t="shared" si="6"/>
        <v>29.872903284388698</v>
      </c>
    </row>
    <row r="66" spans="2:3">
      <c r="B66" s="2">
        <v>90</v>
      </c>
      <c r="C66" s="2">
        <f t="shared" si="6"/>
        <v>29.749832821878943</v>
      </c>
    </row>
    <row r="67" spans="2:3">
      <c r="B67" s="2">
        <v>100</v>
      </c>
      <c r="C67" s="2">
        <f t="shared" si="6"/>
        <v>29.616288570461879</v>
      </c>
    </row>
    <row r="68" spans="2:3">
      <c r="B68" s="2">
        <v>200</v>
      </c>
      <c r="C68" s="2">
        <f t="shared" si="6"/>
        <v>27.919154350511036</v>
      </c>
    </row>
    <row r="69" spans="2:3">
      <c r="B69" s="2">
        <v>300</v>
      </c>
      <c r="C69" s="2">
        <f t="shared" si="6"/>
        <v>26.04643541115442</v>
      </c>
    </row>
    <row r="70" spans="2:3">
      <c r="B70" s="2">
        <v>400</v>
      </c>
      <c r="C70" s="2">
        <f t="shared" si="6"/>
        <v>24.313441719431786</v>
      </c>
    </row>
    <row r="71" spans="2:3">
      <c r="B71" s="2">
        <v>500</v>
      </c>
      <c r="C71" s="2">
        <f t="shared" si="6"/>
        <v>22.781260016670398</v>
      </c>
    </row>
    <row r="72" spans="2:3">
      <c r="B72" s="2">
        <v>600</v>
      </c>
      <c r="C72" s="2">
        <f t="shared" si="6"/>
        <v>21.435208116564173</v>
      </c>
    </row>
    <row r="73" spans="2:3">
      <c r="B73" s="2">
        <v>700</v>
      </c>
      <c r="C73" s="2">
        <f t="shared" si="6"/>
        <v>20.246065716901352</v>
      </c>
    </row>
    <row r="74" spans="2:3">
      <c r="B74" s="2">
        <v>800</v>
      </c>
      <c r="C74" s="2">
        <f t="shared" si="6"/>
        <v>19.186288451788137</v>
      </c>
    </row>
    <row r="75" spans="2:3">
      <c r="B75" s="2">
        <v>900</v>
      </c>
      <c r="C75" s="2">
        <f t="shared" si="6"/>
        <v>18.233196814567808</v>
      </c>
    </row>
    <row r="76" spans="2:3">
      <c r="B76" s="2">
        <v>1000</v>
      </c>
      <c r="C76" s="2">
        <f t="shared" si="6"/>
        <v>17.368788622903221</v>
      </c>
    </row>
    <row r="77" spans="2:3">
      <c r="B77" s="2">
        <v>2000</v>
      </c>
      <c r="C77" s="2">
        <f t="shared" si="6"/>
        <v>11.514524928038911</v>
      </c>
    </row>
    <row r="78" spans="2:3">
      <c r="B78" s="2">
        <v>3000</v>
      </c>
      <c r="C78" s="2">
        <f t="shared" si="6"/>
        <v>8.0242143030230775</v>
      </c>
    </row>
    <row r="79" spans="2:3">
      <c r="B79" s="2">
        <v>4000</v>
      </c>
      <c r="C79" s="2">
        <f t="shared" si="6"/>
        <v>5.5365239154444277</v>
      </c>
    </row>
    <row r="80" spans="2:3">
      <c r="B80" s="2">
        <v>5000</v>
      </c>
      <c r="C80" s="2">
        <f t="shared" si="6"/>
        <v>3.6034637166209924</v>
      </c>
    </row>
    <row r="81" spans="2:3">
      <c r="B81" s="2">
        <v>6000</v>
      </c>
      <c r="C81" s="2">
        <f t="shared" ref="C81:C103" si="7">20*LOG(-$C$7/SQRT(1+($B81/$C$13)^2))</f>
        <v>2.0226334797056529</v>
      </c>
    </row>
    <row r="82" spans="2:3">
      <c r="B82" s="2">
        <v>7000</v>
      </c>
      <c r="C82" s="2">
        <f t="shared" si="7"/>
        <v>0.68538366293710395</v>
      </c>
    </row>
    <row r="83" spans="2:3">
      <c r="B83" s="2">
        <v>8000</v>
      </c>
      <c r="C83" s="2">
        <f t="shared" si="7"/>
        <v>-0.47336066308539848</v>
      </c>
    </row>
    <row r="84" spans="2:3">
      <c r="B84" s="2">
        <v>9000</v>
      </c>
      <c r="C84" s="2">
        <f t="shared" si="7"/>
        <v>-1.4956604891527172</v>
      </c>
    </row>
    <row r="85" spans="2:3">
      <c r="B85" s="2">
        <v>10000</v>
      </c>
      <c r="C85" s="2">
        <f t="shared" si="7"/>
        <v>-2.41027330463531</v>
      </c>
    </row>
    <row r="86" spans="2:3">
      <c r="B86" s="2">
        <v>20000</v>
      </c>
      <c r="C86" s="2">
        <f t="shared" si="7"/>
        <v>-8.4291557990361436</v>
      </c>
    </row>
    <row r="87" spans="2:3">
      <c r="B87" s="2">
        <v>30000</v>
      </c>
      <c r="C87" s="2">
        <f t="shared" si="7"/>
        <v>-11.950662865073284</v>
      </c>
    </row>
    <row r="88" spans="2:3">
      <c r="B88" s="2">
        <v>40000</v>
      </c>
      <c r="C88" s="2">
        <f t="shared" si="7"/>
        <v>-14.449326251457297</v>
      </c>
    </row>
    <row r="89" spans="2:3">
      <c r="B89" s="2">
        <v>50000</v>
      </c>
      <c r="C89" s="2">
        <f t="shared" si="7"/>
        <v>-16.387474973461437</v>
      </c>
    </row>
    <row r="90" spans="2:3">
      <c r="B90" s="2">
        <v>60000</v>
      </c>
      <c r="C90" s="2">
        <f t="shared" si="7"/>
        <v>-17.971071898121686</v>
      </c>
    </row>
    <row r="91" spans="2:3">
      <c r="B91" s="2">
        <v>70000</v>
      </c>
      <c r="C91" s="2">
        <f t="shared" si="7"/>
        <v>-19.309990809765505</v>
      </c>
    </row>
    <row r="92" spans="2:3">
      <c r="B92" s="2">
        <v>80000</v>
      </c>
      <c r="C92" s="2">
        <f t="shared" si="7"/>
        <v>-20.469818792886336</v>
      </c>
    </row>
    <row r="93" spans="2:3">
      <c r="B93" s="2">
        <v>90000</v>
      </c>
      <c r="C93" s="2">
        <f t="shared" si="7"/>
        <v>-21.492861730123664</v>
      </c>
    </row>
    <row r="94" spans="2:3">
      <c r="B94" s="2">
        <v>100000</v>
      </c>
      <c r="C94" s="2">
        <f t="shared" si="7"/>
        <v>-22.408006168247002</v>
      </c>
    </row>
    <row r="95" spans="2:3">
      <c r="B95" s="2">
        <v>200000</v>
      </c>
      <c r="C95" s="2">
        <f t="shared" si="7"/>
        <v>-28.428588901733214</v>
      </c>
    </row>
    <row r="96" spans="2:3">
      <c r="B96" s="2">
        <v>300000</v>
      </c>
      <c r="C96" s="2">
        <f t="shared" si="7"/>
        <v>-31.950410901396161</v>
      </c>
    </row>
    <row r="97" spans="2:3">
      <c r="B97" s="2">
        <v>400000</v>
      </c>
      <c r="C97" s="2">
        <f t="shared" si="7"/>
        <v>-34.449184520053869</v>
      </c>
    </row>
    <row r="98" spans="2:3">
      <c r="B98" s="2">
        <v>500000</v>
      </c>
      <c r="C98" s="2">
        <f t="shared" si="7"/>
        <v>-36.387384264819637</v>
      </c>
    </row>
    <row r="99" spans="2:3">
      <c r="B99" s="2">
        <v>600000</v>
      </c>
      <c r="C99" s="2">
        <f t="shared" si="7"/>
        <v>-37.971008905804254</v>
      </c>
    </row>
    <row r="100" spans="2:3">
      <c r="B100" s="2">
        <v>700000</v>
      </c>
      <c r="C100" s="2">
        <f t="shared" si="7"/>
        <v>-39.309944529604707</v>
      </c>
    </row>
    <row r="101" spans="2:3">
      <c r="B101" s="2">
        <v>800000</v>
      </c>
      <c r="C101" s="2">
        <f t="shared" si="7"/>
        <v>-40.469783359593087</v>
      </c>
    </row>
    <row r="102" spans="2:3">
      <c r="B102" s="2">
        <v>900000</v>
      </c>
      <c r="C102" s="2">
        <f t="shared" si="7"/>
        <v>-41.492833733423062</v>
      </c>
    </row>
    <row r="103" spans="2:3">
      <c r="B103" s="2">
        <v>1000000</v>
      </c>
      <c r="C103" s="2">
        <f t="shared" si="7"/>
        <v>-42.407983490905352</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FE25A-C3E3-429A-9F18-6F2BBE0B94E9}">
  <sheetPr codeName="Sheet8"/>
  <dimension ref="B1:J35"/>
  <sheetViews>
    <sheetView zoomScale="96" zoomScaleNormal="96" workbookViewId="0">
      <selection activeCell="C3" sqref="C3"/>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
      <c r="B1" s="1" t="s">
        <v>45</v>
      </c>
    </row>
    <row r="2" spans="2:9" ht="15" thickBot="1">
      <c r="B2" s="2" t="s">
        <v>76</v>
      </c>
      <c r="G2" s="6" t="s">
        <v>36</v>
      </c>
    </row>
    <row r="3" spans="2:9" ht="15" thickBot="1">
      <c r="B3" s="2" t="s">
        <v>12</v>
      </c>
      <c r="C3" s="4">
        <v>1</v>
      </c>
      <c r="D3" s="2" t="s">
        <v>16</v>
      </c>
      <c r="G3" s="2" t="s">
        <v>9</v>
      </c>
      <c r="H3" s="4">
        <v>5</v>
      </c>
      <c r="I3" s="2" t="s">
        <v>18</v>
      </c>
    </row>
    <row r="4" spans="2:9" ht="15" thickBot="1">
      <c r="B4" s="2" t="s">
        <v>15</v>
      </c>
      <c r="C4" s="4">
        <v>7</v>
      </c>
      <c r="D4" s="2" t="s">
        <v>16</v>
      </c>
      <c r="G4" s="2" t="s">
        <v>10</v>
      </c>
      <c r="H4" s="5">
        <v>0</v>
      </c>
      <c r="I4" s="2" t="s">
        <v>19</v>
      </c>
    </row>
    <row r="5" spans="2:9" ht="15" thickBot="1">
      <c r="B5" s="2" t="s">
        <v>0</v>
      </c>
      <c r="C5" s="3">
        <v>0</v>
      </c>
      <c r="D5" s="2" t="s">
        <v>17</v>
      </c>
      <c r="G5" s="2" t="s">
        <v>31</v>
      </c>
      <c r="H5" s="4">
        <v>1.2</v>
      </c>
      <c r="I5" s="2" t="s">
        <v>32</v>
      </c>
    </row>
    <row r="6" spans="2:9" ht="15" thickBot="1">
      <c r="B6" s="2" t="s">
        <v>1</v>
      </c>
      <c r="C6" s="3">
        <f>1+C4/C3</f>
        <v>8</v>
      </c>
      <c r="D6" s="2" t="s">
        <v>39</v>
      </c>
    </row>
    <row r="7" spans="2:9" ht="15" thickBot="1">
      <c r="B7" s="2" t="s">
        <v>25</v>
      </c>
      <c r="C7" s="4">
        <v>1</v>
      </c>
      <c r="D7" s="2" t="s">
        <v>38</v>
      </c>
    </row>
    <row r="8" spans="2:9" ht="15" thickBot="1">
      <c r="E8" s="6" t="s">
        <v>30</v>
      </c>
      <c r="G8" s="6" t="s">
        <v>33</v>
      </c>
    </row>
    <row r="9" spans="2:9" ht="15" thickBot="1">
      <c r="B9" s="7" t="s">
        <v>6</v>
      </c>
      <c r="C9" s="7" t="s">
        <v>7</v>
      </c>
      <c r="D9" s="7" t="s">
        <v>3</v>
      </c>
      <c r="E9" s="7" t="s">
        <v>3</v>
      </c>
      <c r="G9" s="6" t="s">
        <v>29</v>
      </c>
      <c r="H9" s="4">
        <v>0.6</v>
      </c>
      <c r="I9" s="2" t="s">
        <v>17</v>
      </c>
    </row>
    <row r="10" spans="2:9">
      <c r="B10" s="2">
        <v>0</v>
      </c>
      <c r="C10" s="2">
        <f t="shared" ref="C10:C35" si="0">$C$7*SIN($B10)</f>
        <v>0</v>
      </c>
      <c r="D10" s="2">
        <f>$C$6*C10</f>
        <v>0</v>
      </c>
      <c r="E10" s="2">
        <f t="shared" ref="E10:E35" si="1">IF(D10&gt;($H$3-$H$5),($H$3-$H$5),IF(D10&lt;($H$4+$H$5),($H$4+$H$5),D10))</f>
        <v>1.2</v>
      </c>
      <c r="G10" s="6" t="s">
        <v>34</v>
      </c>
      <c r="H10" s="3">
        <f>IF(H9*C6&gt;($H$3-$H$5),($H$3-$H$5),IF(H9*C6&lt;($H$4+$H$5),($H$4+$H$5),H9*C6))</f>
        <v>3.8</v>
      </c>
      <c r="I10" s="2" t="s">
        <v>17</v>
      </c>
    </row>
    <row r="11" spans="2:9">
      <c r="B11" s="2">
        <v>0.1</v>
      </c>
      <c r="C11" s="2">
        <f t="shared" si="0"/>
        <v>9.9833416646828155E-2</v>
      </c>
      <c r="D11" s="2">
        <f t="shared" ref="D11:D35" si="2">$C$6*C11</f>
        <v>0.79866733317462524</v>
      </c>
      <c r="E11" s="2">
        <f t="shared" si="1"/>
        <v>1.2</v>
      </c>
    </row>
    <row r="12" spans="2:9">
      <c r="B12" s="2">
        <v>0.2</v>
      </c>
      <c r="C12" s="2">
        <f t="shared" si="0"/>
        <v>0.19866933079506122</v>
      </c>
      <c r="D12" s="2">
        <f t="shared" si="2"/>
        <v>1.5893546463604897</v>
      </c>
      <c r="E12" s="2">
        <f t="shared" si="1"/>
        <v>1.5893546463604897</v>
      </c>
    </row>
    <row r="13" spans="2:9">
      <c r="B13" s="2">
        <v>1.2</v>
      </c>
      <c r="C13" s="2">
        <f t="shared" si="0"/>
        <v>0.93203908596722629</v>
      </c>
      <c r="D13" s="2">
        <f t="shared" si="2"/>
        <v>7.4563126877378103</v>
      </c>
      <c r="E13" s="2">
        <f t="shared" si="1"/>
        <v>3.8</v>
      </c>
    </row>
    <row r="14" spans="2:9">
      <c r="B14" s="2">
        <v>2.2000000000000002</v>
      </c>
      <c r="C14" s="2">
        <f t="shared" si="0"/>
        <v>0.80849640381959009</v>
      </c>
      <c r="D14" s="2">
        <f t="shared" si="2"/>
        <v>6.4679712305567207</v>
      </c>
      <c r="E14" s="2">
        <f t="shared" si="1"/>
        <v>3.8</v>
      </c>
    </row>
    <row r="15" spans="2:9">
      <c r="B15" s="2">
        <v>3.2</v>
      </c>
      <c r="C15" s="2">
        <f t="shared" si="0"/>
        <v>-5.8374143427580086E-2</v>
      </c>
      <c r="D15" s="2">
        <f t="shared" si="2"/>
        <v>-0.46699314742064069</v>
      </c>
      <c r="E15" s="2">
        <f t="shared" si="1"/>
        <v>1.2</v>
      </c>
    </row>
    <row r="16" spans="2:9">
      <c r="B16" s="2">
        <v>4.2</v>
      </c>
      <c r="C16" s="2">
        <f t="shared" si="0"/>
        <v>-0.87157577241358819</v>
      </c>
      <c r="D16" s="2">
        <f t="shared" si="2"/>
        <v>-6.9726061793087055</v>
      </c>
      <c r="E16" s="2">
        <f t="shared" si="1"/>
        <v>1.2</v>
      </c>
    </row>
    <row r="17" spans="2:10">
      <c r="B17" s="2">
        <v>5.2</v>
      </c>
      <c r="C17" s="2">
        <f t="shared" si="0"/>
        <v>-0.88345465572015314</v>
      </c>
      <c r="D17" s="2">
        <f t="shared" si="2"/>
        <v>-7.0676372457612251</v>
      </c>
      <c r="E17" s="2">
        <f t="shared" si="1"/>
        <v>1.2</v>
      </c>
    </row>
    <row r="18" spans="2:10">
      <c r="B18" s="2">
        <v>6.2</v>
      </c>
      <c r="C18" s="2">
        <f t="shared" si="0"/>
        <v>-8.3089402817496397E-2</v>
      </c>
      <c r="D18" s="2">
        <f t="shared" si="2"/>
        <v>-0.66471522253997117</v>
      </c>
      <c r="E18" s="2">
        <f t="shared" si="1"/>
        <v>1.2</v>
      </c>
    </row>
    <row r="19" spans="2:10">
      <c r="B19" s="2">
        <v>7.2</v>
      </c>
      <c r="C19" s="2">
        <f t="shared" si="0"/>
        <v>0.79366786384915311</v>
      </c>
      <c r="D19" s="2">
        <f t="shared" si="2"/>
        <v>6.3493429107932249</v>
      </c>
      <c r="E19" s="2">
        <f t="shared" si="1"/>
        <v>3.8</v>
      </c>
    </row>
    <row r="20" spans="2:10">
      <c r="B20" s="2">
        <v>8.1999999999999993</v>
      </c>
      <c r="C20" s="2">
        <f t="shared" si="0"/>
        <v>0.94073055667977312</v>
      </c>
      <c r="D20" s="2">
        <f t="shared" si="2"/>
        <v>7.525844453438185</v>
      </c>
      <c r="E20" s="2">
        <f t="shared" si="1"/>
        <v>3.8</v>
      </c>
    </row>
    <row r="21" spans="2:10">
      <c r="B21" s="2">
        <v>9.1999999999999993</v>
      </c>
      <c r="C21" s="2">
        <f t="shared" si="0"/>
        <v>0.22288991410024764</v>
      </c>
      <c r="D21" s="2">
        <f t="shared" si="2"/>
        <v>1.7831193128019811</v>
      </c>
      <c r="E21" s="2">
        <f t="shared" si="1"/>
        <v>1.7831193128019811</v>
      </c>
    </row>
    <row r="22" spans="2:10">
      <c r="B22" s="2">
        <v>10.199999999999999</v>
      </c>
      <c r="C22" s="2">
        <f t="shared" si="0"/>
        <v>-0.69987468759354232</v>
      </c>
      <c r="D22" s="2">
        <f t="shared" si="2"/>
        <v>-5.5989975007483386</v>
      </c>
      <c r="E22" s="2">
        <f t="shared" si="1"/>
        <v>1.2</v>
      </c>
    </row>
    <row r="23" spans="2:10">
      <c r="B23" s="2">
        <v>11.2</v>
      </c>
      <c r="C23" s="2">
        <f t="shared" si="0"/>
        <v>-0.9791777291513174</v>
      </c>
      <c r="D23" s="2">
        <f t="shared" si="2"/>
        <v>-7.8334218332105392</v>
      </c>
      <c r="E23" s="2">
        <f t="shared" si="1"/>
        <v>1.2</v>
      </c>
    </row>
    <row r="24" spans="2:10">
      <c r="B24" s="2">
        <v>12.2</v>
      </c>
      <c r="C24" s="2">
        <f t="shared" si="0"/>
        <v>-0.35822928223682871</v>
      </c>
      <c r="D24" s="2">
        <f t="shared" si="2"/>
        <v>-2.8658342578946296</v>
      </c>
      <c r="E24" s="2">
        <f t="shared" si="1"/>
        <v>1.2</v>
      </c>
    </row>
    <row r="25" spans="2:10">
      <c r="B25" s="2">
        <v>13.2</v>
      </c>
      <c r="C25" s="2">
        <f t="shared" si="0"/>
        <v>0.59207351470722303</v>
      </c>
      <c r="D25" s="2">
        <f t="shared" si="2"/>
        <v>4.7365881176577842</v>
      </c>
      <c r="E25" s="2">
        <f t="shared" si="1"/>
        <v>3.8</v>
      </c>
    </row>
    <row r="26" spans="2:10">
      <c r="B26" s="2">
        <v>14.2</v>
      </c>
      <c r="C26" s="2">
        <f t="shared" si="0"/>
        <v>0.99802665271636171</v>
      </c>
      <c r="D26" s="2">
        <f t="shared" si="2"/>
        <v>7.9842132217308937</v>
      </c>
      <c r="E26" s="2">
        <f t="shared" si="1"/>
        <v>3.8</v>
      </c>
    </row>
    <row r="27" spans="2:10">
      <c r="B27" s="2">
        <v>15.2</v>
      </c>
      <c r="C27" s="2">
        <f t="shared" si="0"/>
        <v>0.48639868885379967</v>
      </c>
      <c r="D27" s="2">
        <f t="shared" si="2"/>
        <v>3.8911895108303973</v>
      </c>
      <c r="E27" s="2">
        <f t="shared" si="1"/>
        <v>3.8</v>
      </c>
    </row>
    <row r="28" spans="2:10">
      <c r="B28" s="2">
        <v>16.2</v>
      </c>
      <c r="C28" s="2">
        <f t="shared" si="0"/>
        <v>-0.47242198639846616</v>
      </c>
      <c r="D28" s="2">
        <f t="shared" si="2"/>
        <v>-3.7793758911877293</v>
      </c>
      <c r="E28" s="2">
        <f t="shared" si="1"/>
        <v>1.2</v>
      </c>
    </row>
    <row r="29" spans="2:10">
      <c r="B29" s="2">
        <v>17.2</v>
      </c>
      <c r="C29" s="2">
        <f t="shared" si="0"/>
        <v>-0.99690006604159609</v>
      </c>
      <c r="D29" s="2">
        <f t="shared" si="2"/>
        <v>-7.9752005283327687</v>
      </c>
      <c r="E29" s="2">
        <f t="shared" si="1"/>
        <v>1.2</v>
      </c>
      <c r="G29" s="6" t="s">
        <v>65</v>
      </c>
    </row>
    <row r="30" spans="2:10">
      <c r="B30" s="2">
        <v>18.2</v>
      </c>
      <c r="C30" s="2">
        <f t="shared" si="0"/>
        <v>-0.60483282240628411</v>
      </c>
      <c r="D30" s="2">
        <f t="shared" si="2"/>
        <v>-4.8386625792502729</v>
      </c>
      <c r="E30" s="2">
        <f t="shared" si="1"/>
        <v>1.2</v>
      </c>
      <c r="G30" s="12" t="s">
        <v>64</v>
      </c>
      <c r="H30" s="12">
        <f>H3</f>
        <v>5</v>
      </c>
      <c r="I30" s="12" t="s">
        <v>17</v>
      </c>
      <c r="J30" s="13" t="str">
        <f>TRIM(G30)&amp;"   "&amp;IF(H30&gt;0,"+","")&amp;TRIM(H30)&amp;" "&amp;TRIM(I30)</f>
        <v>V+:   +5 V</v>
      </c>
    </row>
    <row r="31" spans="2:10">
      <c r="B31" s="2">
        <v>19.2</v>
      </c>
      <c r="C31" s="2">
        <f t="shared" si="0"/>
        <v>0.34331492881989539</v>
      </c>
      <c r="D31" s="2">
        <f t="shared" si="2"/>
        <v>2.7465194305591631</v>
      </c>
      <c r="E31" s="2">
        <f t="shared" si="1"/>
        <v>2.7465194305591631</v>
      </c>
      <c r="G31" s="12" t="s">
        <v>66</v>
      </c>
      <c r="H31" s="12">
        <f>H4</f>
        <v>0</v>
      </c>
      <c r="I31" s="12" t="s">
        <v>17</v>
      </c>
      <c r="J31" s="13" t="str">
        <f t="shared" ref="J31:J32" si="3">TRIM(G31)&amp;"   "&amp;IF(H31&gt;0,"+","")&amp;TRIM(H31)&amp;" "&amp;TRIM(I31)</f>
        <v>V-:   0 V</v>
      </c>
    </row>
    <row r="32" spans="2:10">
      <c r="B32" s="2">
        <v>20.2</v>
      </c>
      <c r="C32" s="2">
        <f t="shared" si="0"/>
        <v>0.97582051776697554</v>
      </c>
      <c r="D32" s="2">
        <f t="shared" si="2"/>
        <v>7.8065641421358043</v>
      </c>
      <c r="E32" s="2">
        <f t="shared" si="1"/>
        <v>3.8</v>
      </c>
      <c r="G32" s="12" t="s">
        <v>29</v>
      </c>
      <c r="H32" s="12">
        <f>H9</f>
        <v>0.6</v>
      </c>
      <c r="I32" s="12" t="s">
        <v>17</v>
      </c>
      <c r="J32" s="13" t="str">
        <f t="shared" si="3"/>
        <v>Vin:   +0.6 V</v>
      </c>
    </row>
    <row r="33" spans="2:10">
      <c r="B33" s="2">
        <v>21.2</v>
      </c>
      <c r="C33" s="2">
        <f t="shared" si="0"/>
        <v>0.71116122290598238</v>
      </c>
      <c r="D33" s="2">
        <f t="shared" si="2"/>
        <v>5.6892897832478591</v>
      </c>
      <c r="E33" s="2">
        <f t="shared" si="1"/>
        <v>3.8</v>
      </c>
      <c r="G33" s="12" t="s">
        <v>67</v>
      </c>
      <c r="H33" s="12">
        <f>C3</f>
        <v>1</v>
      </c>
      <c r="I33" s="12" t="s">
        <v>16</v>
      </c>
      <c r="J33" s="13" t="str">
        <f>TRIM(G33)&amp;"   "&amp;TRIM(H33)&amp;" "&amp;TRIM(I33)</f>
        <v>R1:   1 K</v>
      </c>
    </row>
    <row r="34" spans="2:10">
      <c r="B34" s="2">
        <v>22.2</v>
      </c>
      <c r="C34" s="2">
        <f t="shared" si="0"/>
        <v>-0.20733642060675878</v>
      </c>
      <c r="D34" s="2">
        <f t="shared" si="2"/>
        <v>-1.6586913648540702</v>
      </c>
      <c r="E34" s="2">
        <f t="shared" si="1"/>
        <v>1.2</v>
      </c>
      <c r="G34" s="12" t="s">
        <v>68</v>
      </c>
      <c r="H34" s="12">
        <f>C4</f>
        <v>7</v>
      </c>
      <c r="I34" s="12" t="s">
        <v>16</v>
      </c>
      <c r="J34" s="13" t="str">
        <f>TRIM(G34)&amp;"   "&amp;TRIM(H34)&amp;" "&amp;TRIM(I34)</f>
        <v>RF:   7 K</v>
      </c>
    </row>
    <row r="35" spans="2:10">
      <c r="B35" s="2">
        <v>23.2</v>
      </c>
      <c r="C35" s="2">
        <f t="shared" si="0"/>
        <v>-0.93520991519453889</v>
      </c>
      <c r="D35" s="2">
        <f t="shared" si="2"/>
        <v>-7.4816793215563111</v>
      </c>
      <c r="E35" s="2">
        <f t="shared" si="1"/>
        <v>1.2</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B7424-265C-4B1B-8264-A5D3D5C6AB7D}">
  <dimension ref="B1:J74"/>
  <sheetViews>
    <sheetView zoomScale="96" zoomScaleNormal="96" workbookViewId="0">
      <selection activeCell="C2" sqref="C2"/>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5" thickBot="1">
      <c r="B1" s="1" t="s">
        <v>168</v>
      </c>
    </row>
    <row r="2" spans="2:9" ht="15" thickBot="1">
      <c r="B2" s="2" t="s">
        <v>173</v>
      </c>
      <c r="C2" s="4">
        <v>5</v>
      </c>
      <c r="D2" s="2" t="s">
        <v>17</v>
      </c>
      <c r="G2" s="6" t="s">
        <v>36</v>
      </c>
    </row>
    <row r="3" spans="2:9" ht="15" thickBot="1">
      <c r="B3" s="2" t="s">
        <v>12</v>
      </c>
      <c r="C3" s="4">
        <v>10</v>
      </c>
      <c r="D3" s="2" t="s">
        <v>16</v>
      </c>
      <c r="G3" s="2" t="s">
        <v>9</v>
      </c>
      <c r="H3" s="4">
        <v>5</v>
      </c>
      <c r="I3" s="2" t="s">
        <v>18</v>
      </c>
    </row>
    <row r="4" spans="2:9" ht="15" thickBot="1">
      <c r="B4" s="2" t="s">
        <v>13</v>
      </c>
      <c r="C4" s="4">
        <v>1</v>
      </c>
      <c r="D4" s="2" t="s">
        <v>16</v>
      </c>
      <c r="G4" s="2" t="s">
        <v>10</v>
      </c>
      <c r="H4" s="5">
        <v>0</v>
      </c>
      <c r="I4" s="2" t="s">
        <v>19</v>
      </c>
    </row>
    <row r="5" spans="2:9" ht="15" thickBot="1">
      <c r="B5" s="2" t="s">
        <v>2</v>
      </c>
      <c r="C5" s="4">
        <f>C2*C4/(C3+C4)</f>
        <v>0.45454545454545453</v>
      </c>
      <c r="D5" s="2" t="s">
        <v>17</v>
      </c>
      <c r="G5" s="2" t="s">
        <v>31</v>
      </c>
      <c r="H5" s="4">
        <v>0</v>
      </c>
      <c r="I5" s="2" t="s">
        <v>32</v>
      </c>
    </row>
    <row r="6" spans="2:9" ht="15" thickBot="1">
      <c r="B6" s="6" t="s">
        <v>177</v>
      </c>
    </row>
    <row r="7" spans="2:9" ht="15" thickBot="1">
      <c r="B7" s="2" t="s">
        <v>170</v>
      </c>
      <c r="C7" s="4">
        <v>2100</v>
      </c>
      <c r="D7" s="2" t="s">
        <v>16</v>
      </c>
    </row>
    <row r="8" spans="2:9" ht="15" thickBot="1">
      <c r="B8" s="2" t="s">
        <v>169</v>
      </c>
      <c r="C8" s="4">
        <v>145</v>
      </c>
      <c r="D8" s="2" t="s">
        <v>16</v>
      </c>
      <c r="G8" s="6" t="s">
        <v>33</v>
      </c>
    </row>
    <row r="9" spans="2:9" ht="15" thickBot="1">
      <c r="B9" s="2" t="s">
        <v>171</v>
      </c>
      <c r="C9" s="4">
        <v>1000</v>
      </c>
      <c r="D9" s="2" t="s">
        <v>16</v>
      </c>
      <c r="G9" s="6" t="s">
        <v>29</v>
      </c>
      <c r="H9" s="4">
        <v>0.6</v>
      </c>
      <c r="I9" s="2" t="s">
        <v>17</v>
      </c>
    </row>
    <row r="10" spans="2:9" ht="15" thickBot="1">
      <c r="B10" s="2" t="s">
        <v>175</v>
      </c>
      <c r="C10" s="4">
        <f>C5*$C$9/($C$7+$C$9)</f>
        <v>0.14662756598240467</v>
      </c>
      <c r="D10" s="2" t="s">
        <v>242</v>
      </c>
      <c r="G10" s="6" t="s">
        <v>34</v>
      </c>
      <c r="H10" s="3">
        <f>IF(H9*C15&gt;($H$3-$H$5),($H$3-$H$5),IF(H9*C15&lt;($H$4+$H$5),($H$4+$H$5),H9*C15))</f>
        <v>3.9599999999999995</v>
      </c>
      <c r="I10" s="2" t="s">
        <v>17</v>
      </c>
    </row>
    <row r="11" spans="2:9" ht="15" thickBot="1">
      <c r="B11" s="2" t="s">
        <v>174</v>
      </c>
      <c r="C11" s="4">
        <f>C5*$C$9/($C$8+$C$9)</f>
        <v>0.39698292973402138</v>
      </c>
      <c r="D11" s="2" t="s">
        <v>38</v>
      </c>
    </row>
    <row r="12" spans="2:9" ht="15" thickBot="1">
      <c r="B12" s="2" t="s">
        <v>172</v>
      </c>
      <c r="C12" s="4">
        <v>10</v>
      </c>
      <c r="D12" s="2" t="s">
        <v>16</v>
      </c>
    </row>
    <row r="13" spans="2:9" ht="15" thickBot="1">
      <c r="B13" s="2" t="s">
        <v>15</v>
      </c>
      <c r="C13" s="4">
        <v>56</v>
      </c>
      <c r="D13" s="2" t="s">
        <v>16</v>
      </c>
    </row>
    <row r="14" spans="2:9">
      <c r="B14" s="2" t="s">
        <v>0</v>
      </c>
      <c r="C14" s="3">
        <v>0</v>
      </c>
      <c r="D14" s="2" t="s">
        <v>17</v>
      </c>
    </row>
    <row r="15" spans="2:9">
      <c r="B15" s="2" t="s">
        <v>1</v>
      </c>
      <c r="C15" s="3">
        <f>1+C13/C12</f>
        <v>6.6</v>
      </c>
      <c r="D15" s="2" t="s">
        <v>39</v>
      </c>
    </row>
    <row r="17" spans="2:10">
      <c r="E17" s="6" t="s">
        <v>30</v>
      </c>
    </row>
    <row r="18" spans="2:10">
      <c r="B18" s="7" t="s">
        <v>6</v>
      </c>
      <c r="C18" s="7" t="s">
        <v>7</v>
      </c>
      <c r="D18" s="7" t="s">
        <v>3</v>
      </c>
      <c r="E18" s="7" t="s">
        <v>3</v>
      </c>
    </row>
    <row r="19" spans="2:10">
      <c r="B19" s="2">
        <v>0</v>
      </c>
      <c r="C19" s="2">
        <f t="shared" ref="C19:C44" si="0">(($C$11-$C$10)/2)*(1+SIN($B19))+$C$10</f>
        <v>0.27180524785821303</v>
      </c>
      <c r="D19" s="2">
        <f t="shared" ref="D19:D44" si="1">$C$15*C19</f>
        <v>1.793914635864206</v>
      </c>
      <c r="E19" s="2">
        <f t="shared" ref="E19:E44" si="2">IF(D19&gt;($H$3-$H$5),($H$3-$H$5),IF(D19&lt;($H$4+$H$5),($H$4+$H$5),D19))</f>
        <v>1.793914635864206</v>
      </c>
    </row>
    <row r="20" spans="2:10">
      <c r="B20" s="2">
        <v>0.1</v>
      </c>
      <c r="C20" s="2">
        <f t="shared" si="0"/>
        <v>0.28430216352780469</v>
      </c>
      <c r="D20" s="2">
        <f t="shared" si="1"/>
        <v>1.8763942792835109</v>
      </c>
      <c r="E20" s="2">
        <f t="shared" si="2"/>
        <v>1.8763942792835109</v>
      </c>
    </row>
    <row r="21" spans="2:10">
      <c r="B21" s="2">
        <v>0.2</v>
      </c>
      <c r="C21" s="2">
        <f t="shared" si="0"/>
        <v>0.29667421414695694</v>
      </c>
      <c r="D21" s="2">
        <f t="shared" si="1"/>
        <v>1.9580498133699158</v>
      </c>
      <c r="E21" s="2">
        <f t="shared" si="2"/>
        <v>1.9580498133699158</v>
      </c>
    </row>
    <row r="22" spans="2:10">
      <c r="B22" s="2">
        <v>1.2</v>
      </c>
      <c r="C22" s="2">
        <f t="shared" si="0"/>
        <v>0.38847574005723767</v>
      </c>
      <c r="D22" s="2">
        <f t="shared" si="1"/>
        <v>2.5639398843777683</v>
      </c>
      <c r="E22" s="2">
        <f t="shared" si="2"/>
        <v>2.5639398843777683</v>
      </c>
    </row>
    <row r="23" spans="2:10">
      <c r="B23" s="2">
        <v>2.2000000000000002</v>
      </c>
      <c r="C23" s="2">
        <f t="shared" si="0"/>
        <v>0.37301095349327673</v>
      </c>
      <c r="D23" s="2">
        <f t="shared" si="1"/>
        <v>2.4618722930556265</v>
      </c>
      <c r="E23" s="2">
        <f t="shared" si="2"/>
        <v>2.4618722930556265</v>
      </c>
    </row>
    <row r="24" spans="2:10">
      <c r="B24" s="2">
        <v>3.2</v>
      </c>
      <c r="C24" s="2">
        <f t="shared" si="0"/>
        <v>0.26449810790246259</v>
      </c>
      <c r="D24" s="2">
        <f t="shared" si="1"/>
        <v>1.745687512156253</v>
      </c>
      <c r="E24" s="2">
        <f t="shared" si="2"/>
        <v>1.745687512156253</v>
      </c>
    </row>
    <row r="25" spans="2:10">
      <c r="B25" s="2">
        <v>4.2</v>
      </c>
      <c r="C25" s="2">
        <f t="shared" si="0"/>
        <v>0.16270341308836295</v>
      </c>
      <c r="D25" s="2">
        <f t="shared" si="1"/>
        <v>1.0738425263831954</v>
      </c>
      <c r="E25" s="2">
        <f t="shared" si="2"/>
        <v>1.0738425263831954</v>
      </c>
    </row>
    <row r="26" spans="2:10">
      <c r="B26" s="2">
        <v>5.2</v>
      </c>
      <c r="C26" s="2">
        <f t="shared" si="0"/>
        <v>0.16121644201277391</v>
      </c>
      <c r="D26" s="2">
        <f t="shared" si="1"/>
        <v>1.0640285172843078</v>
      </c>
      <c r="E26" s="2">
        <f t="shared" si="2"/>
        <v>1.0640285172843078</v>
      </c>
    </row>
    <row r="27" spans="2:10">
      <c r="B27" s="2">
        <v>6.2</v>
      </c>
      <c r="C27" s="2">
        <f t="shared" si="0"/>
        <v>0.26140430902507356</v>
      </c>
      <c r="D27" s="2">
        <f t="shared" si="1"/>
        <v>1.7252684395654854</v>
      </c>
      <c r="E27" s="2">
        <f t="shared" si="2"/>
        <v>1.7252684395654854</v>
      </c>
    </row>
    <row r="28" spans="2:10">
      <c r="B28" s="2">
        <v>7.2</v>
      </c>
      <c r="C28" s="2">
        <f t="shared" si="0"/>
        <v>0.37115475123417474</v>
      </c>
      <c r="D28" s="2">
        <f t="shared" si="1"/>
        <v>2.4496213581455533</v>
      </c>
      <c r="E28" s="2">
        <f t="shared" si="2"/>
        <v>2.4496213581455533</v>
      </c>
    </row>
    <row r="29" spans="2:10">
      <c r="B29" s="2">
        <v>8.1999999999999993</v>
      </c>
      <c r="C29" s="2">
        <f t="shared" si="0"/>
        <v>0.38956371821312574</v>
      </c>
      <c r="D29" s="2">
        <f t="shared" si="1"/>
        <v>2.5711205402066297</v>
      </c>
      <c r="E29" s="2">
        <f t="shared" si="2"/>
        <v>2.5711205402066297</v>
      </c>
      <c r="G29" s="6" t="s">
        <v>65</v>
      </c>
    </row>
    <row r="30" spans="2:10">
      <c r="B30" s="2">
        <v>9.1999999999999993</v>
      </c>
      <c r="C30" s="2">
        <f t="shared" si="0"/>
        <v>0.29970609061878006</v>
      </c>
      <c r="D30" s="2">
        <f t="shared" si="1"/>
        <v>1.9780601980839483</v>
      </c>
      <c r="E30" s="2">
        <f t="shared" si="2"/>
        <v>1.9780601980839483</v>
      </c>
      <c r="G30" s="12" t="s">
        <v>64</v>
      </c>
      <c r="H30" s="12">
        <f>H3</f>
        <v>5</v>
      </c>
      <c r="I30" s="12" t="s">
        <v>17</v>
      </c>
      <c r="J30" s="13" t="str">
        <f>TRIM(G30)&amp;"   "&amp;IF(H30&gt;0,"+","")&amp;TRIM(H30)&amp;" "&amp;TRIM(I30)</f>
        <v>V+:   +5 V</v>
      </c>
    </row>
    <row r="31" spans="2:10">
      <c r="B31" s="2">
        <v>10.199999999999999</v>
      </c>
      <c r="C31" s="2">
        <f t="shared" si="0"/>
        <v>0.18419655686169784</v>
      </c>
      <c r="D31" s="2">
        <f t="shared" si="1"/>
        <v>1.2156972752872057</v>
      </c>
      <c r="E31" s="2">
        <f t="shared" si="2"/>
        <v>1.2156972752872057</v>
      </c>
      <c r="G31" s="12" t="s">
        <v>66</v>
      </c>
      <c r="H31" s="12">
        <f>H4</f>
        <v>0</v>
      </c>
      <c r="I31" s="12" t="s">
        <v>17</v>
      </c>
      <c r="J31" s="13" t="str">
        <f t="shared" ref="J31:J32" si="3">TRIM(G31)&amp;"   "&amp;IF(H31&gt;0,"+","")&amp;TRIM(H31)&amp;" "&amp;TRIM(I31)</f>
        <v>V-:   0 V</v>
      </c>
    </row>
    <row r="32" spans="2:10">
      <c r="B32" s="2">
        <v>11.2</v>
      </c>
      <c r="C32" s="2">
        <f t="shared" si="0"/>
        <v>0.14923404957863298</v>
      </c>
      <c r="D32" s="2">
        <f t="shared" si="1"/>
        <v>0.98494472721897763</v>
      </c>
      <c r="E32" s="2">
        <f t="shared" si="2"/>
        <v>0.98494472721897763</v>
      </c>
      <c r="G32" s="12" t="s">
        <v>29</v>
      </c>
      <c r="H32" s="12">
        <f>H9</f>
        <v>0.6</v>
      </c>
      <c r="I32" s="12" t="s">
        <v>17</v>
      </c>
      <c r="J32" s="13" t="str">
        <f t="shared" si="3"/>
        <v>Vin:   +0.6 V</v>
      </c>
    </row>
    <row r="33" spans="2:10">
      <c r="B33" s="2">
        <v>12.2</v>
      </c>
      <c r="C33" s="2">
        <f t="shared" si="0"/>
        <v>0.22696293672777212</v>
      </c>
      <c r="D33" s="2">
        <f t="shared" si="1"/>
        <v>1.4979553824032958</v>
      </c>
      <c r="E33" s="2">
        <f t="shared" si="2"/>
        <v>1.4979553824032958</v>
      </c>
      <c r="G33" s="12" t="s">
        <v>67</v>
      </c>
      <c r="H33" s="12">
        <f>C12</f>
        <v>10</v>
      </c>
      <c r="I33" s="12" t="s">
        <v>16</v>
      </c>
      <c r="J33" s="13" t="str">
        <f>TRIM(G33)&amp;"   "&amp;TRIM(H33)&amp;" "&amp;TRIM(I33)</f>
        <v>R1:   10 K</v>
      </c>
    </row>
    <row r="34" spans="2:10">
      <c r="B34" s="2">
        <v>13.2</v>
      </c>
      <c r="C34" s="2">
        <f t="shared" si="0"/>
        <v>0.34591963792932556</v>
      </c>
      <c r="D34" s="2">
        <f t="shared" si="1"/>
        <v>2.2830696103335484</v>
      </c>
      <c r="E34" s="2">
        <f t="shared" si="2"/>
        <v>2.2830696103335484</v>
      </c>
      <c r="G34" s="12" t="s">
        <v>68</v>
      </c>
      <c r="H34" s="12">
        <f>C13</f>
        <v>56</v>
      </c>
      <c r="I34" s="12" t="s">
        <v>16</v>
      </c>
      <c r="J34" s="13" t="str">
        <f>TRIM(G34)&amp;"   "&amp;TRIM(H34)&amp;" "&amp;TRIM(I34)</f>
        <v>RF:   56 K</v>
      </c>
    </row>
    <row r="35" spans="2:10">
      <c r="B35" s="2">
        <v>14.2</v>
      </c>
      <c r="C35" s="2">
        <f t="shared" si="0"/>
        <v>0.39673591069551961</v>
      </c>
      <c r="D35" s="2">
        <f t="shared" si="1"/>
        <v>2.6184570105904292</v>
      </c>
      <c r="E35" s="2">
        <f t="shared" si="2"/>
        <v>2.6184570105904292</v>
      </c>
    </row>
    <row r="36" spans="2:10">
      <c r="B36" s="2">
        <v>15.2</v>
      </c>
      <c r="C36" s="2">
        <f t="shared" si="0"/>
        <v>0.33269150819636428</v>
      </c>
      <c r="D36" s="2">
        <f t="shared" si="1"/>
        <v>2.1957639540960043</v>
      </c>
      <c r="E36" s="2">
        <f t="shared" si="2"/>
        <v>2.1957639540960043</v>
      </c>
    </row>
    <row r="37" spans="2:10">
      <c r="B37" s="2">
        <v>16.2</v>
      </c>
      <c r="C37" s="2">
        <f t="shared" si="0"/>
        <v>0.21266855873368837</v>
      </c>
      <c r="D37" s="2">
        <f t="shared" si="1"/>
        <v>1.4036124876423433</v>
      </c>
      <c r="E37" s="2">
        <f t="shared" si="2"/>
        <v>1.4036124876423433</v>
      </c>
    </row>
    <row r="38" spans="2:10">
      <c r="B38" s="2">
        <v>17.2</v>
      </c>
      <c r="C38" s="2">
        <f t="shared" si="0"/>
        <v>0.14701560852928577</v>
      </c>
      <c r="D38" s="2">
        <f t="shared" si="1"/>
        <v>0.97030301629328608</v>
      </c>
      <c r="E38" s="2">
        <f t="shared" si="2"/>
        <v>0.97030301629328608</v>
      </c>
    </row>
    <row r="39" spans="2:10">
      <c r="B39" s="2">
        <v>18.2</v>
      </c>
      <c r="C39" s="2">
        <f t="shared" si="0"/>
        <v>0.19609367722699189</v>
      </c>
      <c r="D39" s="2">
        <f t="shared" si="1"/>
        <v>1.2942182696981464</v>
      </c>
      <c r="E39" s="2">
        <f t="shared" si="2"/>
        <v>1.2942182696981464</v>
      </c>
    </row>
    <row r="40" spans="2:10">
      <c r="B40" s="2">
        <v>19.2</v>
      </c>
      <c r="C40" s="2">
        <f t="shared" si="0"/>
        <v>0.31478061480124564</v>
      </c>
      <c r="D40" s="2">
        <f t="shared" si="1"/>
        <v>2.0775520576882212</v>
      </c>
      <c r="E40" s="2">
        <f t="shared" si="2"/>
        <v>2.0775520576882212</v>
      </c>
    </row>
    <row r="41" spans="2:10">
      <c r="B41" s="2">
        <v>20.2</v>
      </c>
      <c r="C41" s="2">
        <f t="shared" si="0"/>
        <v>0.39395619819913408</v>
      </c>
      <c r="D41" s="2">
        <f t="shared" si="1"/>
        <v>2.6001109081142846</v>
      </c>
      <c r="E41" s="2">
        <f t="shared" si="2"/>
        <v>2.6001109081142846</v>
      </c>
    </row>
    <row r="42" spans="2:10">
      <c r="B42" s="2">
        <v>21.2</v>
      </c>
      <c r="C42" s="2">
        <f t="shared" si="0"/>
        <v>0.36082676118154888</v>
      </c>
      <c r="D42" s="2">
        <f t="shared" si="1"/>
        <v>2.3814566237982224</v>
      </c>
      <c r="E42" s="2">
        <f t="shared" si="2"/>
        <v>2.3814566237982224</v>
      </c>
    </row>
    <row r="43" spans="2:10">
      <c r="B43" s="2">
        <v>22.2</v>
      </c>
      <c r="C43" s="2">
        <f t="shared" si="0"/>
        <v>0.24585135535823138</v>
      </c>
      <c r="D43" s="2">
        <f t="shared" si="1"/>
        <v>1.6226189453643269</v>
      </c>
      <c r="E43" s="2">
        <f t="shared" si="2"/>
        <v>1.6226189453643269</v>
      </c>
    </row>
    <row r="44" spans="2:10">
      <c r="B44" s="2">
        <v>23.2</v>
      </c>
      <c r="C44" s="2">
        <f t="shared" si="0"/>
        <v>0.15473783860688933</v>
      </c>
      <c r="D44" s="2">
        <f t="shared" si="1"/>
        <v>1.0212697348054696</v>
      </c>
      <c r="E44" s="2">
        <f t="shared" si="2"/>
        <v>1.0212697348054696</v>
      </c>
    </row>
    <row r="47" spans="2:10">
      <c r="E47" s="6" t="s">
        <v>30</v>
      </c>
    </row>
    <row r="48" spans="2:10">
      <c r="B48" s="7" t="s">
        <v>176</v>
      </c>
      <c r="C48" s="7" t="s">
        <v>7</v>
      </c>
      <c r="D48" s="7" t="s">
        <v>3</v>
      </c>
      <c r="E48" s="7" t="s">
        <v>3</v>
      </c>
    </row>
    <row r="49" spans="2:5">
      <c r="B49" s="2">
        <f>C7</f>
        <v>2100</v>
      </c>
      <c r="C49" s="2">
        <f t="shared" ref="C49:C74" si="4">$C$5*$C$9/(B49+$C$9)</f>
        <v>0.14662756598240467</v>
      </c>
      <c r="D49" s="2">
        <f t="shared" ref="D49:D74" si="5">$C$15*C49</f>
        <v>0.96774193548387077</v>
      </c>
      <c r="E49" s="2">
        <f t="shared" ref="E49:E74" si="6">IF(D49&gt;($H$3-$H$5),($H$3-$H$5),IF(D49&lt;($H$4+$H$5),($H$4+$H$5),D49))</f>
        <v>0.96774193548387077</v>
      </c>
    </row>
    <row r="50" spans="2:5">
      <c r="B50" s="2">
        <f t="shared" ref="B50:B74" si="7">B49-($C$7-$C$8)/25</f>
        <v>2021.8</v>
      </c>
      <c r="C50" s="2">
        <f t="shared" si="4"/>
        <v>0.15042208436873866</v>
      </c>
      <c r="D50" s="2">
        <f t="shared" si="5"/>
        <v>0.99278575683367509</v>
      </c>
      <c r="E50" s="2">
        <f t="shared" si="6"/>
        <v>0.99278575683367509</v>
      </c>
    </row>
    <row r="51" spans="2:5">
      <c r="B51" s="2">
        <f t="shared" si="7"/>
        <v>1943.6</v>
      </c>
      <c r="C51" s="2">
        <f t="shared" si="4"/>
        <v>0.15441821393717031</v>
      </c>
      <c r="D51" s="2">
        <f t="shared" si="5"/>
        <v>1.019160211985324</v>
      </c>
      <c r="E51" s="2">
        <f t="shared" si="6"/>
        <v>1.019160211985324</v>
      </c>
    </row>
    <row r="52" spans="2:5">
      <c r="B52" s="2">
        <f t="shared" si="7"/>
        <v>1865.3999999999999</v>
      </c>
      <c r="C52" s="2">
        <f t="shared" si="4"/>
        <v>0.15863246127781622</v>
      </c>
      <c r="D52" s="2">
        <f t="shared" si="5"/>
        <v>1.046974244433587</v>
      </c>
      <c r="E52" s="2">
        <f t="shared" si="6"/>
        <v>1.046974244433587</v>
      </c>
    </row>
    <row r="53" spans="2:5">
      <c r="B53" s="2">
        <f t="shared" si="7"/>
        <v>1787.1999999999998</v>
      </c>
      <c r="C53" s="2">
        <f t="shared" si="4"/>
        <v>0.16308318547124517</v>
      </c>
      <c r="D53" s="2">
        <f t="shared" si="5"/>
        <v>1.076349024110218</v>
      </c>
      <c r="E53" s="2">
        <f t="shared" si="6"/>
        <v>1.076349024110218</v>
      </c>
    </row>
    <row r="54" spans="2:5">
      <c r="B54" s="2">
        <f t="shared" si="7"/>
        <v>1708.9999999999998</v>
      </c>
      <c r="C54" s="2">
        <f t="shared" si="4"/>
        <v>0.16779086546528404</v>
      </c>
      <c r="D54" s="2">
        <f t="shared" si="5"/>
        <v>1.1074197120708746</v>
      </c>
      <c r="E54" s="2">
        <f t="shared" si="6"/>
        <v>1.1074197120708746</v>
      </c>
    </row>
    <row r="55" spans="2:5">
      <c r="B55" s="2">
        <f t="shared" si="7"/>
        <v>1630.7999999999997</v>
      </c>
      <c r="C55" s="2">
        <f t="shared" si="4"/>
        <v>0.17277841513815362</v>
      </c>
      <c r="D55" s="2">
        <f t="shared" si="5"/>
        <v>1.1403375399118139</v>
      </c>
      <c r="E55" s="2">
        <f t="shared" si="6"/>
        <v>1.1403375399118139</v>
      </c>
    </row>
    <row r="56" spans="2:5">
      <c r="B56" s="2">
        <f t="shared" si="7"/>
        <v>1552.5999999999997</v>
      </c>
      <c r="C56" s="2">
        <f t="shared" si="4"/>
        <v>0.17807155627417323</v>
      </c>
      <c r="D56" s="2">
        <f t="shared" si="5"/>
        <v>1.1752722714095432</v>
      </c>
      <c r="E56" s="2">
        <f t="shared" si="6"/>
        <v>1.1752722714095432</v>
      </c>
    </row>
    <row r="57" spans="2:5">
      <c r="B57" s="2">
        <f t="shared" si="7"/>
        <v>1474.3999999999996</v>
      </c>
      <c r="C57" s="2">
        <f t="shared" si="4"/>
        <v>0.18369926226376276</v>
      </c>
      <c r="D57" s="2">
        <f t="shared" si="5"/>
        <v>1.2124151309408342</v>
      </c>
      <c r="E57" s="2">
        <f t="shared" si="6"/>
        <v>1.2124151309408342</v>
      </c>
    </row>
    <row r="58" spans="2:5">
      <c r="B58" s="2">
        <f t="shared" si="7"/>
        <v>1396.1999999999996</v>
      </c>
      <c r="C58" s="2">
        <f t="shared" si="4"/>
        <v>0.18969428868435628</v>
      </c>
      <c r="D58" s="2">
        <f t="shared" si="5"/>
        <v>1.2519823053167514</v>
      </c>
      <c r="E58" s="2">
        <f t="shared" si="6"/>
        <v>1.2519823053167514</v>
      </c>
    </row>
    <row r="59" spans="2:5">
      <c r="B59" s="2">
        <f t="shared" si="7"/>
        <v>1317.9999999999995</v>
      </c>
      <c r="C59" s="2">
        <f t="shared" si="4"/>
        <v>0.19609381127931605</v>
      </c>
      <c r="D59" s="2">
        <f t="shared" si="5"/>
        <v>1.2942191544434858</v>
      </c>
      <c r="E59" s="2">
        <f t="shared" si="6"/>
        <v>1.2942191544434858</v>
      </c>
    </row>
    <row r="60" spans="2:5">
      <c r="B60" s="2">
        <f t="shared" si="7"/>
        <v>1239.7999999999995</v>
      </c>
      <c r="C60" s="2">
        <f t="shared" si="4"/>
        <v>0.20294019758257642</v>
      </c>
      <c r="D60" s="2">
        <f t="shared" si="5"/>
        <v>1.3394053040450042</v>
      </c>
      <c r="E60" s="2">
        <f t="shared" si="6"/>
        <v>1.3394053040450042</v>
      </c>
    </row>
    <row r="61" spans="2:5">
      <c r="B61" s="2">
        <f t="shared" si="7"/>
        <v>1161.5999999999995</v>
      </c>
      <c r="C61" s="2">
        <f t="shared" si="4"/>
        <v>0.21028194603324141</v>
      </c>
      <c r="D61" s="2">
        <f t="shared" si="5"/>
        <v>1.3878608438193931</v>
      </c>
      <c r="E61" s="2">
        <f t="shared" si="6"/>
        <v>1.3878608438193931</v>
      </c>
    </row>
    <row r="62" spans="2:5">
      <c r="B62" s="2">
        <f t="shared" si="7"/>
        <v>1083.3999999999994</v>
      </c>
      <c r="C62" s="2">
        <f t="shared" si="4"/>
        <v>0.21817483658704742</v>
      </c>
      <c r="D62" s="2">
        <f t="shared" si="5"/>
        <v>1.439953921474513</v>
      </c>
      <c r="E62" s="2">
        <f t="shared" si="6"/>
        <v>1.439953921474513</v>
      </c>
    </row>
    <row r="63" spans="2:5">
      <c r="B63" s="2">
        <f t="shared" si="7"/>
        <v>1005.1999999999994</v>
      </c>
      <c r="C63" s="2">
        <f t="shared" si="4"/>
        <v>0.22668335056126804</v>
      </c>
      <c r="D63" s="2">
        <f t="shared" si="5"/>
        <v>1.4961101137043689</v>
      </c>
      <c r="E63" s="2">
        <f t="shared" si="6"/>
        <v>1.4961101137043689</v>
      </c>
    </row>
    <row r="64" spans="2:5">
      <c r="B64" s="2">
        <f t="shared" si="7"/>
        <v>926.99999999999932</v>
      </c>
      <c r="C64" s="2">
        <f t="shared" si="4"/>
        <v>0.23588243619380106</v>
      </c>
      <c r="D64" s="2">
        <f t="shared" si="5"/>
        <v>1.5568240788790868</v>
      </c>
      <c r="E64" s="2">
        <f t="shared" si="6"/>
        <v>1.5568240788790868</v>
      </c>
    </row>
    <row r="65" spans="2:5">
      <c r="B65" s="2">
        <f t="shared" si="7"/>
        <v>848.79999999999927</v>
      </c>
      <c r="C65" s="2">
        <f t="shared" si="4"/>
        <v>0.24585972227685779</v>
      </c>
      <c r="D65" s="2">
        <f t="shared" si="5"/>
        <v>1.6226741670272613</v>
      </c>
      <c r="E65" s="2">
        <f t="shared" si="6"/>
        <v>1.6226741670272613</v>
      </c>
    </row>
    <row r="66" spans="2:5">
      <c r="B66" s="2">
        <f t="shared" si="7"/>
        <v>770.59999999999923</v>
      </c>
      <c r="C66" s="2">
        <f t="shared" si="4"/>
        <v>0.25671831839232728</v>
      </c>
      <c r="D66" s="2">
        <f t="shared" si="5"/>
        <v>1.69434090138936</v>
      </c>
      <c r="E66" s="2">
        <f t="shared" si="6"/>
        <v>1.69434090138936</v>
      </c>
    </row>
    <row r="67" spans="2:5">
      <c r="B67" s="2">
        <f t="shared" si="7"/>
        <v>692.39999999999918</v>
      </c>
      <c r="C67" s="2">
        <f t="shared" si="4"/>
        <v>0.26858039148277874</v>
      </c>
      <c r="D67" s="2">
        <f t="shared" si="5"/>
        <v>1.7726305837863396</v>
      </c>
      <c r="E67" s="2">
        <f t="shared" si="6"/>
        <v>1.7726305837863396</v>
      </c>
    </row>
    <row r="68" spans="2:5">
      <c r="B68" s="2">
        <f t="shared" si="7"/>
        <v>614.19999999999914</v>
      </c>
      <c r="C68" s="2">
        <f t="shared" si="4"/>
        <v>0.2815917820254335</v>
      </c>
      <c r="D68" s="2">
        <f t="shared" si="5"/>
        <v>1.8585057613678611</v>
      </c>
      <c r="E68" s="2">
        <f t="shared" si="6"/>
        <v>1.8585057613678611</v>
      </c>
    </row>
    <row r="69" spans="2:5">
      <c r="B69" s="2">
        <f t="shared" si="7"/>
        <v>535.99999999999909</v>
      </c>
      <c r="C69" s="2">
        <f t="shared" si="4"/>
        <v>0.29592803030303044</v>
      </c>
      <c r="D69" s="2">
        <f t="shared" si="5"/>
        <v>1.9531250000000009</v>
      </c>
      <c r="E69" s="2">
        <f t="shared" si="6"/>
        <v>1.9531250000000009</v>
      </c>
    </row>
    <row r="70" spans="2:5">
      <c r="B70" s="2">
        <f t="shared" si="7"/>
        <v>457.7999999999991</v>
      </c>
      <c r="C70" s="2">
        <f t="shared" si="4"/>
        <v>0.31180234225919523</v>
      </c>
      <c r="D70" s="2">
        <f t="shared" si="5"/>
        <v>2.0578954589106884</v>
      </c>
      <c r="E70" s="2">
        <f t="shared" si="6"/>
        <v>2.0578954589106884</v>
      </c>
    </row>
    <row r="71" spans="2:5">
      <c r="B71" s="2">
        <f t="shared" si="7"/>
        <v>379.59999999999911</v>
      </c>
      <c r="C71" s="2">
        <f t="shared" si="4"/>
        <v>0.32947626452990347</v>
      </c>
      <c r="D71" s="2">
        <f t="shared" si="5"/>
        <v>2.1745433458973626</v>
      </c>
      <c r="E71" s="2">
        <f t="shared" si="6"/>
        <v>2.1745433458973626</v>
      </c>
    </row>
    <row r="72" spans="2:5">
      <c r="B72" s="2">
        <f t="shared" si="7"/>
        <v>301.39999999999912</v>
      </c>
      <c r="C72" s="2">
        <f t="shared" si="4"/>
        <v>0.34927420819537019</v>
      </c>
      <c r="D72" s="2">
        <f t="shared" si="5"/>
        <v>2.3052097740894433</v>
      </c>
      <c r="E72" s="2">
        <f t="shared" si="6"/>
        <v>2.3052097740894433</v>
      </c>
    </row>
    <row r="73" spans="2:5">
      <c r="B73" s="2">
        <f t="shared" si="7"/>
        <v>223.19999999999914</v>
      </c>
      <c r="C73" s="2">
        <f t="shared" si="4"/>
        <v>0.37160354361139208</v>
      </c>
      <c r="D73" s="2">
        <f t="shared" si="5"/>
        <v>2.4525833878351877</v>
      </c>
      <c r="E73" s="2">
        <f t="shared" si="6"/>
        <v>2.4525833878351877</v>
      </c>
    </row>
    <row r="74" spans="2:5">
      <c r="B74" s="2">
        <f t="shared" si="7"/>
        <v>144.99999999999915</v>
      </c>
      <c r="C74" s="2">
        <f t="shared" si="4"/>
        <v>0.39698292973402172</v>
      </c>
      <c r="D74" s="2">
        <f t="shared" si="5"/>
        <v>2.6200873362445432</v>
      </c>
      <c r="E74" s="2">
        <f t="shared" si="6"/>
        <v>2.6200873362445432</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085D-AD2F-46FD-8278-9D1F8A10A25C}">
  <dimension ref="B1:Z44"/>
  <sheetViews>
    <sheetView zoomScale="96" zoomScaleNormal="96" workbookViewId="0">
      <selection activeCell="C2" sqref="C2"/>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26" ht="46.5" thickBot="1">
      <c r="B1" s="1" t="s">
        <v>241</v>
      </c>
    </row>
    <row r="2" spans="2:26" ht="15" thickBot="1">
      <c r="B2" s="2" t="s">
        <v>173</v>
      </c>
      <c r="C2" s="4">
        <v>3.3</v>
      </c>
      <c r="D2" s="2" t="s">
        <v>17</v>
      </c>
      <c r="G2" s="6" t="s">
        <v>36</v>
      </c>
    </row>
    <row r="3" spans="2:26" ht="15" thickBot="1">
      <c r="B3" s="2" t="s">
        <v>12</v>
      </c>
      <c r="C3" s="4">
        <v>5</v>
      </c>
      <c r="D3" s="2" t="s">
        <v>16</v>
      </c>
      <c r="G3" s="2" t="s">
        <v>9</v>
      </c>
      <c r="H3" s="4">
        <v>5</v>
      </c>
      <c r="I3" s="2" t="s">
        <v>18</v>
      </c>
    </row>
    <row r="4" spans="2:26" ht="15" thickBot="1">
      <c r="B4" s="2" t="s">
        <v>13</v>
      </c>
      <c r="C4" s="4">
        <v>1</v>
      </c>
      <c r="D4" s="2" t="s">
        <v>16</v>
      </c>
      <c r="G4" s="2" t="s">
        <v>10</v>
      </c>
      <c r="H4" s="5">
        <v>-5</v>
      </c>
      <c r="I4" s="2" t="s">
        <v>19</v>
      </c>
    </row>
    <row r="5" spans="2:26" ht="15" thickBot="1">
      <c r="B5" s="2" t="s">
        <v>11</v>
      </c>
      <c r="C5" s="3">
        <f>C2*C4/(C3+C4)</f>
        <v>0.54999999999999993</v>
      </c>
      <c r="D5" s="2" t="s">
        <v>17</v>
      </c>
      <c r="G5" s="2" t="s">
        <v>31</v>
      </c>
      <c r="H5" s="4">
        <v>1.3</v>
      </c>
      <c r="I5" s="2" t="s">
        <v>32</v>
      </c>
      <c r="X5" s="2" t="s">
        <v>248</v>
      </c>
      <c r="Y5" s="2" t="s">
        <v>249</v>
      </c>
      <c r="Z5" s="2" t="s">
        <v>17</v>
      </c>
    </row>
    <row r="6" spans="2:26" ht="15" thickBot="1">
      <c r="B6" s="2" t="s">
        <v>14</v>
      </c>
      <c r="C6" s="4">
        <v>1</v>
      </c>
      <c r="D6" s="2" t="s">
        <v>16</v>
      </c>
      <c r="X6" s="2">
        <v>-100</v>
      </c>
      <c r="Y6" s="2">
        <v>-3.5539999999999998</v>
      </c>
      <c r="Z6" s="2">
        <f>Y6/1000</f>
        <v>-3.5539999999999999E-3</v>
      </c>
    </row>
    <row r="7" spans="2:26" ht="15" thickBot="1">
      <c r="B7" s="2" t="s">
        <v>244</v>
      </c>
      <c r="C7" s="4">
        <v>1</v>
      </c>
      <c r="D7" s="2" t="s">
        <v>16</v>
      </c>
      <c r="X7" s="2">
        <v>-90</v>
      </c>
      <c r="Y7" s="2">
        <v>-3.2429999999999999</v>
      </c>
      <c r="Z7" s="2">
        <f t="shared" ref="Z7:Z26" si="0">Y7/1000</f>
        <v>-3.2429999999999998E-3</v>
      </c>
    </row>
    <row r="8" spans="2:26" ht="15" thickBot="1">
      <c r="B8" s="2" t="s">
        <v>245</v>
      </c>
      <c r="C8" s="4">
        <v>1</v>
      </c>
      <c r="D8" s="2" t="s">
        <v>16</v>
      </c>
      <c r="G8" s="6" t="s">
        <v>33</v>
      </c>
      <c r="X8" s="2">
        <v>-80</v>
      </c>
      <c r="Y8" s="2">
        <v>-2.92</v>
      </c>
      <c r="Z8" s="2">
        <f t="shared" si="0"/>
        <v>-2.9199999999999999E-3</v>
      </c>
    </row>
    <row r="9" spans="2:26" ht="15" thickBot="1">
      <c r="B9" s="2" t="s">
        <v>246</v>
      </c>
      <c r="C9" s="4">
        <v>1</v>
      </c>
      <c r="D9" s="2" t="s">
        <v>16</v>
      </c>
      <c r="G9" s="6" t="s">
        <v>29</v>
      </c>
      <c r="H9" s="4">
        <v>-3.8999999999999999E-4</v>
      </c>
      <c r="I9" s="2" t="s">
        <v>17</v>
      </c>
      <c r="X9" s="2">
        <v>-70</v>
      </c>
      <c r="Y9" s="2">
        <v>-2.5870000000000002</v>
      </c>
      <c r="Z9" s="2">
        <f t="shared" si="0"/>
        <v>-2.5870000000000003E-3</v>
      </c>
    </row>
    <row r="10" spans="2:26" ht="15" thickBot="1">
      <c r="B10" s="2" t="s">
        <v>175</v>
      </c>
      <c r="C10" s="4">
        <f>-0.392/1000</f>
        <v>-3.9200000000000004E-4</v>
      </c>
      <c r="D10" s="2" t="s">
        <v>242</v>
      </c>
      <c r="G10" s="6" t="s">
        <v>34</v>
      </c>
      <c r="H10" s="3">
        <f>IF((1+$C$9/$C$8)*($C$15*H9*($C$7/($C$6+$C$7))+$C$5*($C$6/($C$6+$C$7)))&gt;($H$3-$H$5),($H$3-$H$5),IF((1+$C$9/$C$8)*($C$15*H9*($C$7/($C$6+$C$7))+$C$5*($C$6/($C$6+$C$7)))&lt;($H$4+$H$5),($H$4+$H$5),(1+$C$9/$C$8)*($C$15*H9*($C$7/($C$6+$C$7))+$C$5*($C$6/($C$6+$C$7)))))</f>
        <v>0.15960999999999992</v>
      </c>
      <c r="I10" s="2" t="s">
        <v>17</v>
      </c>
      <c r="X10" s="2">
        <v>-60</v>
      </c>
      <c r="Y10" s="2">
        <v>-2.2429999999999999</v>
      </c>
      <c r="Z10" s="2">
        <f t="shared" si="0"/>
        <v>-2.2429999999999998E-3</v>
      </c>
    </row>
    <row r="11" spans="2:26" ht="15" thickBot="1">
      <c r="B11" s="2" t="s">
        <v>174</v>
      </c>
      <c r="C11" s="4">
        <f>1.203/1000</f>
        <v>1.2030000000000001E-3</v>
      </c>
      <c r="D11" s="2" t="s">
        <v>38</v>
      </c>
      <c r="G11" s="2" t="s">
        <v>247</v>
      </c>
      <c r="H11" s="3">
        <f>H9*Z28+Z29</f>
        <v>-12.629615765618523</v>
      </c>
      <c r="I11" s="17" t="s">
        <v>252</v>
      </c>
      <c r="X11" s="2">
        <v>-50</v>
      </c>
      <c r="Y11" s="2">
        <v>-1.889</v>
      </c>
      <c r="Z11" s="2">
        <f t="shared" si="0"/>
        <v>-1.8890000000000001E-3</v>
      </c>
    </row>
    <row r="12" spans="2:26" ht="15" thickBot="1">
      <c r="B12" s="2" t="s">
        <v>172</v>
      </c>
      <c r="C12" s="4">
        <v>1</v>
      </c>
      <c r="D12" s="2" t="s">
        <v>16</v>
      </c>
      <c r="X12" s="2">
        <v>-40</v>
      </c>
      <c r="Y12" s="2">
        <v>-1.5269999999999999</v>
      </c>
      <c r="Z12" s="2">
        <f t="shared" si="0"/>
        <v>-1.5269999999999999E-3</v>
      </c>
    </row>
    <row r="13" spans="2:26" ht="15" thickBot="1">
      <c r="B13" s="2" t="s">
        <v>15</v>
      </c>
      <c r="C13" s="4">
        <v>1000</v>
      </c>
      <c r="D13" s="2" t="s">
        <v>16</v>
      </c>
      <c r="X13" s="2">
        <v>-30</v>
      </c>
      <c r="Y13" s="2">
        <v>-1.1559999999999999</v>
      </c>
      <c r="Z13" s="2">
        <f t="shared" si="0"/>
        <v>-1.1559999999999999E-3</v>
      </c>
    </row>
    <row r="14" spans="2:26">
      <c r="B14" s="2" t="s">
        <v>0</v>
      </c>
      <c r="C14" s="3">
        <f>C5</f>
        <v>0.54999999999999993</v>
      </c>
      <c r="D14" s="2" t="s">
        <v>243</v>
      </c>
      <c r="X14" s="2">
        <v>-20</v>
      </c>
      <c r="Y14" s="2">
        <v>-0.77800000000000002</v>
      </c>
      <c r="Z14" s="2">
        <f t="shared" si="0"/>
        <v>-7.7800000000000005E-4</v>
      </c>
    </row>
    <row r="15" spans="2:26">
      <c r="B15" s="2" t="s">
        <v>1</v>
      </c>
      <c r="C15" s="3">
        <f>1+C13/C12</f>
        <v>1001</v>
      </c>
      <c r="D15" s="2" t="s">
        <v>39</v>
      </c>
      <c r="X15" s="2">
        <v>-10</v>
      </c>
      <c r="Y15" s="2">
        <v>-0.39200000000000002</v>
      </c>
      <c r="Z15" s="2">
        <f t="shared" si="0"/>
        <v>-3.9200000000000004E-4</v>
      </c>
    </row>
    <row r="16" spans="2:26">
      <c r="X16" s="2">
        <v>0</v>
      </c>
      <c r="Y16" s="2">
        <v>0</v>
      </c>
      <c r="Z16" s="2">
        <f t="shared" si="0"/>
        <v>0</v>
      </c>
    </row>
    <row r="17" spans="2:26">
      <c r="E17" s="6" t="s">
        <v>30</v>
      </c>
      <c r="X17" s="2">
        <v>10</v>
      </c>
      <c r="Y17" s="2">
        <v>0.39700000000000002</v>
      </c>
      <c r="Z17" s="2">
        <f t="shared" si="0"/>
        <v>3.97E-4</v>
      </c>
    </row>
    <row r="18" spans="2:26">
      <c r="B18" s="7" t="s">
        <v>6</v>
      </c>
      <c r="C18" s="7" t="s">
        <v>7</v>
      </c>
      <c r="D18" s="7" t="s">
        <v>3</v>
      </c>
      <c r="E18" s="7" t="s">
        <v>3</v>
      </c>
      <c r="X18" s="2">
        <f>X17+10</f>
        <v>20</v>
      </c>
      <c r="Y18" s="2">
        <v>0.79800000000000004</v>
      </c>
      <c r="Z18" s="2">
        <f t="shared" si="0"/>
        <v>7.9799999999999999E-4</v>
      </c>
    </row>
    <row r="19" spans="2:26">
      <c r="B19" s="2">
        <v>0</v>
      </c>
      <c r="C19" s="2">
        <f t="shared" ref="C19:C44" si="1">(($C$11-$C$10)/2)*(1+SIN($B19))+$C$10</f>
        <v>4.0549999999999999E-4</v>
      </c>
      <c r="D19" s="2">
        <f>(1+$C$9/$C$8)*($C$15*C19*($C$7/($C$6+$C$7))+$C$5*($C$6/($C$6+$C$7)))</f>
        <v>0.95590549999999985</v>
      </c>
      <c r="E19" s="2">
        <f t="shared" ref="E19:E44" si="2">IF(D19&gt;($H$3-$H$5),($H$3-$H$5),IF(D19&lt;($H$4+$H$5),($H$4+$H$5),D19))</f>
        <v>0.95590549999999985</v>
      </c>
      <c r="X19" s="2">
        <f t="shared" ref="X19:X26" si="3">X18+10</f>
        <v>30</v>
      </c>
      <c r="Y19" s="2">
        <v>1.2030000000000001</v>
      </c>
      <c r="Z19" s="2">
        <f t="shared" si="0"/>
        <v>1.2030000000000001E-3</v>
      </c>
    </row>
    <row r="20" spans="2:26">
      <c r="B20" s="2">
        <v>0.1</v>
      </c>
      <c r="C20" s="2">
        <f t="shared" si="1"/>
        <v>4.851171497758455E-4</v>
      </c>
      <c r="D20" s="2">
        <f t="shared" ref="D20:D44" si="4">(1+$C$9/$C$8)*($C$15*C20*($C$7/($C$6+$C$7))+$C$5*($C$6/($C$6+$C$7)))</f>
        <v>1.0356022669256213</v>
      </c>
      <c r="E20" s="2">
        <f t="shared" si="2"/>
        <v>1.0356022669256213</v>
      </c>
      <c r="X20" s="2">
        <f t="shared" si="3"/>
        <v>40</v>
      </c>
      <c r="Y20" s="2">
        <v>1.6120000000000001</v>
      </c>
      <c r="Z20" s="2">
        <f t="shared" si="0"/>
        <v>1.6120000000000002E-3</v>
      </c>
    </row>
    <row r="21" spans="2:26">
      <c r="B21" s="2">
        <v>0.2</v>
      </c>
      <c r="C21" s="2">
        <f t="shared" si="1"/>
        <v>5.639387913090614E-4</v>
      </c>
      <c r="D21" s="2">
        <f t="shared" si="4"/>
        <v>1.1145027301003703</v>
      </c>
      <c r="E21" s="2">
        <f t="shared" si="2"/>
        <v>1.1145027301003703</v>
      </c>
      <c r="X21" s="2">
        <f t="shared" si="3"/>
        <v>50</v>
      </c>
      <c r="Y21" s="2">
        <v>2.0230000000000001</v>
      </c>
      <c r="Z21" s="2">
        <f t="shared" si="0"/>
        <v>2.0230000000000001E-3</v>
      </c>
    </row>
    <row r="22" spans="2:26">
      <c r="B22" s="2">
        <v>1.2</v>
      </c>
      <c r="C22" s="2">
        <f t="shared" si="1"/>
        <v>1.1488011710588631E-3</v>
      </c>
      <c r="D22" s="2">
        <f t="shared" si="4"/>
        <v>1.6999499722299221</v>
      </c>
      <c r="E22" s="2">
        <f t="shared" si="2"/>
        <v>1.6999499722299221</v>
      </c>
      <c r="X22" s="2">
        <f t="shared" si="3"/>
        <v>60</v>
      </c>
      <c r="Y22" s="2">
        <v>2.4359999999999999</v>
      </c>
      <c r="Z22" s="2">
        <f t="shared" si="0"/>
        <v>2.4359999999999998E-3</v>
      </c>
    </row>
    <row r="23" spans="2:26">
      <c r="B23" s="2">
        <v>2.2000000000000002</v>
      </c>
      <c r="C23" s="2">
        <f t="shared" si="1"/>
        <v>1.0502758820461232E-3</v>
      </c>
      <c r="D23" s="2">
        <f t="shared" si="4"/>
        <v>1.6013261579281695</v>
      </c>
      <c r="E23" s="2">
        <f t="shared" si="2"/>
        <v>1.6013261579281695</v>
      </c>
      <c r="X23" s="2">
        <f t="shared" si="3"/>
        <v>70</v>
      </c>
      <c r="Y23" s="2">
        <v>2.851</v>
      </c>
      <c r="Z23" s="2">
        <f t="shared" si="0"/>
        <v>2.8509999999999998E-3</v>
      </c>
    </row>
    <row r="24" spans="2:26">
      <c r="B24" s="2">
        <v>3.2</v>
      </c>
      <c r="C24" s="2">
        <f t="shared" si="1"/>
        <v>3.5894662061650493E-4</v>
      </c>
      <c r="D24" s="2">
        <f t="shared" si="4"/>
        <v>0.9093055672371213</v>
      </c>
      <c r="E24" s="2">
        <f t="shared" si="2"/>
        <v>0.9093055672371213</v>
      </c>
      <c r="X24" s="2">
        <f t="shared" si="3"/>
        <v>80</v>
      </c>
      <c r="Y24" s="2">
        <v>3.2669999999999999</v>
      </c>
      <c r="Z24" s="2">
        <f t="shared" si="0"/>
        <v>3.2669999999999999E-3</v>
      </c>
    </row>
    <row r="25" spans="2:26">
      <c r="B25" s="2">
        <v>4.2</v>
      </c>
      <c r="C25" s="2">
        <f t="shared" si="1"/>
        <v>-2.8958167849983663E-4</v>
      </c>
      <c r="D25" s="2">
        <f t="shared" si="4"/>
        <v>0.26012873982166346</v>
      </c>
      <c r="E25" s="2">
        <f t="shared" si="2"/>
        <v>0.26012873982166346</v>
      </c>
      <c r="X25" s="2">
        <f>X24+10</f>
        <v>90</v>
      </c>
      <c r="Y25" s="2">
        <v>3.6819999999999999</v>
      </c>
      <c r="Z25" s="2">
        <f t="shared" si="0"/>
        <v>3.6819999999999999E-3</v>
      </c>
    </row>
    <row r="26" spans="2:26">
      <c r="B26" s="2">
        <v>5.2</v>
      </c>
      <c r="C26" s="2">
        <f t="shared" si="1"/>
        <v>-2.9905508793682216E-4</v>
      </c>
      <c r="D26" s="2">
        <f t="shared" si="4"/>
        <v>0.25064585697524094</v>
      </c>
      <c r="E26" s="2">
        <f t="shared" si="2"/>
        <v>0.25064585697524094</v>
      </c>
      <c r="X26" s="2">
        <f t="shared" si="3"/>
        <v>100</v>
      </c>
      <c r="Y26" s="2">
        <v>4.0960000000000001</v>
      </c>
      <c r="Z26" s="2">
        <f t="shared" si="0"/>
        <v>4.0959999999999998E-3</v>
      </c>
    </row>
    <row r="27" spans="2:26">
      <c r="B27" s="2">
        <v>6.2</v>
      </c>
      <c r="C27" s="2">
        <f t="shared" si="1"/>
        <v>3.3923620125304654E-4</v>
      </c>
      <c r="D27" s="2">
        <f t="shared" si="4"/>
        <v>0.88957543745429946</v>
      </c>
      <c r="E27" s="2">
        <f t="shared" si="2"/>
        <v>0.88957543745429946</v>
      </c>
    </row>
    <row r="28" spans="2:26">
      <c r="B28" s="2">
        <v>7.2</v>
      </c>
      <c r="C28" s="2">
        <f t="shared" si="1"/>
        <v>1.0384501214196998E-3</v>
      </c>
      <c r="D28" s="2">
        <f t="shared" si="4"/>
        <v>1.5894885715411196</v>
      </c>
      <c r="E28" s="2">
        <f t="shared" si="2"/>
        <v>1.5894885715411196</v>
      </c>
      <c r="Y28" s="2" t="s">
        <v>250</v>
      </c>
      <c r="Z28" s="2">
        <f>SLOPE($X$6:$X$26,$Z$6:$Z$26)</f>
        <v>25834.982571399669</v>
      </c>
    </row>
    <row r="29" spans="2:26">
      <c r="B29" s="2">
        <v>8.1999999999999993</v>
      </c>
      <c r="C29" s="2">
        <f t="shared" si="1"/>
        <v>1.1557326189521192E-3</v>
      </c>
      <c r="D29" s="2">
        <f t="shared" si="4"/>
        <v>1.7068883515710711</v>
      </c>
      <c r="E29" s="2">
        <f t="shared" si="2"/>
        <v>1.7068883515710711</v>
      </c>
      <c r="G29" s="6" t="s">
        <v>65</v>
      </c>
      <c r="Y29" s="2" t="s">
        <v>251</v>
      </c>
      <c r="Z29" s="2">
        <f>INTERCEPT($X$6:$X$26,$Z$6:$Z$26)</f>
        <v>-2.5539725627726511</v>
      </c>
    </row>
    <row r="30" spans="2:26">
      <c r="B30" s="2">
        <v>9.1999999999999993</v>
      </c>
      <c r="C30" s="2">
        <f t="shared" si="1"/>
        <v>5.8325470649494746E-4</v>
      </c>
      <c r="D30" s="2">
        <f t="shared" si="4"/>
        <v>1.1338379612014422</v>
      </c>
      <c r="E30" s="2">
        <f t="shared" si="2"/>
        <v>1.1338379612014422</v>
      </c>
      <c r="G30" s="12" t="s">
        <v>64</v>
      </c>
      <c r="H30" s="12">
        <f>H3</f>
        <v>5</v>
      </c>
      <c r="I30" s="12" t="s">
        <v>17</v>
      </c>
      <c r="J30" s="13" t="str">
        <f>TRIM(G30)&amp;"   "&amp;IF(H30&gt;0,"+","")&amp;TRIM(H30)&amp;" "&amp;TRIM(I30)</f>
        <v>V+:   +5 V</v>
      </c>
    </row>
    <row r="31" spans="2:26">
      <c r="B31" s="2">
        <v>10.199999999999999</v>
      </c>
      <c r="C31" s="2">
        <f t="shared" si="1"/>
        <v>-1.5265006335585002E-4</v>
      </c>
      <c r="D31" s="2">
        <f t="shared" si="4"/>
        <v>0.39719728658079406</v>
      </c>
      <c r="E31" s="2">
        <f t="shared" si="2"/>
        <v>0.39719728658079406</v>
      </c>
      <c r="G31" s="12" t="s">
        <v>66</v>
      </c>
      <c r="H31" s="12">
        <f>H4</f>
        <v>-5</v>
      </c>
      <c r="I31" s="12" t="s">
        <v>17</v>
      </c>
      <c r="J31" s="13" t="str">
        <f t="shared" ref="J31:J32" si="5">TRIM(G31)&amp;"   "&amp;IF(H31&gt;0,"+","")&amp;TRIM(H31)&amp;" "&amp;TRIM(I31)</f>
        <v>V-:   -5 V</v>
      </c>
    </row>
    <row r="32" spans="2:26">
      <c r="B32" s="2">
        <v>11.2</v>
      </c>
      <c r="C32" s="2">
        <f t="shared" si="1"/>
        <v>-3.7539423899817567E-4</v>
      </c>
      <c r="D32" s="2">
        <f t="shared" si="4"/>
        <v>0.17423036676282611</v>
      </c>
      <c r="E32" s="2">
        <f t="shared" si="2"/>
        <v>0.17423036676282611</v>
      </c>
      <c r="G32" s="12" t="s">
        <v>29</v>
      </c>
      <c r="H32" s="12">
        <f>H9</f>
        <v>-3.8999999999999999E-4</v>
      </c>
      <c r="I32" s="12" t="s">
        <v>17</v>
      </c>
      <c r="J32" s="13" t="str">
        <f t="shared" si="5"/>
        <v>Vin:   -0.00039 V</v>
      </c>
    </row>
    <row r="33" spans="2:10">
      <c r="B33" s="2">
        <v>12.2</v>
      </c>
      <c r="C33" s="2">
        <f t="shared" si="1"/>
        <v>1.1981214741612912E-4</v>
      </c>
      <c r="D33" s="2">
        <f t="shared" si="4"/>
        <v>0.66993195956354512</v>
      </c>
      <c r="E33" s="2">
        <f t="shared" si="2"/>
        <v>0.66993195956354512</v>
      </c>
      <c r="G33" s="12" t="s">
        <v>67</v>
      </c>
      <c r="H33" s="12">
        <f>C3</f>
        <v>5</v>
      </c>
      <c r="I33" s="12" t="s">
        <v>16</v>
      </c>
      <c r="J33" s="13" t="str">
        <f t="shared" ref="J33:J40" si="6">TRIM(G33)&amp;"   "&amp;TRIM(H33)&amp;" "&amp;TRIM(I33)</f>
        <v>R1:   5 K</v>
      </c>
    </row>
    <row r="34" spans="2:10">
      <c r="B34" s="2">
        <v>13.2</v>
      </c>
      <c r="C34" s="2">
        <f t="shared" si="1"/>
        <v>8.776786279790106E-4</v>
      </c>
      <c r="D34" s="2">
        <f t="shared" si="4"/>
        <v>1.4285563066069895</v>
      </c>
      <c r="E34" s="2">
        <f t="shared" si="2"/>
        <v>1.4285563066069895</v>
      </c>
      <c r="G34" s="12" t="s">
        <v>72</v>
      </c>
      <c r="H34" s="12">
        <f>C4</f>
        <v>1</v>
      </c>
      <c r="I34" s="12" t="s">
        <v>16</v>
      </c>
      <c r="J34" s="13" t="str">
        <f t="shared" si="6"/>
        <v>R2:   1 K</v>
      </c>
    </row>
    <row r="35" spans="2:10">
      <c r="B35" s="2">
        <v>14.2</v>
      </c>
      <c r="C35" s="2">
        <f t="shared" si="1"/>
        <v>1.2014262555412986E-3</v>
      </c>
      <c r="D35" s="2">
        <f t="shared" si="4"/>
        <v>1.7526276817968398</v>
      </c>
      <c r="E35" s="2">
        <f t="shared" si="2"/>
        <v>1.7526276817968398</v>
      </c>
      <c r="G35" s="12" t="s">
        <v>73</v>
      </c>
      <c r="H35" s="12">
        <f>C6</f>
        <v>1</v>
      </c>
      <c r="I35" s="12" t="s">
        <v>16</v>
      </c>
      <c r="J35" s="13" t="str">
        <f t="shared" si="6"/>
        <v>R3:   1 K</v>
      </c>
    </row>
    <row r="36" spans="2:10">
      <c r="B36" s="2">
        <v>15.2</v>
      </c>
      <c r="C36" s="2">
        <f t="shared" si="1"/>
        <v>7.9340295436090532E-4</v>
      </c>
      <c r="D36" s="2">
        <f t="shared" si="4"/>
        <v>1.3441963573152662</v>
      </c>
      <c r="E36" s="2">
        <f t="shared" si="2"/>
        <v>1.3441963573152662</v>
      </c>
      <c r="G36" s="12" t="s">
        <v>254</v>
      </c>
      <c r="H36" s="12">
        <f>C7</f>
        <v>1</v>
      </c>
      <c r="I36" s="12" t="s">
        <v>16</v>
      </c>
      <c r="J36" s="13" t="str">
        <f t="shared" si="6"/>
        <v>R4:   1 K</v>
      </c>
    </row>
    <row r="37" spans="2:10">
      <c r="B37" s="2">
        <v>16.2</v>
      </c>
      <c r="C37" s="2">
        <f t="shared" si="1"/>
        <v>2.8743465847223175E-5</v>
      </c>
      <c r="D37" s="2">
        <f t="shared" si="4"/>
        <v>0.57877220931307038</v>
      </c>
      <c r="E37" s="2">
        <f t="shared" si="2"/>
        <v>0.57877220931307038</v>
      </c>
      <c r="G37" s="12" t="s">
        <v>255</v>
      </c>
      <c r="H37" s="12">
        <f>C8</f>
        <v>1</v>
      </c>
      <c r="I37" s="12" t="s">
        <v>16</v>
      </c>
      <c r="J37" s="13" t="str">
        <f t="shared" si="6"/>
        <v>R5:   1 K</v>
      </c>
    </row>
    <row r="38" spans="2:10">
      <c r="B38" s="2">
        <v>17.2</v>
      </c>
      <c r="C38" s="2">
        <f t="shared" si="1"/>
        <v>-3.8952780266817295E-4</v>
      </c>
      <c r="D38" s="2">
        <f t="shared" si="4"/>
        <v>0.16008266952915884</v>
      </c>
      <c r="E38" s="2">
        <f t="shared" si="2"/>
        <v>0.16008266952915884</v>
      </c>
      <c r="G38" s="12" t="s">
        <v>256</v>
      </c>
      <c r="H38" s="12">
        <f>C9</f>
        <v>1</v>
      </c>
      <c r="I38" s="12" t="s">
        <v>16</v>
      </c>
      <c r="J38" s="13" t="str">
        <f t="shared" si="6"/>
        <v>R6:   1 K</v>
      </c>
    </row>
    <row r="39" spans="2:10">
      <c r="B39" s="2">
        <v>18.2</v>
      </c>
      <c r="C39" s="2">
        <f t="shared" si="1"/>
        <v>-7.685417586901158E-5</v>
      </c>
      <c r="D39" s="2">
        <f t="shared" si="4"/>
        <v>0.47306896995511932</v>
      </c>
      <c r="E39" s="2">
        <f t="shared" si="2"/>
        <v>0.47306896995511932</v>
      </c>
      <c r="G39" s="12" t="s">
        <v>253</v>
      </c>
      <c r="H39" s="12">
        <f>C12</f>
        <v>1</v>
      </c>
      <c r="I39" s="12" t="s">
        <v>16</v>
      </c>
      <c r="J39" s="13" t="str">
        <f t="shared" si="6"/>
        <v>Rb:   1 K</v>
      </c>
    </row>
    <row r="40" spans="2:10">
      <c r="B40" s="2">
        <v>19.2</v>
      </c>
      <c r="C40" s="2">
        <f t="shared" si="1"/>
        <v>6.792936557338666E-4</v>
      </c>
      <c r="D40" s="2">
        <f t="shared" si="4"/>
        <v>1.2299729493896003</v>
      </c>
      <c r="E40" s="2">
        <f t="shared" si="2"/>
        <v>1.2299729493896003</v>
      </c>
      <c r="G40" s="12" t="s">
        <v>68</v>
      </c>
      <c r="H40" s="12">
        <f>C13</f>
        <v>1000</v>
      </c>
      <c r="I40" s="12" t="s">
        <v>16</v>
      </c>
      <c r="J40" s="13" t="str">
        <f t="shared" si="6"/>
        <v>RF:   1000 K</v>
      </c>
    </row>
    <row r="41" spans="2:10">
      <c r="B41" s="2">
        <v>20.2</v>
      </c>
      <c r="C41" s="2">
        <f t="shared" si="1"/>
        <v>1.1837168629191632E-3</v>
      </c>
      <c r="D41" s="2">
        <f t="shared" si="4"/>
        <v>1.7349005797820825</v>
      </c>
      <c r="E41" s="2">
        <f t="shared" si="2"/>
        <v>1.7349005797820825</v>
      </c>
    </row>
    <row r="42" spans="2:10">
      <c r="B42" s="2">
        <v>21.2</v>
      </c>
      <c r="C42" s="2">
        <f t="shared" si="1"/>
        <v>9.7265107526752089E-4</v>
      </c>
      <c r="D42" s="2">
        <f t="shared" si="4"/>
        <v>1.5236237263427883</v>
      </c>
      <c r="E42" s="2">
        <f t="shared" si="2"/>
        <v>1.5236237263427883</v>
      </c>
    </row>
    <row r="43" spans="2:10">
      <c r="B43" s="2">
        <v>22.2</v>
      </c>
      <c r="C43" s="2">
        <f t="shared" si="1"/>
        <v>2.4014920456610992E-4</v>
      </c>
      <c r="D43" s="2">
        <f t="shared" si="4"/>
        <v>0.79038935377067598</v>
      </c>
      <c r="E43" s="2">
        <f t="shared" si="2"/>
        <v>0.79038935377067598</v>
      </c>
    </row>
    <row r="44" spans="2:10">
      <c r="B44" s="2">
        <v>23.2</v>
      </c>
      <c r="C44" s="2">
        <f t="shared" si="1"/>
        <v>-3.4032990736764478E-4</v>
      </c>
      <c r="D44" s="2">
        <f t="shared" si="4"/>
        <v>0.20932976272498749</v>
      </c>
      <c r="E44" s="2">
        <f t="shared" si="2"/>
        <v>0.20932976272498749</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56B1D-C77E-4B41-85A5-1856C9718846}">
  <dimension ref="B1:V102"/>
  <sheetViews>
    <sheetView zoomScale="96" zoomScaleNormal="96" workbookViewId="0">
      <selection activeCell="C2" sqref="C2"/>
    </sheetView>
  </sheetViews>
  <sheetFormatPr defaultColWidth="9.1796875" defaultRowHeight="14.5"/>
  <cols>
    <col min="1" max="1" width="5.1796875" style="2" customWidth="1"/>
    <col min="2" max="2" width="9.1796875" style="2"/>
    <col min="3" max="3" width="9.1796875" style="2" customWidth="1"/>
    <col min="4" max="4" width="9.1796875" style="2"/>
    <col min="5" max="5" width="11.81640625" style="2" customWidth="1"/>
    <col min="6" max="7" width="9.1796875" style="2"/>
    <col min="8" max="8" width="11" style="2" customWidth="1"/>
    <col min="9" max="16384" width="9.1796875" style="2"/>
  </cols>
  <sheetData>
    <row r="1" spans="2:10" ht="46.5" thickBot="1">
      <c r="B1" s="1" t="s">
        <v>236</v>
      </c>
    </row>
    <row r="2" spans="2:10" ht="15" thickBot="1">
      <c r="B2" s="2" t="s">
        <v>12</v>
      </c>
      <c r="C2" s="4">
        <v>1</v>
      </c>
      <c r="D2" s="2" t="s">
        <v>16</v>
      </c>
      <c r="H2" s="6" t="s">
        <v>36</v>
      </c>
    </row>
    <row r="3" spans="2:10" ht="15" thickBot="1">
      <c r="B3" s="2" t="s">
        <v>82</v>
      </c>
      <c r="C3" s="4">
        <v>0.1</v>
      </c>
      <c r="D3" s="2" t="s">
        <v>83</v>
      </c>
      <c r="H3" s="2" t="s">
        <v>9</v>
      </c>
      <c r="I3" s="4">
        <v>5</v>
      </c>
      <c r="J3" s="2" t="s">
        <v>18</v>
      </c>
    </row>
    <row r="4" spans="2:10" ht="15" thickBot="1">
      <c r="B4" s="2" t="s">
        <v>172</v>
      </c>
      <c r="C4" s="4">
        <v>1</v>
      </c>
      <c r="D4" s="2" t="s">
        <v>16</v>
      </c>
      <c r="H4" s="2" t="s">
        <v>10</v>
      </c>
      <c r="I4" s="5">
        <v>-5</v>
      </c>
      <c r="J4" s="2" t="s">
        <v>19</v>
      </c>
    </row>
    <row r="5" spans="2:10" ht="15" thickBot="1">
      <c r="B5" s="2" t="s">
        <v>15</v>
      </c>
      <c r="C5" s="4">
        <v>1</v>
      </c>
      <c r="D5" s="2" t="s">
        <v>16</v>
      </c>
      <c r="H5" s="2" t="s">
        <v>31</v>
      </c>
      <c r="I5" s="4">
        <v>1.2</v>
      </c>
      <c r="J5" s="2" t="s">
        <v>32</v>
      </c>
    </row>
    <row r="6" spans="2:10">
      <c r="B6" s="2" t="s">
        <v>0</v>
      </c>
      <c r="C6" s="3">
        <v>0</v>
      </c>
      <c r="D6" s="2" t="s">
        <v>17</v>
      </c>
    </row>
    <row r="7" spans="2:10" ht="15" thickBot="1">
      <c r="B7" s="2" t="s">
        <v>1</v>
      </c>
      <c r="C7" s="3">
        <f>1+C5/C4</f>
        <v>2</v>
      </c>
      <c r="D7" s="2" t="s">
        <v>39</v>
      </c>
      <c r="H7" s="6" t="s">
        <v>33</v>
      </c>
    </row>
    <row r="8" spans="2:10" ht="15" thickBot="1">
      <c r="B8" s="2" t="s">
        <v>97</v>
      </c>
      <c r="C8" s="3">
        <f>1/(2*PI()*$C$10*$C$3*0.000001)</f>
        <v>1591.5494309189535</v>
      </c>
      <c r="D8" s="2" t="s">
        <v>219</v>
      </c>
      <c r="H8" s="6" t="s">
        <v>29</v>
      </c>
      <c r="I8" s="4">
        <v>1</v>
      </c>
      <c r="J8" s="2" t="s">
        <v>17</v>
      </c>
    </row>
    <row r="9" spans="2:10" ht="15" thickBot="1">
      <c r="B9" s="2" t="s">
        <v>25</v>
      </c>
      <c r="C9" s="4">
        <v>1</v>
      </c>
      <c r="D9" s="2" t="s">
        <v>38</v>
      </c>
      <c r="H9" s="6" t="s">
        <v>34</v>
      </c>
      <c r="I9" s="3">
        <f>IF($C$7*I8/SQRT(1+($C$10/$C$12)^2)&gt;($I$3-$I$5),($I$3-$I$5),IF($C$7*I8/SQRT(1+($C$10/$C$12)^2)&lt;($I$4+$I$5),($I$4+$I$5),$C$7*I8/SQRT(1+($C$10/$C$12)^2)))</f>
        <v>1.6934660319296608</v>
      </c>
      <c r="J9" s="2" t="s">
        <v>17</v>
      </c>
    </row>
    <row r="10" spans="2:10" ht="15" thickBot="1">
      <c r="B10" s="2" t="s">
        <v>84</v>
      </c>
      <c r="C10" s="4">
        <v>1000</v>
      </c>
      <c r="D10" s="2" t="s">
        <v>80</v>
      </c>
    </row>
    <row r="11" spans="2:10">
      <c r="B11" s="2" t="s">
        <v>87</v>
      </c>
      <c r="C11" s="3">
        <f>1/C10</f>
        <v>1E-3</v>
      </c>
      <c r="D11" s="2" t="s">
        <v>86</v>
      </c>
      <c r="H11" s="6" t="s">
        <v>198</v>
      </c>
    </row>
    <row r="12" spans="2:10" ht="15" thickBot="1">
      <c r="B12" s="2" t="s">
        <v>81</v>
      </c>
      <c r="C12" s="3">
        <f>1/(2*PI()*(C3*0.000001)*(C5*1000))</f>
        <v>1591.5494309189535</v>
      </c>
      <c r="D12" s="2" t="s">
        <v>80</v>
      </c>
      <c r="H12" s="17" t="s">
        <v>106</v>
      </c>
      <c r="I12" s="3">
        <f>1000*(C3*1000)*(C5*0.000001)</f>
        <v>9.9999999999999992E-2</v>
      </c>
      <c r="J12" s="2" t="s">
        <v>107</v>
      </c>
    </row>
    <row r="13" spans="2:10" ht="15" thickBot="1">
      <c r="B13" s="2" t="s">
        <v>89</v>
      </c>
      <c r="C13" s="4">
        <v>4</v>
      </c>
      <c r="D13" s="2" t="s">
        <v>90</v>
      </c>
      <c r="H13" s="17" t="s">
        <v>197</v>
      </c>
      <c r="I13" s="3">
        <f>1/(I12*0.001)</f>
        <v>10000</v>
      </c>
      <c r="J13" s="2" t="s">
        <v>80</v>
      </c>
    </row>
    <row r="14" spans="2:10">
      <c r="B14" s="2" t="s">
        <v>88</v>
      </c>
      <c r="C14" s="3">
        <f>C11*C13/25</f>
        <v>1.6000000000000001E-4</v>
      </c>
      <c r="D14" s="2" t="s">
        <v>86</v>
      </c>
    </row>
    <row r="16" spans="2:10">
      <c r="E16" s="6" t="s">
        <v>30</v>
      </c>
    </row>
    <row r="17" spans="2:22">
      <c r="B17" s="7" t="s">
        <v>85</v>
      </c>
      <c r="C17" s="7" t="s">
        <v>7</v>
      </c>
      <c r="D17" s="7" t="s">
        <v>3</v>
      </c>
      <c r="E17" s="7" t="s">
        <v>3</v>
      </c>
      <c r="F17" s="30" t="s">
        <v>231</v>
      </c>
      <c r="G17" s="30"/>
    </row>
    <row r="18" spans="2:22">
      <c r="B18" s="2">
        <v>0</v>
      </c>
      <c r="C18" s="2">
        <f t="shared" ref="C18:C43" si="0">$C$9*SIN($B18*$C$10*2*PI())</f>
        <v>0</v>
      </c>
      <c r="D18" s="2">
        <f t="shared" ref="D18:D43" si="1">C18*$C$7/SQRT(1+($C$10/$C$12)^2)</f>
        <v>0</v>
      </c>
      <c r="E18" s="2">
        <f t="shared" ref="E18:E43" si="2">IF(D18&gt;($I$3-$I$5),($I$3-$I$5),IF(D18&lt;($I$4+$I$5),($I$4+$I$5),D18))</f>
        <v>0</v>
      </c>
      <c r="F18" s="30">
        <f t="shared" ref="F18:F43" si="3">C18*(1+$C$5/$C$4)*$C$8/SQRT(($C$2*1000)^2+$C$8^2)</f>
        <v>0</v>
      </c>
      <c r="G18" s="30"/>
    </row>
    <row r="19" spans="2:22">
      <c r="B19" s="2">
        <f t="shared" ref="B19:B43" si="4">B18+$C$14</f>
        <v>1.6000000000000001E-4</v>
      </c>
      <c r="C19" s="2">
        <f t="shared" si="0"/>
        <v>0.84432792550201508</v>
      </c>
      <c r="D19" s="2">
        <f t="shared" si="1"/>
        <v>1.4298406616472996</v>
      </c>
      <c r="E19" s="2">
        <f t="shared" si="2"/>
        <v>1.4298406616472996</v>
      </c>
      <c r="F19" s="30">
        <f t="shared" si="3"/>
        <v>1.4298406616473001</v>
      </c>
      <c r="G19" s="30"/>
    </row>
    <row r="20" spans="2:22">
      <c r="B20" s="2">
        <f t="shared" si="4"/>
        <v>3.2000000000000003E-4</v>
      </c>
      <c r="C20" s="2">
        <f t="shared" si="0"/>
        <v>0.90482705246601947</v>
      </c>
      <c r="D20" s="2">
        <f t="shared" si="1"/>
        <v>1.5322938781222408</v>
      </c>
      <c r="E20" s="2">
        <f t="shared" si="2"/>
        <v>1.5322938781222408</v>
      </c>
      <c r="F20" s="30">
        <f t="shared" si="3"/>
        <v>1.532293878122241</v>
      </c>
      <c r="G20" s="30"/>
    </row>
    <row r="21" spans="2:22">
      <c r="B21" s="2">
        <f t="shared" si="4"/>
        <v>4.8000000000000007E-4</v>
      </c>
      <c r="C21" s="2">
        <f t="shared" si="0"/>
        <v>0.12533323356430365</v>
      </c>
      <c r="D21" s="2">
        <f t="shared" si="1"/>
        <v>0.21224757371305467</v>
      </c>
      <c r="E21" s="2">
        <f t="shared" si="2"/>
        <v>0.21224757371305467</v>
      </c>
      <c r="F21" s="30">
        <f t="shared" si="3"/>
        <v>0.21224757371305469</v>
      </c>
      <c r="G21" s="30"/>
      <c r="V21" s="32" t="s">
        <v>227</v>
      </c>
    </row>
    <row r="22" spans="2:22">
      <c r="B22" s="2">
        <f t="shared" si="4"/>
        <v>6.4000000000000005E-4</v>
      </c>
      <c r="C22" s="2">
        <f t="shared" si="0"/>
        <v>-0.77051324277578936</v>
      </c>
      <c r="D22" s="2">
        <f t="shared" si="1"/>
        <v>-1.3048380037927714</v>
      </c>
      <c r="E22" s="2">
        <f t="shared" si="2"/>
        <v>-1.3048380037927714</v>
      </c>
      <c r="F22" s="30">
        <f t="shared" si="3"/>
        <v>-1.3048380037927716</v>
      </c>
      <c r="G22" s="30"/>
    </row>
    <row r="23" spans="2:22">
      <c r="B23" s="2">
        <f t="shared" si="4"/>
        <v>8.0000000000000004E-4</v>
      </c>
      <c r="C23" s="2">
        <f t="shared" si="0"/>
        <v>-0.95105651629515364</v>
      </c>
      <c r="D23" s="2">
        <f t="shared" si="1"/>
        <v>-1.6105819047912007</v>
      </c>
      <c r="E23" s="2">
        <f t="shared" si="2"/>
        <v>-1.6105819047912007</v>
      </c>
      <c r="F23" s="30">
        <f t="shared" si="3"/>
        <v>-1.6105819047912007</v>
      </c>
      <c r="G23" s="30"/>
    </row>
    <row r="24" spans="2:22">
      <c r="B24" s="2">
        <f t="shared" si="4"/>
        <v>9.6000000000000002E-4</v>
      </c>
      <c r="C24" s="2">
        <f t="shared" si="0"/>
        <v>-0.24868988716485449</v>
      </c>
      <c r="D24" s="2">
        <f t="shared" si="1"/>
        <v>-0.4211478763981012</v>
      </c>
      <c r="E24" s="2">
        <f t="shared" si="2"/>
        <v>-0.4211478763981012</v>
      </c>
      <c r="F24" s="30">
        <f t="shared" si="3"/>
        <v>-0.42114787639810125</v>
      </c>
      <c r="G24" s="30"/>
    </row>
    <row r="25" spans="2:22">
      <c r="B25" s="2">
        <f t="shared" si="4"/>
        <v>1.1200000000000001E-3</v>
      </c>
      <c r="C25" s="2">
        <f t="shared" si="0"/>
        <v>0.68454710592868928</v>
      </c>
      <c r="D25" s="2">
        <f t="shared" si="1"/>
        <v>1.1592572711459905</v>
      </c>
      <c r="E25" s="2">
        <f t="shared" si="2"/>
        <v>1.1592572711459905</v>
      </c>
      <c r="F25" s="30">
        <f t="shared" si="3"/>
        <v>1.1592572711459908</v>
      </c>
      <c r="G25" s="30"/>
    </row>
    <row r="26" spans="2:22">
      <c r="B26" s="2">
        <f t="shared" si="4"/>
        <v>1.2800000000000001E-3</v>
      </c>
      <c r="C26" s="2">
        <f t="shared" si="0"/>
        <v>0.98228725072868861</v>
      </c>
      <c r="D26" s="2">
        <f t="shared" si="1"/>
        <v>1.663470092706608</v>
      </c>
      <c r="E26" s="2">
        <f t="shared" si="2"/>
        <v>1.663470092706608</v>
      </c>
      <c r="F26" s="30">
        <f t="shared" si="3"/>
        <v>1.6634700927066082</v>
      </c>
      <c r="G26" s="30"/>
    </row>
    <row r="27" spans="2:22">
      <c r="B27" s="2">
        <f t="shared" si="4"/>
        <v>1.4400000000000001E-3</v>
      </c>
      <c r="C27" s="2">
        <f t="shared" si="0"/>
        <v>0.36812455268467797</v>
      </c>
      <c r="D27" s="2">
        <f t="shared" si="1"/>
        <v>0.62340642549080294</v>
      </c>
      <c r="E27" s="2">
        <f t="shared" si="2"/>
        <v>0.62340642549080294</v>
      </c>
      <c r="F27" s="30">
        <f t="shared" si="3"/>
        <v>0.62340642549080305</v>
      </c>
      <c r="G27" s="30"/>
    </row>
    <row r="28" spans="2:22">
      <c r="B28" s="2">
        <f t="shared" si="4"/>
        <v>1.6000000000000001E-3</v>
      </c>
      <c r="C28" s="2">
        <f t="shared" si="0"/>
        <v>-0.5877852522924728</v>
      </c>
      <c r="D28" s="2">
        <f t="shared" si="1"/>
        <v>-0.9953943588265084</v>
      </c>
      <c r="E28" s="2">
        <f t="shared" si="2"/>
        <v>-0.9953943588265084</v>
      </c>
      <c r="F28" s="30">
        <f t="shared" si="3"/>
        <v>-0.99539435882650851</v>
      </c>
      <c r="G28" s="30"/>
    </row>
    <row r="29" spans="2:22">
      <c r="B29" s="2">
        <f t="shared" si="4"/>
        <v>1.7600000000000001E-3</v>
      </c>
      <c r="C29" s="2">
        <f t="shared" si="0"/>
        <v>-0.99802672842827156</v>
      </c>
      <c r="D29" s="2">
        <f t="shared" si="1"/>
        <v>-1.6901243635511662</v>
      </c>
      <c r="E29" s="2">
        <f t="shared" si="2"/>
        <v>-1.6901243635511662</v>
      </c>
      <c r="F29" s="30">
        <f t="shared" si="3"/>
        <v>-1.6901243635511662</v>
      </c>
      <c r="G29" s="30"/>
    </row>
    <row r="30" spans="2:22">
      <c r="B30" s="2">
        <f t="shared" si="4"/>
        <v>1.92E-3</v>
      </c>
      <c r="C30" s="2">
        <f t="shared" si="0"/>
        <v>-0.48175367410171477</v>
      </c>
      <c r="D30" s="2">
        <f t="shared" si="1"/>
        <v>-0.81583348284856583</v>
      </c>
      <c r="E30" s="2">
        <f t="shared" si="2"/>
        <v>-0.81583348284856583</v>
      </c>
      <c r="F30" s="30">
        <f t="shared" si="3"/>
        <v>-0.81583348284856594</v>
      </c>
      <c r="G30" s="30"/>
    </row>
    <row r="31" spans="2:22">
      <c r="B31" s="2">
        <f t="shared" si="4"/>
        <v>2.0800000000000003E-3</v>
      </c>
      <c r="C31" s="2">
        <f t="shared" si="0"/>
        <v>0.48175367410171543</v>
      </c>
      <c r="D31" s="2">
        <f t="shared" si="1"/>
        <v>0.81583348284856705</v>
      </c>
      <c r="E31" s="2">
        <f t="shared" si="2"/>
        <v>0.81583348284856705</v>
      </c>
      <c r="F31" s="30">
        <f t="shared" si="3"/>
        <v>0.81583348284856716</v>
      </c>
      <c r="G31" s="30"/>
    </row>
    <row r="32" spans="2:22">
      <c r="B32" s="2">
        <f t="shared" si="4"/>
        <v>2.2400000000000002E-3</v>
      </c>
      <c r="C32" s="2">
        <f t="shared" si="0"/>
        <v>0.99802672842827167</v>
      </c>
      <c r="D32" s="2">
        <f t="shared" si="1"/>
        <v>1.6901243635511665</v>
      </c>
      <c r="E32" s="2">
        <f t="shared" si="2"/>
        <v>1.6901243635511665</v>
      </c>
      <c r="F32" s="30">
        <f t="shared" si="3"/>
        <v>1.6901243635511665</v>
      </c>
      <c r="G32" s="30"/>
    </row>
    <row r="33" spans="2:11">
      <c r="B33" s="2">
        <f t="shared" si="4"/>
        <v>2.4000000000000002E-3</v>
      </c>
      <c r="C33" s="2">
        <f t="shared" si="0"/>
        <v>0.58778525229247214</v>
      </c>
      <c r="D33" s="2">
        <f t="shared" si="1"/>
        <v>0.99539435882650729</v>
      </c>
      <c r="E33" s="2">
        <f t="shared" si="2"/>
        <v>0.99539435882650729</v>
      </c>
      <c r="F33" s="30">
        <f t="shared" si="3"/>
        <v>0.9953943588265074</v>
      </c>
      <c r="G33" s="30"/>
    </row>
    <row r="34" spans="2:11">
      <c r="B34" s="2">
        <f t="shared" si="4"/>
        <v>2.5600000000000002E-3</v>
      </c>
      <c r="C34" s="2">
        <f t="shared" si="0"/>
        <v>-0.3681245526846787</v>
      </c>
      <c r="D34" s="2">
        <f t="shared" si="1"/>
        <v>-0.62340642549080416</v>
      </c>
      <c r="E34" s="2">
        <f t="shared" si="2"/>
        <v>-0.62340642549080416</v>
      </c>
      <c r="F34" s="30">
        <f t="shared" si="3"/>
        <v>-0.62340642549080427</v>
      </c>
      <c r="G34" s="30"/>
    </row>
    <row r="35" spans="2:11">
      <c r="B35" s="2">
        <f t="shared" si="4"/>
        <v>2.7200000000000002E-3</v>
      </c>
      <c r="C35" s="2">
        <f t="shared" si="0"/>
        <v>-0.98228725072868905</v>
      </c>
      <c r="D35" s="2">
        <f t="shared" si="1"/>
        <v>-1.6634700927066088</v>
      </c>
      <c r="E35" s="2">
        <f t="shared" si="2"/>
        <v>-1.6634700927066088</v>
      </c>
      <c r="F35" s="30">
        <f t="shared" si="3"/>
        <v>-1.6634700927066091</v>
      </c>
      <c r="G35" s="30"/>
    </row>
    <row r="36" spans="2:11">
      <c r="B36" s="2">
        <f t="shared" si="4"/>
        <v>2.8800000000000002E-3</v>
      </c>
      <c r="C36" s="2">
        <f t="shared" si="0"/>
        <v>-0.68454710592868862</v>
      </c>
      <c r="D36" s="2">
        <f t="shared" si="1"/>
        <v>-1.1592572711459894</v>
      </c>
      <c r="E36" s="2">
        <f t="shared" si="2"/>
        <v>-1.1592572711459894</v>
      </c>
      <c r="F36" s="30">
        <f t="shared" si="3"/>
        <v>-1.1592572711459896</v>
      </c>
      <c r="G36" s="30"/>
    </row>
    <row r="37" spans="2:11">
      <c r="B37" s="2">
        <f t="shared" si="4"/>
        <v>3.0400000000000002E-3</v>
      </c>
      <c r="C37" s="2">
        <f t="shared" si="0"/>
        <v>0.24868988716485269</v>
      </c>
      <c r="D37" s="2">
        <f t="shared" si="1"/>
        <v>0.42114787639809814</v>
      </c>
      <c r="E37" s="2">
        <f t="shared" si="2"/>
        <v>0.42114787639809814</v>
      </c>
      <c r="F37" s="30">
        <f t="shared" si="3"/>
        <v>0.4211478763980982</v>
      </c>
      <c r="G37" s="30"/>
      <c r="H37" s="6" t="s">
        <v>65</v>
      </c>
    </row>
    <row r="38" spans="2:11">
      <c r="B38" s="2">
        <f t="shared" si="4"/>
        <v>3.2000000000000002E-3</v>
      </c>
      <c r="C38" s="2">
        <f t="shared" si="0"/>
        <v>0.95105651629515331</v>
      </c>
      <c r="D38" s="2">
        <f t="shared" si="1"/>
        <v>1.6105819047912</v>
      </c>
      <c r="E38" s="2">
        <f t="shared" si="2"/>
        <v>1.6105819047912</v>
      </c>
      <c r="F38" s="30">
        <f t="shared" si="3"/>
        <v>1.6105819047912002</v>
      </c>
      <c r="G38" s="30"/>
      <c r="H38" s="12" t="s">
        <v>64</v>
      </c>
      <c r="I38" s="12">
        <f>I3</f>
        <v>5</v>
      </c>
      <c r="J38" s="12" t="s">
        <v>17</v>
      </c>
      <c r="K38" s="13" t="str">
        <f>TRIM(H38)&amp;"   "&amp;IF(I38&gt;0,"+","")&amp;TRIM(I38)&amp;" "&amp;TRIM(J38)</f>
        <v>V+:   +5 V</v>
      </c>
    </row>
    <row r="39" spans="2:11">
      <c r="B39" s="2">
        <f t="shared" si="4"/>
        <v>3.3600000000000001E-3</v>
      </c>
      <c r="C39" s="2">
        <f t="shared" si="0"/>
        <v>0.77051324277578881</v>
      </c>
      <c r="D39" s="2">
        <f t="shared" si="1"/>
        <v>1.3048380037927705</v>
      </c>
      <c r="E39" s="2">
        <f t="shared" si="2"/>
        <v>1.3048380037927705</v>
      </c>
      <c r="F39" s="30">
        <f t="shared" si="3"/>
        <v>1.3048380037927707</v>
      </c>
      <c r="G39" s="30"/>
      <c r="H39" s="12" t="s">
        <v>66</v>
      </c>
      <c r="I39" s="12">
        <f>I4</f>
        <v>-5</v>
      </c>
      <c r="J39" s="12" t="s">
        <v>17</v>
      </c>
      <c r="K39" s="13" t="str">
        <f t="shared" ref="K39:K40" si="5">TRIM(H39)&amp;"   "&amp;IF(I39&gt;0,"+","")&amp;TRIM(I39)&amp;" "&amp;TRIM(J39)</f>
        <v>V-:   -5 V</v>
      </c>
    </row>
    <row r="40" spans="2:11">
      <c r="B40" s="2">
        <f t="shared" si="4"/>
        <v>3.5200000000000001E-3</v>
      </c>
      <c r="C40" s="2">
        <f t="shared" si="0"/>
        <v>-0.12533323356430268</v>
      </c>
      <c r="D40" s="2">
        <f t="shared" si="1"/>
        <v>-0.21224757371305303</v>
      </c>
      <c r="E40" s="2">
        <f t="shared" si="2"/>
        <v>-0.21224757371305303</v>
      </c>
      <c r="F40" s="30">
        <f t="shared" si="3"/>
        <v>-0.21224757371305306</v>
      </c>
      <c r="G40" s="30"/>
      <c r="H40" s="12" t="s">
        <v>29</v>
      </c>
      <c r="I40" s="12">
        <f>I8</f>
        <v>1</v>
      </c>
      <c r="J40" s="12" t="s">
        <v>17</v>
      </c>
      <c r="K40" s="13" t="str">
        <f t="shared" si="5"/>
        <v>Vin:   +1 V</v>
      </c>
    </row>
    <row r="41" spans="2:11">
      <c r="B41" s="2">
        <f t="shared" si="4"/>
        <v>3.6800000000000001E-3</v>
      </c>
      <c r="C41" s="2">
        <f t="shared" si="0"/>
        <v>-0.90482705246601947</v>
      </c>
      <c r="D41" s="2">
        <f t="shared" si="1"/>
        <v>-1.5322938781222408</v>
      </c>
      <c r="E41" s="2">
        <f t="shared" si="2"/>
        <v>-1.5322938781222408</v>
      </c>
      <c r="F41" s="30">
        <f t="shared" si="3"/>
        <v>-1.532293878122241</v>
      </c>
      <c r="G41" s="30"/>
      <c r="H41" s="12" t="s">
        <v>67</v>
      </c>
      <c r="I41" s="12">
        <f>C2</f>
        <v>1</v>
      </c>
      <c r="J41" s="12" t="s">
        <v>16</v>
      </c>
      <c r="K41" s="13" t="str">
        <f>TRIM(H41)&amp;"   "&amp;TRIM(I41)&amp;" "&amp;TRIM(J41)</f>
        <v>R1:   1 K</v>
      </c>
    </row>
    <row r="42" spans="2:11">
      <c r="B42" s="2">
        <f t="shared" si="4"/>
        <v>3.8400000000000001E-3</v>
      </c>
      <c r="C42" s="2">
        <f t="shared" si="0"/>
        <v>-0.84432792550201441</v>
      </c>
      <c r="D42" s="2">
        <f t="shared" si="1"/>
        <v>-1.4298406616472985</v>
      </c>
      <c r="E42" s="2">
        <f t="shared" si="2"/>
        <v>-1.4298406616472985</v>
      </c>
      <c r="F42" s="30">
        <f t="shared" si="3"/>
        <v>-1.4298406616472987</v>
      </c>
      <c r="G42" s="30"/>
      <c r="H42" s="12" t="s">
        <v>68</v>
      </c>
      <c r="I42" s="12">
        <f>C3</f>
        <v>0.1</v>
      </c>
      <c r="J42" s="12" t="s">
        <v>16</v>
      </c>
      <c r="K42" s="13" t="str">
        <f>TRIM(H42)&amp;"   "&amp;TRIM(I42)&amp;" "&amp;TRIM(J42)</f>
        <v>RF:   0.1 K</v>
      </c>
    </row>
    <row r="43" spans="2:11">
      <c r="B43" s="2">
        <f t="shared" si="4"/>
        <v>4.0000000000000001E-3</v>
      </c>
      <c r="C43" s="2">
        <f t="shared" si="0"/>
        <v>-9.8011876392689601E-16</v>
      </c>
      <c r="D43" s="2">
        <f t="shared" si="1"/>
        <v>-1.6597978339670845E-15</v>
      </c>
      <c r="E43" s="2">
        <f t="shared" si="2"/>
        <v>-1.6597978339670845E-15</v>
      </c>
      <c r="F43" s="30">
        <f t="shared" si="3"/>
        <v>-1.6597978339670847E-15</v>
      </c>
      <c r="G43" s="30"/>
      <c r="H43" s="12" t="s">
        <v>102</v>
      </c>
      <c r="I43" s="12">
        <f>C5</f>
        <v>1</v>
      </c>
      <c r="J43" s="12" t="s">
        <v>83</v>
      </c>
      <c r="K43" s="13" t="str">
        <f>TRIM(H43)&amp;"   "&amp;TRIM(I43)&amp;" "&amp;TRIM(J43)</f>
        <v>C1:   1 uF</v>
      </c>
    </row>
    <row r="44" spans="2:11">
      <c r="H44" s="12" t="s">
        <v>103</v>
      </c>
      <c r="I44" s="12">
        <f>ROUND(C10,0)</f>
        <v>1000</v>
      </c>
      <c r="J44" s="12" t="s">
        <v>80</v>
      </c>
      <c r="K44" s="13" t="str">
        <f>TRIM(H44)&amp;"   "&amp;TRIM(I44)&amp;" "&amp;TRIM(J44)</f>
        <v>f,signal:   1000 Hz</v>
      </c>
    </row>
    <row r="45" spans="2:11">
      <c r="B45" s="6" t="s">
        <v>92</v>
      </c>
    </row>
    <row r="46" spans="2:11" ht="15.5">
      <c r="B46" s="14"/>
      <c r="C46" s="2" t="s">
        <v>95</v>
      </c>
    </row>
    <row r="47" spans="2:11">
      <c r="B47" s="7" t="s">
        <v>93</v>
      </c>
      <c r="C47" s="7" t="s">
        <v>94</v>
      </c>
      <c r="D47" s="7" t="s">
        <v>97</v>
      </c>
      <c r="E47" s="7" t="s">
        <v>225</v>
      </c>
    </row>
    <row r="48" spans="2:11">
      <c r="B48" s="2">
        <v>1</v>
      </c>
      <c r="C48" s="2">
        <f t="shared" ref="C48:C79" si="6">20*LOG($C$7/SQRT(1+(B48/$C$12)^2))</f>
        <v>6.0205981987540715</v>
      </c>
      <c r="D48" s="2">
        <f t="shared" ref="D48:D79" si="7">1/(2*PI()*B48*$C$3*0.000001)</f>
        <v>1591549.4309189534</v>
      </c>
      <c r="E48" s="2">
        <f t="shared" ref="E48:E79" si="8">20*LOG((1+$C$5/$C$4)*D48/SQRT(($C$2*1000)^2+D48^2))</f>
        <v>6.0205981987540715</v>
      </c>
    </row>
    <row r="49" spans="2:5">
      <c r="B49" s="2">
        <v>2</v>
      </c>
      <c r="C49" s="2">
        <f t="shared" si="6"/>
        <v>6.0205930551814717</v>
      </c>
      <c r="D49" s="2">
        <f t="shared" si="7"/>
        <v>795774.71545947669</v>
      </c>
      <c r="E49" s="2">
        <f t="shared" si="8"/>
        <v>6.0205930551814699</v>
      </c>
    </row>
    <row r="50" spans="2:5">
      <c r="B50" s="2">
        <v>3</v>
      </c>
      <c r="C50" s="2">
        <f t="shared" si="6"/>
        <v>6.0205844825740087</v>
      </c>
      <c r="D50" s="2">
        <f t="shared" si="7"/>
        <v>530516.4769729845</v>
      </c>
      <c r="E50" s="2">
        <f t="shared" si="8"/>
        <v>6.0205844825740087</v>
      </c>
    </row>
    <row r="51" spans="2:5">
      <c r="B51" s="2">
        <v>4</v>
      </c>
      <c r="C51" s="2">
        <f t="shared" si="6"/>
        <v>6.0205724809519898</v>
      </c>
      <c r="D51" s="2">
        <f t="shared" si="7"/>
        <v>397887.35772973835</v>
      </c>
      <c r="E51" s="2">
        <f t="shared" si="8"/>
        <v>6.0205724809519898</v>
      </c>
    </row>
    <row r="52" spans="2:5">
      <c r="B52" s="2">
        <v>5</v>
      </c>
      <c r="C52" s="2">
        <f t="shared" si="6"/>
        <v>6.0205570503438457</v>
      </c>
      <c r="D52" s="2">
        <f t="shared" si="7"/>
        <v>318309.88618379069</v>
      </c>
      <c r="E52" s="2">
        <f t="shared" si="8"/>
        <v>6.0205570503438448</v>
      </c>
    </row>
    <row r="53" spans="2:5">
      <c r="B53" s="2">
        <v>6</v>
      </c>
      <c r="C53" s="2">
        <f t="shared" si="6"/>
        <v>6.0205381907861186</v>
      </c>
      <c r="D53" s="2">
        <f t="shared" si="7"/>
        <v>265258.23848649225</v>
      </c>
      <c r="E53" s="2">
        <f t="shared" si="8"/>
        <v>6.0205381907861186</v>
      </c>
    </row>
    <row r="54" spans="2:5">
      <c r="B54" s="2">
        <v>7</v>
      </c>
      <c r="C54" s="2">
        <f t="shared" si="6"/>
        <v>6.0205159023234858</v>
      </c>
      <c r="D54" s="2">
        <f t="shared" si="7"/>
        <v>227364.20441699337</v>
      </c>
      <c r="E54" s="2">
        <f t="shared" si="8"/>
        <v>6.0205159023234858</v>
      </c>
    </row>
    <row r="55" spans="2:5">
      <c r="B55" s="2">
        <v>8</v>
      </c>
      <c r="C55" s="2">
        <f t="shared" si="6"/>
        <v>6.0204901850087387</v>
      </c>
      <c r="D55" s="2">
        <f t="shared" si="7"/>
        <v>198943.67886486917</v>
      </c>
      <c r="E55" s="2">
        <f t="shared" si="8"/>
        <v>6.0204901850087378</v>
      </c>
    </row>
    <row r="56" spans="2:5">
      <c r="B56" s="2">
        <v>9</v>
      </c>
      <c r="C56" s="2">
        <f t="shared" si="6"/>
        <v>6.0204610389027913</v>
      </c>
      <c r="D56" s="2">
        <f t="shared" si="7"/>
        <v>176838.82565766151</v>
      </c>
      <c r="E56" s="2">
        <f t="shared" si="8"/>
        <v>6.0204610389027904</v>
      </c>
    </row>
    <row r="57" spans="2:5">
      <c r="B57" s="2">
        <v>10</v>
      </c>
      <c r="C57" s="2">
        <f t="shared" si="6"/>
        <v>6.0204284640746755</v>
      </c>
      <c r="D57" s="2">
        <f t="shared" si="7"/>
        <v>159154.94309189534</v>
      </c>
      <c r="E57" s="2">
        <f t="shared" si="8"/>
        <v>6.0204284640746746</v>
      </c>
    </row>
    <row r="58" spans="2:5">
      <c r="B58" s="2">
        <v>20</v>
      </c>
      <c r="C58" s="2">
        <f t="shared" si="6"/>
        <v>6.0199141570665464</v>
      </c>
      <c r="D58" s="2">
        <f t="shared" si="7"/>
        <v>79577.471545947672</v>
      </c>
      <c r="E58" s="2">
        <f t="shared" si="8"/>
        <v>6.0199141570665446</v>
      </c>
    </row>
    <row r="59" spans="2:5">
      <c r="B59" s="2">
        <v>30</v>
      </c>
      <c r="C59" s="2">
        <f t="shared" si="6"/>
        <v>6.0190571140433367</v>
      </c>
      <c r="D59" s="2">
        <f t="shared" si="7"/>
        <v>53051.647697298446</v>
      </c>
      <c r="E59" s="2">
        <f t="shared" si="8"/>
        <v>6.0190571140433358</v>
      </c>
    </row>
    <row r="60" spans="2:5">
      <c r="B60" s="2">
        <v>40</v>
      </c>
      <c r="C60" s="2">
        <f t="shared" si="6"/>
        <v>6.0178575378784256</v>
      </c>
      <c r="D60" s="2">
        <f t="shared" si="7"/>
        <v>39788.735772973836</v>
      </c>
      <c r="E60" s="2">
        <f t="shared" si="8"/>
        <v>6.0178575378784256</v>
      </c>
    </row>
    <row r="61" spans="2:5">
      <c r="B61" s="2">
        <v>50</v>
      </c>
      <c r="C61" s="2">
        <f t="shared" si="6"/>
        <v>6.0163157123704742</v>
      </c>
      <c r="D61" s="2">
        <f t="shared" si="7"/>
        <v>31830.988618379066</v>
      </c>
      <c r="E61" s="2">
        <f t="shared" si="8"/>
        <v>6.016315712370476</v>
      </c>
    </row>
    <row r="62" spans="2:5">
      <c r="B62" s="2">
        <v>60</v>
      </c>
      <c r="C62" s="2">
        <f t="shared" si="6"/>
        <v>6.0144320020197917</v>
      </c>
      <c r="D62" s="2">
        <f t="shared" si="7"/>
        <v>26525.823848649223</v>
      </c>
      <c r="E62" s="2">
        <f t="shared" si="8"/>
        <v>6.0144320020197926</v>
      </c>
    </row>
    <row r="63" spans="2:5">
      <c r="B63" s="2">
        <v>70</v>
      </c>
      <c r="C63" s="2">
        <f t="shared" si="6"/>
        <v>6.0122068517414595</v>
      </c>
      <c r="D63" s="2">
        <f t="shared" si="7"/>
        <v>22736.420441699334</v>
      </c>
      <c r="E63" s="2">
        <f t="shared" si="8"/>
        <v>6.0122068517414604</v>
      </c>
    </row>
    <row r="64" spans="2:5">
      <c r="B64" s="2">
        <v>80</v>
      </c>
      <c r="C64" s="2">
        <f t="shared" si="6"/>
        <v>6.0096407865156571</v>
      </c>
      <c r="D64" s="2">
        <f t="shared" si="7"/>
        <v>19894.367886486918</v>
      </c>
      <c r="E64" s="2">
        <f t="shared" si="8"/>
        <v>6.0096407865156563</v>
      </c>
    </row>
    <row r="65" spans="2:5">
      <c r="B65" s="2">
        <v>90</v>
      </c>
      <c r="C65" s="2">
        <f t="shared" si="6"/>
        <v>6.0067344109757812</v>
      </c>
      <c r="D65" s="2">
        <f t="shared" si="7"/>
        <v>17683.882565766147</v>
      </c>
      <c r="E65" s="2">
        <f t="shared" si="8"/>
        <v>6.006734410975783</v>
      </c>
    </row>
    <row r="66" spans="2:5">
      <c r="B66" s="2">
        <v>100</v>
      </c>
      <c r="C66" s="2">
        <f t="shared" si="6"/>
        <v>6.0034884089350413</v>
      </c>
      <c r="D66" s="2">
        <f t="shared" si="7"/>
        <v>15915.494309189533</v>
      </c>
      <c r="E66" s="2">
        <f t="shared" si="8"/>
        <v>6.0034884089350413</v>
      </c>
    </row>
    <row r="67" spans="2:5">
      <c r="B67" s="2">
        <v>200</v>
      </c>
      <c r="C67" s="2">
        <f t="shared" si="6"/>
        <v>5.9525547378051593</v>
      </c>
      <c r="D67" s="2">
        <f t="shared" si="7"/>
        <v>7957.7471545947665</v>
      </c>
      <c r="E67" s="2">
        <f t="shared" si="8"/>
        <v>5.9525547378051584</v>
      </c>
    </row>
    <row r="68" spans="2:5">
      <c r="B68" s="2">
        <v>300</v>
      </c>
      <c r="C68" s="2">
        <f t="shared" si="6"/>
        <v>5.8689706460814701</v>
      </c>
      <c r="D68" s="2">
        <f t="shared" si="7"/>
        <v>5305.1647697298449</v>
      </c>
      <c r="E68" s="2">
        <f t="shared" si="8"/>
        <v>5.8689706460814692</v>
      </c>
    </row>
    <row r="69" spans="2:5">
      <c r="B69" s="2">
        <v>400</v>
      </c>
      <c r="C69" s="2">
        <f t="shared" si="6"/>
        <v>5.7545912913828703</v>
      </c>
      <c r="D69" s="2">
        <f t="shared" si="7"/>
        <v>3978.8735772973832</v>
      </c>
      <c r="E69" s="2">
        <f t="shared" si="8"/>
        <v>5.7545912913828694</v>
      </c>
    </row>
    <row r="70" spans="2:5">
      <c r="B70" s="2">
        <v>500</v>
      </c>
      <c r="C70" s="2">
        <f t="shared" si="6"/>
        <v>5.6118243053961017</v>
      </c>
      <c r="D70" s="2">
        <f t="shared" si="7"/>
        <v>3183.098861837907</v>
      </c>
      <c r="E70" s="2">
        <f t="shared" si="8"/>
        <v>5.6118243053961017</v>
      </c>
    </row>
    <row r="71" spans="2:5">
      <c r="B71" s="2">
        <v>600</v>
      </c>
      <c r="C71" s="2">
        <f t="shared" si="6"/>
        <v>5.4434737880416701</v>
      </c>
      <c r="D71" s="2">
        <f t="shared" si="7"/>
        <v>2652.5823848649225</v>
      </c>
      <c r="E71" s="2">
        <f t="shared" si="8"/>
        <v>5.4434737880416684</v>
      </c>
    </row>
    <row r="72" spans="2:5">
      <c r="B72" s="2">
        <v>700</v>
      </c>
      <c r="C72" s="2">
        <f t="shared" si="6"/>
        <v>5.2525785630242385</v>
      </c>
      <c r="D72" s="2">
        <f t="shared" si="7"/>
        <v>2273.6420441699333</v>
      </c>
      <c r="E72" s="2">
        <f t="shared" si="8"/>
        <v>5.2525785630242394</v>
      </c>
    </row>
    <row r="73" spans="2:5">
      <c r="B73" s="2">
        <v>800</v>
      </c>
      <c r="C73" s="2">
        <f t="shared" si="6"/>
        <v>5.0422613234634319</v>
      </c>
      <c r="D73" s="2">
        <f t="shared" si="7"/>
        <v>1989.4367886486916</v>
      </c>
      <c r="E73" s="2">
        <f t="shared" si="8"/>
        <v>5.0422613234634319</v>
      </c>
    </row>
    <row r="74" spans="2:5">
      <c r="B74" s="2">
        <v>900</v>
      </c>
      <c r="C74" s="2">
        <f t="shared" si="6"/>
        <v>4.8156003381440184</v>
      </c>
      <c r="D74" s="2">
        <f t="shared" si="7"/>
        <v>1768.388256576615</v>
      </c>
      <c r="E74" s="2">
        <f t="shared" si="8"/>
        <v>4.8156003381440184</v>
      </c>
    </row>
    <row r="75" spans="2:5">
      <c r="B75" s="2">
        <v>1000</v>
      </c>
      <c r="C75" s="2">
        <f t="shared" si="6"/>
        <v>4.5755297970743367</v>
      </c>
      <c r="D75" s="2">
        <f t="shared" si="7"/>
        <v>1591.5494309189535</v>
      </c>
      <c r="E75" s="2">
        <f t="shared" si="8"/>
        <v>4.5755297970743385</v>
      </c>
    </row>
    <row r="76" spans="2:5">
      <c r="B76" s="2">
        <v>2000</v>
      </c>
      <c r="C76" s="2">
        <f t="shared" si="6"/>
        <v>1.9058562930049148</v>
      </c>
      <c r="D76" s="2">
        <f t="shared" si="7"/>
        <v>795.77471545947674</v>
      </c>
      <c r="E76" s="2">
        <f t="shared" si="8"/>
        <v>1.9058562930049148</v>
      </c>
    </row>
    <row r="77" spans="2:5">
      <c r="B77" s="2">
        <v>3000</v>
      </c>
      <c r="C77" s="2">
        <f t="shared" si="6"/>
        <v>-0.56243151715921647</v>
      </c>
      <c r="D77" s="2">
        <f t="shared" si="7"/>
        <v>530.51647697298449</v>
      </c>
      <c r="E77" s="2">
        <f t="shared" si="8"/>
        <v>-0.56243151715921436</v>
      </c>
    </row>
    <row r="78" spans="2:5">
      <c r="B78" s="2">
        <v>4000</v>
      </c>
      <c r="C78" s="2">
        <f t="shared" si="6"/>
        <v>-2.6224616455237775</v>
      </c>
      <c r="D78" s="2">
        <f t="shared" si="7"/>
        <v>397.88735772973837</v>
      </c>
      <c r="E78" s="2">
        <f t="shared" si="8"/>
        <v>-2.6224616455237775</v>
      </c>
    </row>
    <row r="79" spans="2:5">
      <c r="B79" s="2">
        <v>5000</v>
      </c>
      <c r="C79" s="2">
        <f t="shared" si="6"/>
        <v>-4.3415374691193422</v>
      </c>
      <c r="D79" s="2">
        <f t="shared" si="7"/>
        <v>318.30988618379064</v>
      </c>
      <c r="E79" s="2">
        <f t="shared" si="8"/>
        <v>-4.341537469119344</v>
      </c>
    </row>
    <row r="80" spans="2:5">
      <c r="B80" s="2">
        <v>6000</v>
      </c>
      <c r="C80" s="2">
        <f t="shared" ref="C80:C102" si="9">20*LOG($C$7/SQRT(1+(B80/$C$12)^2))</f>
        <v>-5.8013290137645939</v>
      </c>
      <c r="D80" s="2">
        <f t="shared" ref="D80:D102" si="10">1/(2*PI()*B80*$C$3*0.000001)</f>
        <v>265.25823848649225</v>
      </c>
      <c r="E80" s="2">
        <f t="shared" ref="E80:E102" si="11">20*LOG((1+$C$5/$C$4)*D80/SQRT(($C$2*1000)^2+D80^2))</f>
        <v>-5.8013290137645912</v>
      </c>
    </row>
    <row r="81" spans="2:5">
      <c r="B81" s="2">
        <v>7000</v>
      </c>
      <c r="C81" s="2">
        <f t="shared" si="9"/>
        <v>-7.063854204711701</v>
      </c>
      <c r="D81" s="2">
        <f t="shared" si="10"/>
        <v>227.36420441699337</v>
      </c>
      <c r="E81" s="2">
        <f t="shared" si="11"/>
        <v>-7.063854204711701</v>
      </c>
    </row>
    <row r="82" spans="2:5">
      <c r="B82" s="2">
        <v>8000</v>
      </c>
      <c r="C82" s="2">
        <f t="shared" si="9"/>
        <v>-8.1733704494618458</v>
      </c>
      <c r="D82" s="2">
        <f t="shared" si="10"/>
        <v>198.94367886486918</v>
      </c>
      <c r="E82" s="2">
        <f t="shared" si="11"/>
        <v>-8.1733704494618475</v>
      </c>
    </row>
    <row r="83" spans="2:5">
      <c r="B83" s="2">
        <v>9000</v>
      </c>
      <c r="C83" s="2">
        <f t="shared" si="9"/>
        <v>-9.1615797815075393</v>
      </c>
      <c r="D83" s="2">
        <f t="shared" si="10"/>
        <v>176.83882565766146</v>
      </c>
      <c r="E83" s="2">
        <f t="shared" si="11"/>
        <v>-9.161579781507541</v>
      </c>
    </row>
    <row r="84" spans="2:5">
      <c r="B84" s="2">
        <v>10000</v>
      </c>
      <c r="C84" s="2">
        <f t="shared" si="9"/>
        <v>-10.051635352525894</v>
      </c>
      <c r="D84" s="2">
        <f t="shared" si="10"/>
        <v>159.15494309189532</v>
      </c>
      <c r="E84" s="2">
        <f t="shared" si="11"/>
        <v>-10.051635352525896</v>
      </c>
    </row>
    <row r="85" spans="2:5">
      <c r="B85" s="2">
        <v>20000</v>
      </c>
      <c r="C85" s="2">
        <f t="shared" si="9"/>
        <v>-15.991012673110443</v>
      </c>
      <c r="D85" s="2">
        <f t="shared" si="10"/>
        <v>79.57747154594766</v>
      </c>
      <c r="E85" s="2">
        <f t="shared" si="11"/>
        <v>-15.991012673110443</v>
      </c>
    </row>
    <row r="86" spans="2:5">
      <c r="B86" s="2">
        <v>30000</v>
      </c>
      <c r="C86" s="2">
        <f t="shared" si="9"/>
        <v>-19.497628499345531</v>
      </c>
      <c r="D86" s="2">
        <f t="shared" si="10"/>
        <v>53.051647697298449</v>
      </c>
      <c r="E86" s="2">
        <f t="shared" si="11"/>
        <v>-19.497628499345527</v>
      </c>
    </row>
    <row r="87" spans="2:5">
      <c r="B87" s="2">
        <v>40000</v>
      </c>
      <c r="C87" s="2">
        <f t="shared" si="9"/>
        <v>-21.991067348560701</v>
      </c>
      <c r="D87" s="2">
        <f t="shared" si="10"/>
        <v>39.78873577297383</v>
      </c>
      <c r="E87" s="2">
        <f t="shared" si="11"/>
        <v>-21.991067348560701</v>
      </c>
    </row>
    <row r="88" spans="2:5">
      <c r="B88" s="2">
        <v>50000</v>
      </c>
      <c r="C88" s="2">
        <f t="shared" si="9"/>
        <v>-23.926795635973551</v>
      </c>
      <c r="D88" s="2">
        <f t="shared" si="10"/>
        <v>31.830988618379067</v>
      </c>
      <c r="E88" s="2">
        <f t="shared" si="11"/>
        <v>-23.926795635973551</v>
      </c>
    </row>
    <row r="89" spans="2:5">
      <c r="B89" s="2">
        <v>60000</v>
      </c>
      <c r="C89" s="2">
        <f t="shared" si="9"/>
        <v>-25.509077166934141</v>
      </c>
      <c r="D89" s="2">
        <f t="shared" si="10"/>
        <v>26.525823848649225</v>
      </c>
      <c r="E89" s="2">
        <f t="shared" si="11"/>
        <v>-25.509077166934141</v>
      </c>
    </row>
    <row r="90" spans="2:5">
      <c r="B90" s="2">
        <v>70000</v>
      </c>
      <c r="C90" s="2">
        <f t="shared" si="9"/>
        <v>-26.8472027368848</v>
      </c>
      <c r="D90" s="2">
        <f t="shared" si="10"/>
        <v>22.736420441699334</v>
      </c>
      <c r="E90" s="2">
        <f t="shared" si="11"/>
        <v>-26.8472027368848</v>
      </c>
    </row>
    <row r="91" spans="2:5">
      <c r="B91" s="2">
        <v>80000</v>
      </c>
      <c r="C91" s="2">
        <f t="shared" si="9"/>
        <v>-28.006515729867022</v>
      </c>
      <c r="D91" s="2">
        <f t="shared" si="10"/>
        <v>19.894367886486915</v>
      </c>
      <c r="E91" s="2">
        <f t="shared" si="11"/>
        <v>-28.006515729867022</v>
      </c>
    </row>
    <row r="92" spans="2:5">
      <c r="B92" s="2">
        <v>90000</v>
      </c>
      <c r="C92" s="2">
        <f t="shared" si="9"/>
        <v>-29.029205554769518</v>
      </c>
      <c r="D92" s="2">
        <f t="shared" si="10"/>
        <v>17.683882565766147</v>
      </c>
      <c r="E92" s="2">
        <f t="shared" si="11"/>
        <v>-29.029205554769518</v>
      </c>
    </row>
    <row r="93" spans="2:5">
      <c r="B93" s="2">
        <v>100000</v>
      </c>
      <c r="C93" s="2">
        <f t="shared" si="9"/>
        <v>-29.944097395353239</v>
      </c>
      <c r="D93" s="2">
        <f t="shared" si="10"/>
        <v>15.915494309189533</v>
      </c>
      <c r="E93" s="2">
        <f t="shared" si="11"/>
        <v>-29.944097395353239</v>
      </c>
    </row>
    <row r="94" spans="2:5">
      <c r="B94" s="2">
        <v>200000</v>
      </c>
      <c r="C94" s="2">
        <f t="shared" si="9"/>
        <v>-35.963872378648212</v>
      </c>
      <c r="D94" s="2">
        <f t="shared" si="10"/>
        <v>7.9577471545947667</v>
      </c>
      <c r="E94" s="2">
        <f t="shared" si="11"/>
        <v>-35.963872378648212</v>
      </c>
    </row>
    <row r="95" spans="2:5">
      <c r="B95" s="2">
        <v>300000</v>
      </c>
      <c r="C95" s="2">
        <f t="shared" si="9"/>
        <v>-39.48554477775297</v>
      </c>
      <c r="D95" s="2">
        <f t="shared" si="10"/>
        <v>5.3051647697298447</v>
      </c>
      <c r="E95" s="2">
        <f t="shared" si="11"/>
        <v>-39.48554477775297</v>
      </c>
    </row>
    <row r="96" spans="2:5">
      <c r="B96" s="2">
        <v>400000</v>
      </c>
      <c r="C96" s="2">
        <f t="shared" si="9"/>
        <v>-41.984266034946046</v>
      </c>
      <c r="D96" s="2">
        <f t="shared" si="10"/>
        <v>3.9788735772973833</v>
      </c>
      <c r="E96" s="2">
        <f t="shared" si="11"/>
        <v>-41.984266034946046</v>
      </c>
    </row>
    <row r="97" spans="2:5">
      <c r="B97" s="2">
        <v>500000</v>
      </c>
      <c r="C97" s="2">
        <f t="shared" si="9"/>
        <v>-43.922441543611086</v>
      </c>
      <c r="D97" s="2">
        <f t="shared" si="10"/>
        <v>3.1830988618379075</v>
      </c>
      <c r="E97" s="2">
        <f t="shared" si="11"/>
        <v>-43.922441543611086</v>
      </c>
    </row>
    <row r="98" spans="2:5">
      <c r="B98" s="2">
        <v>600000</v>
      </c>
      <c r="C98" s="2">
        <f t="shared" si="9"/>
        <v>-45.506053019247325</v>
      </c>
      <c r="D98" s="2">
        <f t="shared" si="10"/>
        <v>2.6525823848649224</v>
      </c>
      <c r="E98" s="2">
        <f t="shared" si="11"/>
        <v>-45.506053019247325</v>
      </c>
    </row>
    <row r="99" spans="2:5">
      <c r="B99" s="2">
        <v>700000</v>
      </c>
      <c r="C99" s="2">
        <f t="shared" si="9"/>
        <v>-46.844980704737821</v>
      </c>
      <c r="D99" s="2">
        <f t="shared" si="10"/>
        <v>2.2736420441699337</v>
      </c>
      <c r="E99" s="2">
        <f t="shared" si="11"/>
        <v>-46.844980704737821</v>
      </c>
    </row>
    <row r="100" spans="2:5">
      <c r="B100" s="2">
        <v>800000</v>
      </c>
      <c r="C100" s="2">
        <f t="shared" si="9"/>
        <v>-48.004814382449624</v>
      </c>
      <c r="D100" s="2">
        <f t="shared" si="10"/>
        <v>1.9894367886486917</v>
      </c>
      <c r="E100" s="2">
        <f t="shared" si="11"/>
        <v>-48.004814382449624</v>
      </c>
    </row>
    <row r="101" spans="2:5">
      <c r="B101" s="2">
        <v>900000</v>
      </c>
      <c r="C101" s="2">
        <f t="shared" si="9"/>
        <v>-49.02786122389206</v>
      </c>
      <c r="D101" s="2">
        <f t="shared" si="10"/>
        <v>1.7683882565766149</v>
      </c>
      <c r="E101" s="2">
        <f t="shared" si="11"/>
        <v>-49.02786122389206</v>
      </c>
    </row>
    <row r="102" spans="2:5">
      <c r="B102" s="2">
        <v>1000000</v>
      </c>
      <c r="C102" s="2">
        <f t="shared" si="9"/>
        <v>-49.943008454676487</v>
      </c>
      <c r="D102" s="2">
        <f t="shared" si="10"/>
        <v>1.5915494309189537</v>
      </c>
      <c r="E102" s="2">
        <f t="shared" si="11"/>
        <v>-49.94300845467648</v>
      </c>
    </row>
  </sheetData>
  <hyperlinks>
    <hyperlink ref="V21" r:id="rId1" xr:uid="{65F15C1F-6E7D-497D-BA2F-B0FDAF5CA136}"/>
  </hyperlinks>
  <pageMargins left="0.7" right="0.7" top="0.75" bottom="0.75" header="0.3" footer="0.3"/>
  <pageSetup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26C97-7EC9-4CB7-9904-11F100C5615F}">
  <dimension ref="B1:AJ101"/>
  <sheetViews>
    <sheetView zoomScale="96" zoomScaleNormal="96" workbookViewId="0">
      <selection activeCell="C2" sqref="C2"/>
    </sheetView>
  </sheetViews>
  <sheetFormatPr defaultColWidth="9.1796875" defaultRowHeight="14.5"/>
  <cols>
    <col min="1" max="1" width="5.1796875" style="2" customWidth="1"/>
    <col min="2" max="2" width="9.1796875" style="2"/>
    <col min="3" max="3" width="9.1796875" style="2" customWidth="1"/>
    <col min="4" max="4" width="9.1796875" style="2"/>
    <col min="5" max="5" width="11.81640625" style="2" customWidth="1"/>
    <col min="6" max="7" width="9.1796875" style="2"/>
    <col min="8" max="8" width="11" style="2" customWidth="1"/>
    <col min="9" max="16384" width="9.1796875" style="2"/>
  </cols>
  <sheetData>
    <row r="1" spans="2:36" ht="46.5" thickBot="1">
      <c r="B1" s="1" t="s">
        <v>226</v>
      </c>
    </row>
    <row r="2" spans="2:36" ht="15" thickBot="1">
      <c r="B2" s="2" t="s">
        <v>12</v>
      </c>
      <c r="C2" s="4">
        <v>1</v>
      </c>
      <c r="D2" s="2" t="s">
        <v>16</v>
      </c>
      <c r="H2" s="6" t="s">
        <v>36</v>
      </c>
    </row>
    <row r="3" spans="2:36" ht="15" thickBot="1">
      <c r="B3" s="2" t="s">
        <v>15</v>
      </c>
      <c r="C3" s="4">
        <v>1</v>
      </c>
      <c r="D3" s="2" t="s">
        <v>16</v>
      </c>
      <c r="H3" s="2" t="s">
        <v>9</v>
      </c>
      <c r="I3" s="4">
        <v>5</v>
      </c>
      <c r="J3" s="2" t="s">
        <v>18</v>
      </c>
    </row>
    <row r="4" spans="2:36" ht="15" thickBot="1">
      <c r="B4" s="2" t="s">
        <v>82</v>
      </c>
      <c r="C4" s="4">
        <v>0.1</v>
      </c>
      <c r="D4" s="2" t="s">
        <v>83</v>
      </c>
      <c r="H4" s="2" t="s">
        <v>10</v>
      </c>
      <c r="I4" s="5">
        <v>-5</v>
      </c>
      <c r="J4" s="2" t="s">
        <v>19</v>
      </c>
      <c r="AJ4"/>
    </row>
    <row r="5" spans="2:36" ht="15" thickBot="1">
      <c r="B5" s="2" t="s">
        <v>0</v>
      </c>
      <c r="C5" s="3">
        <v>0</v>
      </c>
      <c r="D5" s="2" t="s">
        <v>17</v>
      </c>
      <c r="H5" s="2" t="s">
        <v>31</v>
      </c>
      <c r="I5" s="4">
        <v>1.2</v>
      </c>
      <c r="J5" s="2" t="s">
        <v>32</v>
      </c>
    </row>
    <row r="6" spans="2:36">
      <c r="B6" s="2" t="s">
        <v>1</v>
      </c>
      <c r="C6" s="3">
        <f>1+C3/C2</f>
        <v>2</v>
      </c>
      <c r="D6" s="2" t="s">
        <v>39</v>
      </c>
    </row>
    <row r="7" spans="2:36" ht="15" thickBot="1">
      <c r="B7" s="2" t="s">
        <v>97</v>
      </c>
      <c r="C7" s="3">
        <f>1/(2*PI()*C9*C4*0.000001)</f>
        <v>1591.5494309189535</v>
      </c>
      <c r="D7" s="2" t="s">
        <v>219</v>
      </c>
      <c r="H7" s="6" t="s">
        <v>33</v>
      </c>
    </row>
    <row r="8" spans="2:36" ht="15" thickBot="1">
      <c r="B8" s="2" t="s">
        <v>25</v>
      </c>
      <c r="C8" s="4">
        <v>1</v>
      </c>
      <c r="D8" s="2" t="s">
        <v>38</v>
      </c>
      <c r="H8" s="6" t="s">
        <v>29</v>
      </c>
      <c r="I8" s="4">
        <v>1</v>
      </c>
      <c r="J8" s="2" t="s">
        <v>17</v>
      </c>
    </row>
    <row r="9" spans="2:36" ht="15" thickBot="1">
      <c r="B9" s="2" t="s">
        <v>84</v>
      </c>
      <c r="C9" s="4">
        <v>1000</v>
      </c>
      <c r="D9" s="2" t="s">
        <v>80</v>
      </c>
      <c r="H9" s="6" t="s">
        <v>34</v>
      </c>
      <c r="I9" s="3">
        <f>IF($C$6*I8/SQRT(1+($C$9/$C$11)^2)&gt;($I$3-$I$5),($I$3-$I$5),IF($C$6*I8/SQRT(1+($C$9/$C$11)^2)&lt;($I$4+$I$5),($I$4+$I$5),$C$6*I8/SQRT(1+($C$9/$C$11)^2)))</f>
        <v>1.6934660319296611</v>
      </c>
      <c r="J9" s="2" t="s">
        <v>17</v>
      </c>
    </row>
    <row r="10" spans="2:36">
      <c r="B10" s="2" t="s">
        <v>87</v>
      </c>
      <c r="C10" s="3">
        <f>1/C9</f>
        <v>1E-3</v>
      </c>
      <c r="D10" s="2" t="s">
        <v>86</v>
      </c>
    </row>
    <row r="11" spans="2:36" ht="15" thickBot="1">
      <c r="B11" s="2" t="s">
        <v>81</v>
      </c>
      <c r="C11" s="3">
        <f>1/(2*PI()*(C3*1000)*(C4*0.000001))</f>
        <v>1591.5494309189537</v>
      </c>
      <c r="D11" s="2" t="s">
        <v>80</v>
      </c>
      <c r="H11" s="6" t="s">
        <v>198</v>
      </c>
    </row>
    <row r="12" spans="2:36" ht="15" thickBot="1">
      <c r="B12" s="2" t="s">
        <v>89</v>
      </c>
      <c r="C12" s="4">
        <v>4</v>
      </c>
      <c r="D12" s="2" t="s">
        <v>90</v>
      </c>
      <c r="H12" s="17" t="s">
        <v>106</v>
      </c>
      <c r="I12" s="3">
        <f>1000*(C3*1000)*(C4*0.000001)</f>
        <v>9.9999999999999992E-2</v>
      </c>
      <c r="J12" s="2" t="s">
        <v>107</v>
      </c>
    </row>
    <row r="13" spans="2:36">
      <c r="B13" s="2" t="s">
        <v>88</v>
      </c>
      <c r="C13" s="3">
        <f>C10*C12/25</f>
        <v>1.6000000000000001E-4</v>
      </c>
      <c r="D13" s="2" t="s">
        <v>86</v>
      </c>
      <c r="H13" s="17" t="s">
        <v>197</v>
      </c>
      <c r="I13" s="3">
        <f>1/(I12*0.001)</f>
        <v>10000</v>
      </c>
      <c r="J13" s="2" t="s">
        <v>80</v>
      </c>
    </row>
    <row r="15" spans="2:36">
      <c r="E15" s="6" t="s">
        <v>30</v>
      </c>
    </row>
    <row r="16" spans="2:36">
      <c r="B16" s="7" t="s">
        <v>85</v>
      </c>
      <c r="C16" s="7" t="s">
        <v>7</v>
      </c>
      <c r="D16" s="7" t="s">
        <v>3</v>
      </c>
      <c r="E16" s="7" t="s">
        <v>3</v>
      </c>
      <c r="F16" s="30" t="s">
        <v>231</v>
      </c>
      <c r="G16" s="30"/>
    </row>
    <row r="17" spans="2:27">
      <c r="B17" s="2">
        <v>0</v>
      </c>
      <c r="C17" s="2">
        <f t="shared" ref="C17:C42" si="0">$C$8*SIN($B17*$C$9*2*PI())</f>
        <v>0</v>
      </c>
      <c r="D17" s="2">
        <f t="shared" ref="D17:D42" si="1">C17*(1+($C$3/$C$2)*(1/(1+($C$9/$C$11))))</f>
        <v>0</v>
      </c>
      <c r="E17" s="2">
        <f t="shared" ref="E17:E42" si="2">IF(D17&gt;($I$3-$I$5),($I$3-$I$5),IF(D17&lt;($I$4+$I$5),($I$4+$I$5),D17))</f>
        <v>0</v>
      </c>
      <c r="F17" s="30">
        <f t="shared" ref="F17:F42" si="3">C17*(1+(($C$3*1000*$C$7)/($C$3*1000+$C$7))/($C$2*1000))</f>
        <v>0</v>
      </c>
      <c r="G17" s="30"/>
    </row>
    <row r="18" spans="2:27">
      <c r="B18" s="2">
        <f t="shared" ref="B18:B42" si="4">B17+$C$13</f>
        <v>1.6000000000000001E-4</v>
      </c>
      <c r="C18" s="2">
        <f t="shared" si="0"/>
        <v>0.84432792550201508</v>
      </c>
      <c r="D18" s="2">
        <f t="shared" si="1"/>
        <v>1.3628554184795307</v>
      </c>
      <c r="E18" s="2">
        <f t="shared" si="2"/>
        <v>1.3628554184795307</v>
      </c>
      <c r="F18" s="30">
        <f t="shared" si="3"/>
        <v>1.3628554184795307</v>
      </c>
      <c r="G18" s="30"/>
    </row>
    <row r="19" spans="2:27">
      <c r="B19" s="2">
        <f t="shared" si="4"/>
        <v>3.2000000000000003E-4</v>
      </c>
      <c r="C19" s="2">
        <f t="shared" si="0"/>
        <v>0.90482705246601947</v>
      </c>
      <c r="D19" s="2">
        <f t="shared" si="1"/>
        <v>1.4605089018072923</v>
      </c>
      <c r="E19" s="2">
        <f t="shared" si="2"/>
        <v>1.4605089018072923</v>
      </c>
      <c r="F19" s="30">
        <f t="shared" si="3"/>
        <v>1.4605089018072923</v>
      </c>
      <c r="G19" s="30"/>
    </row>
    <row r="20" spans="2:27">
      <c r="B20" s="2">
        <f t="shared" si="4"/>
        <v>4.8000000000000007E-4</v>
      </c>
      <c r="C20" s="2">
        <f t="shared" si="0"/>
        <v>0.12533323356430365</v>
      </c>
      <c r="D20" s="2">
        <f t="shared" si="1"/>
        <v>0.20230418930785934</v>
      </c>
      <c r="E20" s="2">
        <f t="shared" si="2"/>
        <v>0.20230418930785934</v>
      </c>
      <c r="F20" s="30">
        <f t="shared" si="3"/>
        <v>0.20230418930785934</v>
      </c>
      <c r="G20" s="30"/>
    </row>
    <row r="21" spans="2:27">
      <c r="B21" s="2">
        <f t="shared" si="4"/>
        <v>6.4000000000000005E-4</v>
      </c>
      <c r="C21" s="2">
        <f t="shared" si="0"/>
        <v>-0.77051324277578936</v>
      </c>
      <c r="D21" s="2">
        <f t="shared" si="1"/>
        <v>-1.2437088910719827</v>
      </c>
      <c r="E21" s="2">
        <f t="shared" si="2"/>
        <v>-1.2437088910719827</v>
      </c>
      <c r="F21" s="30">
        <f t="shared" si="3"/>
        <v>-1.2437088910719827</v>
      </c>
      <c r="G21" s="30"/>
    </row>
    <row r="22" spans="2:27">
      <c r="B22" s="2">
        <f t="shared" si="4"/>
        <v>8.0000000000000004E-4</v>
      </c>
      <c r="C22" s="2">
        <f t="shared" si="0"/>
        <v>-0.95105651629515364</v>
      </c>
      <c r="D22" s="2">
        <f t="shared" si="1"/>
        <v>-1.5351292872878253</v>
      </c>
      <c r="E22" s="2">
        <f t="shared" si="2"/>
        <v>-1.5351292872878253</v>
      </c>
      <c r="F22" s="30">
        <f t="shared" si="3"/>
        <v>-1.5351292872878253</v>
      </c>
      <c r="G22" s="30"/>
    </row>
    <row r="23" spans="2:27">
      <c r="B23" s="2">
        <f t="shared" si="4"/>
        <v>9.6000000000000002E-4</v>
      </c>
      <c r="C23" s="2">
        <f t="shared" si="0"/>
        <v>-0.24868988716485449</v>
      </c>
      <c r="D23" s="2">
        <f t="shared" si="1"/>
        <v>-0.40141792069967036</v>
      </c>
      <c r="E23" s="2">
        <f t="shared" si="2"/>
        <v>-0.40141792069967036</v>
      </c>
      <c r="F23" s="30">
        <f t="shared" si="3"/>
        <v>-0.40141792069967036</v>
      </c>
      <c r="G23" s="30"/>
    </row>
    <row r="24" spans="2:27">
      <c r="B24" s="2">
        <f t="shared" si="4"/>
        <v>1.1200000000000001E-3</v>
      </c>
      <c r="C24" s="2">
        <f t="shared" si="0"/>
        <v>0.68454710592868928</v>
      </c>
      <c r="D24" s="2">
        <f t="shared" si="1"/>
        <v>1.1049483314965507</v>
      </c>
      <c r="E24" s="2">
        <f t="shared" si="2"/>
        <v>1.1049483314965507</v>
      </c>
      <c r="F24" s="30">
        <f t="shared" si="3"/>
        <v>1.1049483314965507</v>
      </c>
      <c r="G24" s="30"/>
    </row>
    <row r="25" spans="2:27">
      <c r="B25" s="2">
        <f t="shared" si="4"/>
        <v>1.2800000000000001E-3</v>
      </c>
      <c r="C25" s="2">
        <f t="shared" si="0"/>
        <v>0.98228725072868861</v>
      </c>
      <c r="D25" s="2">
        <f t="shared" si="1"/>
        <v>1.5855397668660431</v>
      </c>
      <c r="E25" s="2">
        <f t="shared" si="2"/>
        <v>1.5855397668660431</v>
      </c>
      <c r="F25" s="30">
        <f t="shared" si="3"/>
        <v>1.5855397668660431</v>
      </c>
      <c r="G25" s="30"/>
    </row>
    <row r="26" spans="2:27">
      <c r="B26" s="2">
        <f t="shared" si="4"/>
        <v>1.4400000000000001E-3</v>
      </c>
      <c r="C26" s="2">
        <f t="shared" si="0"/>
        <v>0.36812455268467797</v>
      </c>
      <c r="D26" s="2">
        <f t="shared" si="1"/>
        <v>0.59420105168660509</v>
      </c>
      <c r="E26" s="2">
        <f t="shared" si="2"/>
        <v>0.59420105168660509</v>
      </c>
      <c r="F26" s="30">
        <f t="shared" si="3"/>
        <v>0.59420105168660509</v>
      </c>
      <c r="G26" s="30"/>
    </row>
    <row r="27" spans="2:27">
      <c r="B27" s="2">
        <f t="shared" si="4"/>
        <v>1.6000000000000001E-3</v>
      </c>
      <c r="C27" s="2">
        <f t="shared" si="0"/>
        <v>-0.5877852522924728</v>
      </c>
      <c r="D27" s="2">
        <f t="shared" si="1"/>
        <v>-0.94876207666927725</v>
      </c>
      <c r="E27" s="2">
        <f t="shared" si="2"/>
        <v>-0.94876207666927725</v>
      </c>
      <c r="F27" s="30">
        <f t="shared" si="3"/>
        <v>-0.94876207666927725</v>
      </c>
      <c r="G27" s="30"/>
    </row>
    <row r="28" spans="2:27">
      <c r="B28" s="2">
        <f t="shared" si="4"/>
        <v>1.7600000000000001E-3</v>
      </c>
      <c r="C28" s="2">
        <f t="shared" si="0"/>
        <v>-0.99802672842827156</v>
      </c>
      <c r="D28" s="2">
        <f t="shared" si="1"/>
        <v>-1.6109453371652374</v>
      </c>
      <c r="E28" s="2">
        <f t="shared" si="2"/>
        <v>-1.6109453371652374</v>
      </c>
      <c r="F28" s="30">
        <f t="shared" si="3"/>
        <v>-1.6109453371652374</v>
      </c>
      <c r="G28" s="30"/>
      <c r="AA28" s="32" t="s">
        <v>227</v>
      </c>
    </row>
    <row r="29" spans="2:27">
      <c r="B29" s="2">
        <f t="shared" si="4"/>
        <v>1.92E-3</v>
      </c>
      <c r="C29" s="2">
        <f t="shared" si="0"/>
        <v>-0.48175367410171477</v>
      </c>
      <c r="D29" s="2">
        <f t="shared" si="1"/>
        <v>-0.77761327712993789</v>
      </c>
      <c r="E29" s="2">
        <f t="shared" si="2"/>
        <v>-0.77761327712993789</v>
      </c>
      <c r="F29" s="30">
        <f t="shared" si="3"/>
        <v>-0.77761327712993789</v>
      </c>
      <c r="G29" s="30"/>
    </row>
    <row r="30" spans="2:27">
      <c r="B30" s="2">
        <f t="shared" si="4"/>
        <v>2.0800000000000003E-3</v>
      </c>
      <c r="C30" s="2">
        <f t="shared" si="0"/>
        <v>0.48175367410171543</v>
      </c>
      <c r="D30" s="2">
        <f t="shared" si="1"/>
        <v>0.777613277129939</v>
      </c>
      <c r="E30" s="2">
        <f t="shared" si="2"/>
        <v>0.777613277129939</v>
      </c>
      <c r="F30" s="30">
        <f t="shared" si="3"/>
        <v>0.777613277129939</v>
      </c>
      <c r="G30" s="30"/>
    </row>
    <row r="31" spans="2:27">
      <c r="B31" s="2">
        <f t="shared" si="4"/>
        <v>2.2400000000000002E-3</v>
      </c>
      <c r="C31" s="2">
        <f t="shared" si="0"/>
        <v>0.99802672842827167</v>
      </c>
      <c r="D31" s="2">
        <f t="shared" si="1"/>
        <v>1.6109453371652376</v>
      </c>
      <c r="E31" s="2">
        <f t="shared" si="2"/>
        <v>1.6109453371652376</v>
      </c>
      <c r="F31" s="30">
        <f t="shared" si="3"/>
        <v>1.6109453371652376</v>
      </c>
      <c r="G31" s="30"/>
    </row>
    <row r="32" spans="2:27">
      <c r="B32" s="2">
        <f t="shared" si="4"/>
        <v>2.4000000000000002E-3</v>
      </c>
      <c r="C32" s="2">
        <f t="shared" si="0"/>
        <v>0.58778525229247214</v>
      </c>
      <c r="D32" s="2">
        <f t="shared" si="1"/>
        <v>0.94876207666927614</v>
      </c>
      <c r="E32" s="2">
        <f t="shared" si="2"/>
        <v>0.94876207666927614</v>
      </c>
      <c r="F32" s="30">
        <f t="shared" si="3"/>
        <v>0.94876207666927614</v>
      </c>
      <c r="G32" s="30"/>
    </row>
    <row r="33" spans="2:11">
      <c r="B33" s="2">
        <f t="shared" si="4"/>
        <v>2.5600000000000002E-3</v>
      </c>
      <c r="C33" s="2">
        <f t="shared" si="0"/>
        <v>-0.3681245526846787</v>
      </c>
      <c r="D33" s="2">
        <f t="shared" si="1"/>
        <v>-0.5942010516866062</v>
      </c>
      <c r="E33" s="2">
        <f t="shared" si="2"/>
        <v>-0.5942010516866062</v>
      </c>
      <c r="F33" s="30">
        <f t="shared" si="3"/>
        <v>-0.5942010516866062</v>
      </c>
      <c r="G33" s="30"/>
    </row>
    <row r="34" spans="2:11">
      <c r="B34" s="2">
        <f t="shared" si="4"/>
        <v>2.7200000000000002E-3</v>
      </c>
      <c r="C34" s="2">
        <f t="shared" si="0"/>
        <v>-0.98228725072868905</v>
      </c>
      <c r="D34" s="2">
        <f t="shared" si="1"/>
        <v>-1.5855397668660438</v>
      </c>
      <c r="E34" s="2">
        <f t="shared" si="2"/>
        <v>-1.5855397668660438</v>
      </c>
      <c r="F34" s="30">
        <f t="shared" si="3"/>
        <v>-1.5855397668660438</v>
      </c>
      <c r="G34" s="30"/>
    </row>
    <row r="35" spans="2:11">
      <c r="B35" s="2">
        <f t="shared" si="4"/>
        <v>2.8800000000000002E-3</v>
      </c>
      <c r="C35" s="2">
        <f t="shared" si="0"/>
        <v>-0.68454710592868862</v>
      </c>
      <c r="D35" s="2">
        <f t="shared" si="1"/>
        <v>-1.1049483314965496</v>
      </c>
      <c r="E35" s="2">
        <f t="shared" si="2"/>
        <v>-1.1049483314965496</v>
      </c>
      <c r="F35" s="30">
        <f t="shared" si="3"/>
        <v>-1.1049483314965496</v>
      </c>
      <c r="G35" s="30"/>
    </row>
    <row r="36" spans="2:11">
      <c r="B36" s="2">
        <f t="shared" si="4"/>
        <v>3.0400000000000002E-3</v>
      </c>
      <c r="C36" s="2">
        <f t="shared" si="0"/>
        <v>0.24868988716485269</v>
      </c>
      <c r="D36" s="2">
        <f t="shared" si="1"/>
        <v>0.40141792069966742</v>
      </c>
      <c r="E36" s="2">
        <f t="shared" si="2"/>
        <v>0.40141792069966742</v>
      </c>
      <c r="F36" s="30">
        <f t="shared" si="3"/>
        <v>0.40141792069966742</v>
      </c>
      <c r="G36" s="30"/>
      <c r="H36" s="6" t="s">
        <v>65</v>
      </c>
    </row>
    <row r="37" spans="2:11">
      <c r="B37" s="2">
        <f t="shared" si="4"/>
        <v>3.2000000000000002E-3</v>
      </c>
      <c r="C37" s="2">
        <f t="shared" si="0"/>
        <v>0.95105651629515331</v>
      </c>
      <c r="D37" s="2">
        <f t="shared" si="1"/>
        <v>1.5351292872878246</v>
      </c>
      <c r="E37" s="2">
        <f t="shared" si="2"/>
        <v>1.5351292872878246</v>
      </c>
      <c r="F37" s="30">
        <f t="shared" si="3"/>
        <v>1.5351292872878246</v>
      </c>
      <c r="G37" s="30"/>
      <c r="H37" s="12" t="s">
        <v>64</v>
      </c>
      <c r="I37" s="12">
        <f>I3</f>
        <v>5</v>
      </c>
      <c r="J37" s="12" t="s">
        <v>17</v>
      </c>
      <c r="K37" s="13" t="str">
        <f>TRIM(H37)&amp;"   "&amp;IF(I37&gt;0,"+","")&amp;TRIM(I37)&amp;" "&amp;TRIM(J37)</f>
        <v>V+:   +5 V</v>
      </c>
    </row>
    <row r="38" spans="2:11">
      <c r="B38" s="2">
        <f t="shared" si="4"/>
        <v>3.3600000000000001E-3</v>
      </c>
      <c r="C38" s="2">
        <f t="shared" si="0"/>
        <v>0.77051324277578881</v>
      </c>
      <c r="D38" s="2">
        <f t="shared" si="1"/>
        <v>1.2437088910719818</v>
      </c>
      <c r="E38" s="2">
        <f t="shared" si="2"/>
        <v>1.2437088910719818</v>
      </c>
      <c r="F38" s="30">
        <f t="shared" si="3"/>
        <v>1.2437088910719818</v>
      </c>
      <c r="G38" s="30"/>
      <c r="H38" s="12" t="s">
        <v>66</v>
      </c>
      <c r="I38" s="12">
        <f>I4</f>
        <v>-5</v>
      </c>
      <c r="J38" s="12" t="s">
        <v>17</v>
      </c>
      <c r="K38" s="13" t="str">
        <f t="shared" ref="K38:K39" si="5">TRIM(H38)&amp;"   "&amp;IF(I38&gt;0,"+","")&amp;TRIM(I38)&amp;" "&amp;TRIM(J38)</f>
        <v>V-:   -5 V</v>
      </c>
    </row>
    <row r="39" spans="2:11">
      <c r="B39" s="2">
        <f t="shared" si="4"/>
        <v>3.5200000000000001E-3</v>
      </c>
      <c r="C39" s="2">
        <f t="shared" si="0"/>
        <v>-0.12533323356430268</v>
      </c>
      <c r="D39" s="2">
        <f t="shared" si="1"/>
        <v>-0.20230418930785779</v>
      </c>
      <c r="E39" s="2">
        <f t="shared" si="2"/>
        <v>-0.20230418930785779</v>
      </c>
      <c r="F39" s="30">
        <f t="shared" si="3"/>
        <v>-0.20230418930785779</v>
      </c>
      <c r="G39" s="30"/>
      <c r="H39" s="12" t="s">
        <v>29</v>
      </c>
      <c r="I39" s="12">
        <f>I8</f>
        <v>1</v>
      </c>
      <c r="J39" s="12" t="s">
        <v>17</v>
      </c>
      <c r="K39" s="13" t="str">
        <f t="shared" si="5"/>
        <v>Vin:   +1 V</v>
      </c>
    </row>
    <row r="40" spans="2:11">
      <c r="B40" s="2">
        <f t="shared" si="4"/>
        <v>3.6800000000000001E-3</v>
      </c>
      <c r="C40" s="2">
        <f t="shared" si="0"/>
        <v>-0.90482705246601947</v>
      </c>
      <c r="D40" s="2">
        <f t="shared" si="1"/>
        <v>-1.4605089018072923</v>
      </c>
      <c r="E40" s="2">
        <f t="shared" si="2"/>
        <v>-1.4605089018072923</v>
      </c>
      <c r="F40" s="30">
        <f t="shared" si="3"/>
        <v>-1.4605089018072923</v>
      </c>
      <c r="G40" s="30"/>
      <c r="H40" s="12" t="s">
        <v>67</v>
      </c>
      <c r="I40" s="12">
        <f>C2</f>
        <v>1</v>
      </c>
      <c r="J40" s="12" t="s">
        <v>16</v>
      </c>
      <c r="K40" s="13" t="str">
        <f>TRIM(H40)&amp;"   "&amp;TRIM(I40)&amp;" "&amp;TRIM(J40)</f>
        <v>R1:   1 K</v>
      </c>
    </row>
    <row r="41" spans="2:11">
      <c r="B41" s="2">
        <f t="shared" si="4"/>
        <v>3.8400000000000001E-3</v>
      </c>
      <c r="C41" s="2">
        <f t="shared" si="0"/>
        <v>-0.84432792550201441</v>
      </c>
      <c r="D41" s="2">
        <f t="shared" si="1"/>
        <v>-1.3628554184795298</v>
      </c>
      <c r="E41" s="2">
        <f t="shared" si="2"/>
        <v>-1.3628554184795298</v>
      </c>
      <c r="F41" s="30">
        <f t="shared" si="3"/>
        <v>-1.3628554184795298</v>
      </c>
      <c r="G41" s="30"/>
      <c r="H41" s="12" t="s">
        <v>68</v>
      </c>
      <c r="I41" s="12">
        <f>C3</f>
        <v>1</v>
      </c>
      <c r="J41" s="12" t="s">
        <v>16</v>
      </c>
      <c r="K41" s="13" t="str">
        <f>TRIM(H41)&amp;"   "&amp;TRIM(I41)&amp;" "&amp;TRIM(J41)</f>
        <v>RF:   1 K</v>
      </c>
    </row>
    <row r="42" spans="2:11">
      <c r="B42" s="2">
        <f t="shared" si="4"/>
        <v>4.0000000000000001E-3</v>
      </c>
      <c r="C42" s="2">
        <f t="shared" si="0"/>
        <v>-9.8011876392689601E-16</v>
      </c>
      <c r="D42" s="2">
        <f t="shared" si="1"/>
        <v>-1.5820395462782101E-15</v>
      </c>
      <c r="E42" s="2">
        <f t="shared" si="2"/>
        <v>-1.5820395462782101E-15</v>
      </c>
      <c r="F42" s="30">
        <f t="shared" si="3"/>
        <v>-1.5820395462782101E-15</v>
      </c>
      <c r="G42" s="30"/>
      <c r="H42" s="12" t="s">
        <v>102</v>
      </c>
      <c r="I42" s="12">
        <f>C4</f>
        <v>0.1</v>
      </c>
      <c r="J42" s="12" t="s">
        <v>83</v>
      </c>
      <c r="K42" s="13" t="str">
        <f>TRIM(H42)&amp;"   "&amp;TRIM(I42)&amp;" "&amp;TRIM(J42)</f>
        <v>C1:   0.1 uF</v>
      </c>
    </row>
    <row r="43" spans="2:11">
      <c r="H43" s="12" t="s">
        <v>103</v>
      </c>
      <c r="I43" s="12">
        <f>ROUND(C9,0)</f>
        <v>1000</v>
      </c>
      <c r="J43" s="12" t="s">
        <v>80</v>
      </c>
      <c r="K43" s="13" t="str">
        <f>TRIM(H43)&amp;"   "&amp;TRIM(I43)&amp;" "&amp;TRIM(J43)</f>
        <v>f,signal:   1000 Hz</v>
      </c>
    </row>
    <row r="44" spans="2:11">
      <c r="B44" s="6" t="s">
        <v>92</v>
      </c>
    </row>
    <row r="45" spans="2:11" ht="15.5">
      <c r="B45" s="14"/>
      <c r="C45" s="2" t="s">
        <v>95</v>
      </c>
    </row>
    <row r="46" spans="2:11">
      <c r="B46" s="7" t="s">
        <v>93</v>
      </c>
      <c r="C46" s="7" t="s">
        <v>94</v>
      </c>
      <c r="D46" s="7" t="s">
        <v>97</v>
      </c>
      <c r="E46" s="7" t="s">
        <v>225</v>
      </c>
    </row>
    <row r="47" spans="2:11">
      <c r="B47" s="2">
        <v>1</v>
      </c>
      <c r="C47" s="2">
        <f t="shared" ref="C47:C78" si="6">20*LOG((1+($C$3/$C$2)*(1/(1+(B47/$C$11)))))</f>
        <v>6.01787244583827</v>
      </c>
      <c r="D47" s="2">
        <f t="shared" ref="D47:D78" si="7">1/(2*PI()*B47*$C$4*0.000001)</f>
        <v>1591549.4309189534</v>
      </c>
      <c r="E47" s="2">
        <f t="shared" ref="E47:E78" si="8">20*LOG((1+(($C$3*1000*D47)/($C$3*1000+D47))/($C$2*1000)))</f>
        <v>6.0178724458382691</v>
      </c>
    </row>
    <row r="48" spans="2:11">
      <c r="B48" s="2">
        <v>2</v>
      </c>
      <c r="C48" s="2">
        <f t="shared" si="6"/>
        <v>6.015147546419751</v>
      </c>
      <c r="D48" s="2">
        <f t="shared" si="7"/>
        <v>795774.71545947669</v>
      </c>
      <c r="E48" s="2">
        <f t="shared" si="8"/>
        <v>6.0151475464197528</v>
      </c>
    </row>
    <row r="49" spans="2:5">
      <c r="B49" s="2">
        <v>3</v>
      </c>
      <c r="C49" s="2">
        <f t="shared" si="6"/>
        <v>6.0124252112650272</v>
      </c>
      <c r="D49" s="2">
        <f t="shared" si="7"/>
        <v>530516.4769729845</v>
      </c>
      <c r="E49" s="2">
        <f t="shared" si="8"/>
        <v>6.0124252112650254</v>
      </c>
    </row>
    <row r="50" spans="2:5">
      <c r="B50" s="2">
        <v>4</v>
      </c>
      <c r="C50" s="2">
        <f t="shared" si="6"/>
        <v>6.0097054366226281</v>
      </c>
      <c r="D50" s="2">
        <f t="shared" si="7"/>
        <v>397887.35772973835</v>
      </c>
      <c r="E50" s="2">
        <f t="shared" si="8"/>
        <v>6.009705436622629</v>
      </c>
    </row>
    <row r="51" spans="2:5">
      <c r="B51" s="2">
        <v>5</v>
      </c>
      <c r="C51" s="2">
        <f t="shared" si="6"/>
        <v>6.0069882187486474</v>
      </c>
      <c r="D51" s="2">
        <f t="shared" si="7"/>
        <v>318309.88618379069</v>
      </c>
      <c r="E51" s="2">
        <f t="shared" si="8"/>
        <v>6.0069882187486474</v>
      </c>
    </row>
    <row r="52" spans="2:5">
      <c r="B52" s="2">
        <v>6</v>
      </c>
      <c r="C52" s="2">
        <f t="shared" si="6"/>
        <v>6.0042735539067094</v>
      </c>
      <c r="D52" s="2">
        <f t="shared" si="7"/>
        <v>265258.23848649225</v>
      </c>
      <c r="E52" s="2">
        <f t="shared" si="8"/>
        <v>6.0042735539067085</v>
      </c>
    </row>
    <row r="53" spans="2:5">
      <c r="B53" s="2">
        <v>7</v>
      </c>
      <c r="C53" s="2">
        <f t="shared" si="6"/>
        <v>6.0015614383679514</v>
      </c>
      <c r="D53" s="2">
        <f t="shared" si="7"/>
        <v>227364.20441699337</v>
      </c>
      <c r="E53" s="2">
        <f t="shared" si="8"/>
        <v>6.0015614383679541</v>
      </c>
    </row>
    <row r="54" spans="2:5">
      <c r="B54" s="2">
        <v>8</v>
      </c>
      <c r="C54" s="2">
        <f t="shared" si="6"/>
        <v>5.9988518684110197</v>
      </c>
      <c r="D54" s="2">
        <f t="shared" si="7"/>
        <v>198943.67886486917</v>
      </c>
      <c r="E54" s="2">
        <f t="shared" si="8"/>
        <v>5.9988518684110197</v>
      </c>
    </row>
    <row r="55" spans="2:5">
      <c r="B55" s="2">
        <v>9</v>
      </c>
      <c r="C55" s="2">
        <f t="shared" si="6"/>
        <v>5.9961448403220272</v>
      </c>
      <c r="D55" s="2">
        <f t="shared" si="7"/>
        <v>176838.82565766151</v>
      </c>
      <c r="E55" s="2">
        <f t="shared" si="8"/>
        <v>5.9961448403220263</v>
      </c>
    </row>
    <row r="56" spans="2:5">
      <c r="B56" s="2">
        <v>10</v>
      </c>
      <c r="C56" s="2">
        <f t="shared" si="6"/>
        <v>5.9934403503945504</v>
      </c>
      <c r="D56" s="2">
        <f t="shared" si="7"/>
        <v>159154.94309189534</v>
      </c>
      <c r="E56" s="2">
        <f t="shared" si="8"/>
        <v>5.9934403503945504</v>
      </c>
    </row>
    <row r="57" spans="2:5">
      <c r="B57" s="2">
        <v>20</v>
      </c>
      <c r="C57" s="2">
        <f t="shared" si="6"/>
        <v>5.9665342398843322</v>
      </c>
      <c r="D57" s="2">
        <f t="shared" si="7"/>
        <v>79577.471545947672</v>
      </c>
      <c r="E57" s="2">
        <f t="shared" si="8"/>
        <v>5.9665342398843322</v>
      </c>
    </row>
    <row r="58" spans="2:5">
      <c r="B58" s="2">
        <v>30</v>
      </c>
      <c r="C58" s="2">
        <f t="shared" si="6"/>
        <v>5.939877923105545</v>
      </c>
      <c r="D58" s="2">
        <f t="shared" si="7"/>
        <v>53051.647697298446</v>
      </c>
      <c r="E58" s="2">
        <f t="shared" si="8"/>
        <v>5.9398779231055441</v>
      </c>
    </row>
    <row r="59" spans="2:5">
      <c r="B59" s="2">
        <v>40</v>
      </c>
      <c r="C59" s="2">
        <f t="shared" si="6"/>
        <v>5.9134678137400805</v>
      </c>
      <c r="D59" s="2">
        <f t="shared" si="7"/>
        <v>39788.735772973836</v>
      </c>
      <c r="E59" s="2">
        <f t="shared" si="8"/>
        <v>5.9134678137400805</v>
      </c>
    </row>
    <row r="60" spans="2:5">
      <c r="B60" s="2">
        <v>50</v>
      </c>
      <c r="C60" s="2">
        <f t="shared" si="6"/>
        <v>5.8873003959677108</v>
      </c>
      <c r="D60" s="2">
        <f t="shared" si="7"/>
        <v>31830.988618379066</v>
      </c>
      <c r="E60" s="2">
        <f t="shared" si="8"/>
        <v>5.8873003959677108</v>
      </c>
    </row>
    <row r="61" spans="2:5">
      <c r="B61" s="2">
        <v>60</v>
      </c>
      <c r="C61" s="2">
        <f t="shared" si="6"/>
        <v>5.8613722226950484</v>
      </c>
      <c r="D61" s="2">
        <f t="shared" si="7"/>
        <v>26525.823848649223</v>
      </c>
      <c r="E61" s="2">
        <f t="shared" si="8"/>
        <v>5.8613722226950484</v>
      </c>
    </row>
    <row r="62" spans="2:5">
      <c r="B62" s="2">
        <v>70</v>
      </c>
      <c r="C62" s="2">
        <f t="shared" si="6"/>
        <v>5.835679913838864</v>
      </c>
      <c r="D62" s="2">
        <f t="shared" si="7"/>
        <v>22736.420441699334</v>
      </c>
      <c r="E62" s="2">
        <f t="shared" si="8"/>
        <v>5.835679913838864</v>
      </c>
    </row>
    <row r="63" spans="2:5">
      <c r="B63" s="2">
        <v>80</v>
      </c>
      <c r="C63" s="2">
        <f t="shared" si="6"/>
        <v>5.8102201546617804</v>
      </c>
      <c r="D63" s="2">
        <f t="shared" si="7"/>
        <v>19894.367886486918</v>
      </c>
      <c r="E63" s="2">
        <f t="shared" si="8"/>
        <v>5.8102201546617804</v>
      </c>
    </row>
    <row r="64" spans="2:5">
      <c r="B64" s="2">
        <v>90</v>
      </c>
      <c r="C64" s="2">
        <f t="shared" si="6"/>
        <v>5.784989694158452</v>
      </c>
      <c r="D64" s="2">
        <f t="shared" si="7"/>
        <v>17683.882565766147</v>
      </c>
      <c r="E64" s="2">
        <f t="shared" si="8"/>
        <v>5.7849896941584529</v>
      </c>
    </row>
    <row r="65" spans="2:5">
      <c r="B65" s="2">
        <v>100</v>
      </c>
      <c r="C65" s="2">
        <f t="shared" si="6"/>
        <v>5.7599853434904178</v>
      </c>
      <c r="D65" s="2">
        <f t="shared" si="7"/>
        <v>15915.494309189533</v>
      </c>
      <c r="E65" s="2">
        <f t="shared" si="8"/>
        <v>5.7599853434904178</v>
      </c>
    </row>
    <row r="66" spans="2:5">
      <c r="B66" s="2">
        <v>200</v>
      </c>
      <c r="C66" s="2">
        <f t="shared" si="6"/>
        <v>5.521717873824401</v>
      </c>
      <c r="D66" s="2">
        <f t="shared" si="7"/>
        <v>7957.7471545947665</v>
      </c>
      <c r="E66" s="2">
        <f t="shared" si="8"/>
        <v>5.521717873824401</v>
      </c>
    </row>
    <row r="67" spans="2:5">
      <c r="B67" s="2">
        <v>300</v>
      </c>
      <c r="C67" s="2">
        <f t="shared" si="6"/>
        <v>5.3029621273019014</v>
      </c>
      <c r="D67" s="2">
        <f t="shared" si="7"/>
        <v>5305.1647697298449</v>
      </c>
      <c r="E67" s="2">
        <f t="shared" si="8"/>
        <v>5.3029621273019023</v>
      </c>
    </row>
    <row r="68" spans="2:5">
      <c r="B68" s="2">
        <v>400</v>
      </c>
      <c r="C68" s="2">
        <f t="shared" si="6"/>
        <v>5.1013540161093545</v>
      </c>
      <c r="D68" s="2">
        <f t="shared" si="7"/>
        <v>3978.8735772973832</v>
      </c>
      <c r="E68" s="2">
        <f t="shared" si="8"/>
        <v>5.1013540161093545</v>
      </c>
    </row>
    <row r="69" spans="2:5">
      <c r="B69" s="2">
        <v>500</v>
      </c>
      <c r="C69" s="2">
        <f t="shared" si="6"/>
        <v>4.9149048671916953</v>
      </c>
      <c r="D69" s="2">
        <f t="shared" si="7"/>
        <v>3183.098861837907</v>
      </c>
      <c r="E69" s="2">
        <f t="shared" si="8"/>
        <v>4.9149048671916953</v>
      </c>
    </row>
    <row r="70" spans="2:5">
      <c r="B70" s="2">
        <v>600</v>
      </c>
      <c r="C70" s="2">
        <f t="shared" si="6"/>
        <v>4.7419283985307228</v>
      </c>
      <c r="D70" s="2">
        <f t="shared" si="7"/>
        <v>2652.5823848649225</v>
      </c>
      <c r="E70" s="2">
        <f t="shared" si="8"/>
        <v>4.7419283985307228</v>
      </c>
    </row>
    <row r="71" spans="2:5">
      <c r="B71" s="2">
        <v>700</v>
      </c>
      <c r="C71" s="2">
        <f t="shared" si="6"/>
        <v>4.5809843557209726</v>
      </c>
      <c r="D71" s="2">
        <f t="shared" si="7"/>
        <v>2273.6420441699333</v>
      </c>
      <c r="E71" s="2">
        <f t="shared" si="8"/>
        <v>4.5809843557209726</v>
      </c>
    </row>
    <row r="72" spans="2:5">
      <c r="B72" s="2">
        <v>800</v>
      </c>
      <c r="C72" s="2">
        <f t="shared" si="6"/>
        <v>4.4308344829214663</v>
      </c>
      <c r="D72" s="2">
        <f t="shared" si="7"/>
        <v>1989.4367886486916</v>
      </c>
      <c r="E72" s="2">
        <f t="shared" si="8"/>
        <v>4.4308344829214663</v>
      </c>
    </row>
    <row r="73" spans="2:5">
      <c r="B73" s="2">
        <v>900</v>
      </c>
      <c r="C73" s="2">
        <f t="shared" si="6"/>
        <v>4.290407752752782</v>
      </c>
      <c r="D73" s="2">
        <f t="shared" si="7"/>
        <v>1768.388256576615</v>
      </c>
      <c r="E73" s="2">
        <f t="shared" si="8"/>
        <v>4.2904077527527811</v>
      </c>
    </row>
    <row r="74" spans="2:5">
      <c r="B74" s="2">
        <v>1000</v>
      </c>
      <c r="C74" s="2">
        <f t="shared" si="6"/>
        <v>4.1587726344350662</v>
      </c>
      <c r="D74" s="2">
        <f t="shared" si="7"/>
        <v>1591.5494309189535</v>
      </c>
      <c r="E74" s="2">
        <f t="shared" si="8"/>
        <v>4.1587726344350662</v>
      </c>
    </row>
    <row r="75" spans="2:5">
      <c r="B75" s="2">
        <v>2000</v>
      </c>
      <c r="C75" s="2">
        <f t="shared" si="6"/>
        <v>3.1861528909074091</v>
      </c>
      <c r="D75" s="2">
        <f t="shared" si="7"/>
        <v>795.77471545947674</v>
      </c>
      <c r="E75" s="2">
        <f t="shared" si="8"/>
        <v>3.1861528909074091</v>
      </c>
    </row>
    <row r="76" spans="2:5">
      <c r="B76" s="2">
        <v>3000</v>
      </c>
      <c r="C76" s="2">
        <f t="shared" si="6"/>
        <v>2.5849385275253942</v>
      </c>
      <c r="D76" s="2">
        <f t="shared" si="7"/>
        <v>530.51647697298449</v>
      </c>
      <c r="E76" s="2">
        <f t="shared" si="8"/>
        <v>2.5849385275253942</v>
      </c>
    </row>
    <row r="77" spans="2:5">
      <c r="B77" s="2">
        <v>4000</v>
      </c>
      <c r="C77" s="2">
        <f t="shared" si="6"/>
        <v>2.1755935036000711</v>
      </c>
      <c r="D77" s="2">
        <f t="shared" si="7"/>
        <v>397.88735772973837</v>
      </c>
      <c r="E77" s="2">
        <f t="shared" si="8"/>
        <v>2.1755935036000711</v>
      </c>
    </row>
    <row r="78" spans="2:5">
      <c r="B78" s="2">
        <v>5000</v>
      </c>
      <c r="C78" s="2">
        <f t="shared" si="6"/>
        <v>1.8786056951361265</v>
      </c>
      <c r="D78" s="2">
        <f t="shared" si="7"/>
        <v>318.30988618379064</v>
      </c>
      <c r="E78" s="2">
        <f t="shared" si="8"/>
        <v>1.8786056951361265</v>
      </c>
    </row>
    <row r="79" spans="2:5">
      <c r="B79" s="2">
        <v>6000</v>
      </c>
      <c r="C79" s="2">
        <f t="shared" ref="C79:C101" si="9">20*LOG((1+($C$3/$C$2)*(1/(1+(B79/$C$11)))))</f>
        <v>1.6531767119320675</v>
      </c>
      <c r="D79" s="2">
        <f t="shared" ref="D79:D101" si="10">1/(2*PI()*B79*$C$4*0.000001)</f>
        <v>265.25823848649225</v>
      </c>
      <c r="E79" s="2">
        <f t="shared" ref="E79:E101" si="11">20*LOG((1+(($C$3*1000*D79)/($C$3*1000+D79))/($C$2*1000)))</f>
        <v>1.6531767119320675</v>
      </c>
    </row>
    <row r="80" spans="2:5">
      <c r="B80" s="2">
        <v>7000</v>
      </c>
      <c r="C80" s="2">
        <f t="shared" si="9"/>
        <v>1.4761693395953992</v>
      </c>
      <c r="D80" s="2">
        <f t="shared" si="10"/>
        <v>227.36420441699337</v>
      </c>
      <c r="E80" s="2">
        <f t="shared" si="11"/>
        <v>1.4761693395953992</v>
      </c>
    </row>
    <row r="81" spans="2:5">
      <c r="B81" s="2">
        <v>8000</v>
      </c>
      <c r="C81" s="2">
        <f t="shared" si="9"/>
        <v>1.3334678978352081</v>
      </c>
      <c r="D81" s="2">
        <f t="shared" si="10"/>
        <v>198.94367886486918</v>
      </c>
      <c r="E81" s="2">
        <f t="shared" si="11"/>
        <v>1.3334678978352081</v>
      </c>
    </row>
    <row r="82" spans="2:5">
      <c r="B82" s="2">
        <v>9000</v>
      </c>
      <c r="C82" s="2">
        <f t="shared" si="9"/>
        <v>1.2159654193357992</v>
      </c>
      <c r="D82" s="2">
        <f t="shared" si="10"/>
        <v>176.83882565766146</v>
      </c>
      <c r="E82" s="2">
        <f t="shared" si="11"/>
        <v>1.2159654193357992</v>
      </c>
    </row>
    <row r="83" spans="2:5">
      <c r="B83" s="2">
        <v>10000</v>
      </c>
      <c r="C83" s="2">
        <f t="shared" si="9"/>
        <v>1.1175203473329507</v>
      </c>
      <c r="D83" s="2">
        <f t="shared" si="10"/>
        <v>159.15494309189532</v>
      </c>
      <c r="E83" s="2">
        <f t="shared" si="11"/>
        <v>1.1175203473329507</v>
      </c>
    </row>
    <row r="84" spans="2:5">
      <c r="B84" s="2">
        <v>20000</v>
      </c>
      <c r="C84" s="2">
        <f t="shared" si="9"/>
        <v>0.61775356733901976</v>
      </c>
      <c r="D84" s="2">
        <f t="shared" si="10"/>
        <v>79.57747154594766</v>
      </c>
      <c r="E84" s="2">
        <f t="shared" si="11"/>
        <v>0.61775356733901976</v>
      </c>
    </row>
    <row r="85" spans="2:5">
      <c r="B85" s="2">
        <v>30000</v>
      </c>
      <c r="C85" s="2">
        <f t="shared" si="9"/>
        <v>0.42692028423466727</v>
      </c>
      <c r="D85" s="2">
        <f t="shared" si="10"/>
        <v>53.051647697298449</v>
      </c>
      <c r="E85" s="2">
        <f t="shared" si="11"/>
        <v>0.42692028423466727</v>
      </c>
    </row>
    <row r="86" spans="2:5">
      <c r="B86" s="2">
        <v>40000</v>
      </c>
      <c r="C86" s="2">
        <f t="shared" si="9"/>
        <v>0.32617409720842205</v>
      </c>
      <c r="D86" s="2">
        <f t="shared" si="10"/>
        <v>39.78873577297383</v>
      </c>
      <c r="E86" s="2">
        <f t="shared" si="11"/>
        <v>0.32617409720842205</v>
      </c>
    </row>
    <row r="87" spans="2:5">
      <c r="B87" s="2">
        <v>50000</v>
      </c>
      <c r="C87" s="2">
        <f t="shared" si="9"/>
        <v>0.26390136062066744</v>
      </c>
      <c r="D87" s="2">
        <f t="shared" si="10"/>
        <v>31.830988618379067</v>
      </c>
      <c r="E87" s="2">
        <f t="shared" si="11"/>
        <v>0.26390136062066744</v>
      </c>
    </row>
    <row r="88" spans="2:5">
      <c r="B88" s="2">
        <v>60000</v>
      </c>
      <c r="C88" s="2">
        <f t="shared" si="9"/>
        <v>0.2215958561402839</v>
      </c>
      <c r="D88" s="2">
        <f t="shared" si="10"/>
        <v>26.525823848649225</v>
      </c>
      <c r="E88" s="2">
        <f t="shared" si="11"/>
        <v>0.2215958561402839</v>
      </c>
    </row>
    <row r="89" spans="2:5">
      <c r="B89" s="2">
        <v>70000</v>
      </c>
      <c r="C89" s="2">
        <f t="shared" si="9"/>
        <v>0.19098066964903651</v>
      </c>
      <c r="D89" s="2">
        <f t="shared" si="10"/>
        <v>22.736420441699334</v>
      </c>
      <c r="E89" s="2">
        <f t="shared" si="11"/>
        <v>0.19098066964903651</v>
      </c>
    </row>
    <row r="90" spans="2:5">
      <c r="B90" s="2">
        <v>80000</v>
      </c>
      <c r="C90" s="2">
        <f t="shared" si="9"/>
        <v>0.16779829643640715</v>
      </c>
      <c r="D90" s="2">
        <f t="shared" si="10"/>
        <v>19.894367886486915</v>
      </c>
      <c r="E90" s="2">
        <f t="shared" si="11"/>
        <v>0.16779829643640715</v>
      </c>
    </row>
    <row r="91" spans="2:5">
      <c r="B91" s="2">
        <v>90000</v>
      </c>
      <c r="C91" s="2">
        <f t="shared" si="9"/>
        <v>0.14963486311016216</v>
      </c>
      <c r="D91" s="2">
        <f t="shared" si="10"/>
        <v>17.683882565766147</v>
      </c>
      <c r="E91" s="2">
        <f t="shared" si="11"/>
        <v>0.14963486311016216</v>
      </c>
    </row>
    <row r="92" spans="2:5">
      <c r="B92" s="2">
        <v>100000</v>
      </c>
      <c r="C92" s="2">
        <f t="shared" si="9"/>
        <v>0.13501965396734042</v>
      </c>
      <c r="D92" s="2">
        <f t="shared" si="10"/>
        <v>15.915494309189533</v>
      </c>
      <c r="E92" s="2">
        <f t="shared" si="11"/>
        <v>0.13501965396734042</v>
      </c>
    </row>
    <row r="93" spans="2:5">
      <c r="B93" s="2">
        <v>200000</v>
      </c>
      <c r="C93" s="2">
        <f t="shared" si="9"/>
        <v>6.8305137240857322E-2</v>
      </c>
      <c r="D93" s="2">
        <f t="shared" si="10"/>
        <v>7.9577471545947667</v>
      </c>
      <c r="E93" s="2">
        <f t="shared" si="11"/>
        <v>6.8305137240857322E-2</v>
      </c>
    </row>
    <row r="94" spans="2:5">
      <c r="B94" s="2">
        <v>300000</v>
      </c>
      <c r="C94" s="2">
        <f t="shared" si="9"/>
        <v>4.5716382664338875E-2</v>
      </c>
      <c r="D94" s="2">
        <f t="shared" si="10"/>
        <v>5.3051647697298447</v>
      </c>
      <c r="E94" s="2">
        <f t="shared" si="11"/>
        <v>4.5716382664338875E-2</v>
      </c>
    </row>
    <row r="95" spans="2:5">
      <c r="B95" s="2">
        <v>400000</v>
      </c>
      <c r="C95" s="2">
        <f t="shared" si="9"/>
        <v>3.4355060169784839E-2</v>
      </c>
      <c r="D95" s="2">
        <f t="shared" si="10"/>
        <v>3.9788735772973833</v>
      </c>
      <c r="E95" s="2">
        <f t="shared" si="11"/>
        <v>3.4355060169784839E-2</v>
      </c>
    </row>
    <row r="96" spans="2:5">
      <c r="B96" s="2">
        <v>500000</v>
      </c>
      <c r="C96" s="2">
        <f t="shared" si="9"/>
        <v>2.7516686046060231E-2</v>
      </c>
      <c r="D96" s="2">
        <f t="shared" si="10"/>
        <v>3.1830988618379075</v>
      </c>
      <c r="E96" s="2">
        <f t="shared" si="11"/>
        <v>2.7516686046060231E-2</v>
      </c>
    </row>
    <row r="97" spans="2:5">
      <c r="B97" s="2">
        <v>600000</v>
      </c>
      <c r="C97" s="2">
        <f t="shared" si="9"/>
        <v>2.2948741113821981E-2</v>
      </c>
      <c r="D97" s="2">
        <f t="shared" si="10"/>
        <v>2.6525823848649224</v>
      </c>
      <c r="E97" s="2">
        <f t="shared" si="11"/>
        <v>2.2948741113821981E-2</v>
      </c>
    </row>
    <row r="98" spans="2:5">
      <c r="B98" s="2">
        <v>700000</v>
      </c>
      <c r="C98" s="2">
        <f t="shared" si="9"/>
        <v>1.9681489329398873E-2</v>
      </c>
      <c r="D98" s="2">
        <f t="shared" si="10"/>
        <v>2.2736420441699337</v>
      </c>
      <c r="E98" s="2">
        <f t="shared" si="11"/>
        <v>1.9681489329398873E-2</v>
      </c>
    </row>
    <row r="99" spans="2:5">
      <c r="B99" s="2">
        <v>800000</v>
      </c>
      <c r="C99" s="2">
        <f t="shared" si="9"/>
        <v>1.7228621174402464E-2</v>
      </c>
      <c r="D99" s="2">
        <f t="shared" si="10"/>
        <v>1.9894367886486917</v>
      </c>
      <c r="E99" s="2">
        <f t="shared" si="11"/>
        <v>1.7228621174402464E-2</v>
      </c>
    </row>
    <row r="100" spans="2:5">
      <c r="B100" s="2">
        <v>900000</v>
      </c>
      <c r="C100" s="2">
        <f t="shared" si="9"/>
        <v>1.5319393262828603E-2</v>
      </c>
      <c r="D100" s="2">
        <f t="shared" si="10"/>
        <v>1.7683882565766149</v>
      </c>
      <c r="E100" s="2">
        <f t="shared" si="11"/>
        <v>1.5319393262828603E-2</v>
      </c>
    </row>
    <row r="101" spans="2:5">
      <c r="B101" s="2">
        <v>1000000</v>
      </c>
      <c r="C101" s="2">
        <f t="shared" si="9"/>
        <v>1.3791101784364396E-2</v>
      </c>
      <c r="D101" s="2">
        <f t="shared" si="10"/>
        <v>1.5915494309189537</v>
      </c>
      <c r="E101" s="2">
        <f t="shared" si="11"/>
        <v>1.3791101784364396E-2</v>
      </c>
    </row>
  </sheetData>
  <hyperlinks>
    <hyperlink ref="AA28" r:id="rId1" xr:uid="{757B3D67-38EC-43E6-B642-3A3B3CEAD67F}"/>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72E95-EA4E-4B0B-B336-828C49B4FAAB}">
  <sheetPr codeName="Sheet2"/>
  <dimension ref="B1:P48"/>
  <sheetViews>
    <sheetView zoomScale="96" zoomScaleNormal="96" workbookViewId="0">
      <selection activeCell="H3" sqref="H3"/>
    </sheetView>
  </sheetViews>
  <sheetFormatPr defaultColWidth="9.1796875" defaultRowHeight="14.5"/>
  <cols>
    <col min="1" max="1" width="5.26953125" style="2" customWidth="1"/>
    <col min="2" max="2" width="9.1796875" style="2"/>
    <col min="3" max="3" width="10.453125" style="2" customWidth="1"/>
    <col min="4" max="6" width="9.1796875" style="2"/>
    <col min="7" max="7" width="10.7265625" style="2" customWidth="1"/>
    <col min="8" max="16384" width="9.1796875" style="2"/>
  </cols>
  <sheetData>
    <row r="1" spans="2:16" ht="46">
      <c r="B1" s="1" t="s">
        <v>40</v>
      </c>
      <c r="P1" s="11"/>
    </row>
    <row r="2" spans="2:16" ht="15" thickBot="1">
      <c r="B2" s="2" t="s">
        <v>240</v>
      </c>
      <c r="G2" s="6" t="s">
        <v>36</v>
      </c>
      <c r="M2" s="10"/>
    </row>
    <row r="3" spans="2:16" ht="15" thickBot="1">
      <c r="B3" s="2" t="s">
        <v>8</v>
      </c>
      <c r="C3" s="4">
        <v>1</v>
      </c>
      <c r="D3" s="2" t="s">
        <v>20</v>
      </c>
      <c r="G3" s="2" t="s">
        <v>9</v>
      </c>
      <c r="H3" s="4">
        <v>5</v>
      </c>
      <c r="I3" s="2" t="s">
        <v>18</v>
      </c>
    </row>
    <row r="4" spans="2:16" ht="15" thickBot="1">
      <c r="B4" s="2" t="s">
        <v>25</v>
      </c>
      <c r="C4" s="4">
        <v>1</v>
      </c>
      <c r="D4" s="2" t="s">
        <v>21</v>
      </c>
      <c r="G4" s="2" t="s">
        <v>10</v>
      </c>
      <c r="H4" s="5">
        <v>0</v>
      </c>
      <c r="I4" s="2" t="s">
        <v>19</v>
      </c>
      <c r="M4" s="10"/>
    </row>
    <row r="5" spans="2:16" ht="15" thickBot="1">
      <c r="G5" s="2" t="s">
        <v>31</v>
      </c>
      <c r="H5" s="4">
        <v>1.3</v>
      </c>
      <c r="I5" s="2" t="s">
        <v>32</v>
      </c>
    </row>
    <row r="7" spans="2:16" ht="15" thickBot="1">
      <c r="G7" s="6" t="s">
        <v>57</v>
      </c>
    </row>
    <row r="8" spans="2:16" ht="19" thickBot="1">
      <c r="G8" s="6" t="s">
        <v>55</v>
      </c>
      <c r="H8" s="4">
        <v>2.5299999999999998</v>
      </c>
      <c r="I8" s="2" t="s">
        <v>17</v>
      </c>
      <c r="P8" s="11"/>
    </row>
    <row r="9" spans="2:16" ht="15" thickBot="1">
      <c r="G9" s="6" t="s">
        <v>56</v>
      </c>
      <c r="H9" s="4">
        <v>2.82</v>
      </c>
      <c r="I9" s="2" t="s">
        <v>17</v>
      </c>
    </row>
    <row r="10" spans="2:16">
      <c r="B10" s="7" t="s">
        <v>6</v>
      </c>
      <c r="C10" s="7" t="s">
        <v>7</v>
      </c>
      <c r="D10" s="7" t="s">
        <v>3</v>
      </c>
      <c r="E10" s="7" t="s">
        <v>8</v>
      </c>
      <c r="G10" s="6" t="s">
        <v>34</v>
      </c>
      <c r="H10" s="3">
        <f>IF(H8&gt;H9,$H$3-$H$5,$H$4+$H$5)</f>
        <v>1.3</v>
      </c>
      <c r="I10" s="2" t="s">
        <v>17</v>
      </c>
    </row>
    <row r="11" spans="2:16">
      <c r="B11" s="2">
        <v>0</v>
      </c>
      <c r="C11" s="2">
        <f t="shared" ref="C11:C48" si="0">$C$4*SIN(B11)+1</f>
        <v>1</v>
      </c>
      <c r="D11" s="2">
        <f t="shared" ref="D11:D48" si="1">IF(C11&gt;$C$3,$H$3-$H$5,$H$4+$H$5)</f>
        <v>1.3</v>
      </c>
      <c r="E11" s="2">
        <f t="shared" ref="E11:E48" si="2">$C$3</f>
        <v>1</v>
      </c>
    </row>
    <row r="12" spans="2:16">
      <c r="B12" s="2">
        <f>B11+0.5</f>
        <v>0.5</v>
      </c>
      <c r="C12" s="2">
        <f t="shared" si="0"/>
        <v>1.479425538604203</v>
      </c>
      <c r="D12" s="2">
        <f t="shared" si="1"/>
        <v>3.7</v>
      </c>
      <c r="E12" s="2">
        <f t="shared" si="2"/>
        <v>1</v>
      </c>
    </row>
    <row r="13" spans="2:16">
      <c r="B13" s="2">
        <f t="shared" ref="B13:B48" si="3">B12+0.5</f>
        <v>1</v>
      </c>
      <c r="C13" s="2">
        <f t="shared" si="0"/>
        <v>1.8414709848078965</v>
      </c>
      <c r="D13" s="2">
        <f t="shared" si="1"/>
        <v>3.7</v>
      </c>
      <c r="E13" s="2">
        <f t="shared" si="2"/>
        <v>1</v>
      </c>
    </row>
    <row r="14" spans="2:16">
      <c r="B14" s="2">
        <f t="shared" si="3"/>
        <v>1.5</v>
      </c>
      <c r="C14" s="2">
        <f t="shared" si="0"/>
        <v>1.9974949866040546</v>
      </c>
      <c r="D14" s="2">
        <f t="shared" si="1"/>
        <v>3.7</v>
      </c>
      <c r="E14" s="2">
        <f t="shared" si="2"/>
        <v>1</v>
      </c>
    </row>
    <row r="15" spans="2:16">
      <c r="B15" s="2">
        <f t="shared" si="3"/>
        <v>2</v>
      </c>
      <c r="C15" s="2">
        <f t="shared" si="0"/>
        <v>1.9092974268256817</v>
      </c>
      <c r="D15" s="2">
        <f t="shared" si="1"/>
        <v>3.7</v>
      </c>
      <c r="E15" s="2">
        <f t="shared" si="2"/>
        <v>1</v>
      </c>
    </row>
    <row r="16" spans="2:16">
      <c r="B16" s="2">
        <f t="shared" si="3"/>
        <v>2.5</v>
      </c>
      <c r="C16" s="2">
        <f t="shared" si="0"/>
        <v>1.5984721441039564</v>
      </c>
      <c r="D16" s="2">
        <f t="shared" si="1"/>
        <v>3.7</v>
      </c>
      <c r="E16" s="2">
        <f t="shared" si="2"/>
        <v>1</v>
      </c>
    </row>
    <row r="17" spans="2:10">
      <c r="B17" s="2">
        <f t="shared" si="3"/>
        <v>3</v>
      </c>
      <c r="C17" s="2">
        <f t="shared" si="0"/>
        <v>1.1411200080598671</v>
      </c>
      <c r="D17" s="2">
        <f t="shared" si="1"/>
        <v>3.7</v>
      </c>
      <c r="E17" s="2">
        <f t="shared" si="2"/>
        <v>1</v>
      </c>
    </row>
    <row r="18" spans="2:10">
      <c r="B18" s="2">
        <f t="shared" si="3"/>
        <v>3.5</v>
      </c>
      <c r="C18" s="2">
        <f t="shared" si="0"/>
        <v>0.64921677231038011</v>
      </c>
      <c r="D18" s="2">
        <f t="shared" si="1"/>
        <v>1.3</v>
      </c>
      <c r="E18" s="2">
        <f t="shared" si="2"/>
        <v>1</v>
      </c>
    </row>
    <row r="19" spans="2:10">
      <c r="B19" s="2">
        <f t="shared" si="3"/>
        <v>4</v>
      </c>
      <c r="C19" s="2">
        <f t="shared" si="0"/>
        <v>0.2431975046920718</v>
      </c>
      <c r="D19" s="2">
        <f t="shared" si="1"/>
        <v>1.3</v>
      </c>
      <c r="E19" s="2">
        <f t="shared" si="2"/>
        <v>1</v>
      </c>
    </row>
    <row r="20" spans="2:10">
      <c r="B20" s="2">
        <f t="shared" si="3"/>
        <v>4.5</v>
      </c>
      <c r="C20" s="2">
        <f t="shared" si="0"/>
        <v>2.2469882334902991E-2</v>
      </c>
      <c r="D20" s="2">
        <f t="shared" si="1"/>
        <v>1.3</v>
      </c>
      <c r="E20" s="2">
        <f t="shared" si="2"/>
        <v>1</v>
      </c>
    </row>
    <row r="21" spans="2:10">
      <c r="B21" s="2">
        <f t="shared" si="3"/>
        <v>5</v>
      </c>
      <c r="C21" s="2">
        <f t="shared" si="0"/>
        <v>4.1075725336861546E-2</v>
      </c>
      <c r="D21" s="2">
        <f t="shared" si="1"/>
        <v>1.3</v>
      </c>
      <c r="E21" s="2">
        <f t="shared" si="2"/>
        <v>1</v>
      </c>
    </row>
    <row r="22" spans="2:10">
      <c r="B22" s="2">
        <f t="shared" si="3"/>
        <v>5.5</v>
      </c>
      <c r="C22" s="2">
        <f t="shared" si="0"/>
        <v>0.29445967442960808</v>
      </c>
      <c r="D22" s="2">
        <f t="shared" si="1"/>
        <v>1.3</v>
      </c>
      <c r="E22" s="2">
        <f t="shared" si="2"/>
        <v>1</v>
      </c>
    </row>
    <row r="23" spans="2:10">
      <c r="B23" s="2">
        <f t="shared" si="3"/>
        <v>6</v>
      </c>
      <c r="C23" s="2">
        <f t="shared" si="0"/>
        <v>0.72058450180107414</v>
      </c>
      <c r="D23" s="2">
        <f t="shared" si="1"/>
        <v>1.3</v>
      </c>
      <c r="E23" s="2">
        <f t="shared" si="2"/>
        <v>1</v>
      </c>
    </row>
    <row r="24" spans="2:10">
      <c r="B24" s="2">
        <f t="shared" si="3"/>
        <v>6.5</v>
      </c>
      <c r="C24" s="2">
        <f t="shared" si="0"/>
        <v>1.2151199880878156</v>
      </c>
      <c r="D24" s="2">
        <f t="shared" si="1"/>
        <v>3.7</v>
      </c>
      <c r="E24" s="2">
        <f t="shared" si="2"/>
        <v>1</v>
      </c>
    </row>
    <row r="25" spans="2:10">
      <c r="B25" s="2">
        <f t="shared" si="3"/>
        <v>7</v>
      </c>
      <c r="C25" s="2">
        <f t="shared" si="0"/>
        <v>1.6569865987187891</v>
      </c>
      <c r="D25" s="2">
        <f t="shared" si="1"/>
        <v>3.7</v>
      </c>
      <c r="E25" s="2">
        <f t="shared" si="2"/>
        <v>1</v>
      </c>
    </row>
    <row r="26" spans="2:10">
      <c r="B26" s="2">
        <f t="shared" si="3"/>
        <v>7.5</v>
      </c>
      <c r="C26" s="2">
        <f t="shared" si="0"/>
        <v>1.9379999767747389</v>
      </c>
      <c r="D26" s="2">
        <f t="shared" si="1"/>
        <v>3.7</v>
      </c>
      <c r="E26" s="2">
        <f t="shared" si="2"/>
        <v>1</v>
      </c>
    </row>
    <row r="27" spans="2:10">
      <c r="B27" s="2">
        <f t="shared" si="3"/>
        <v>8</v>
      </c>
      <c r="C27" s="2">
        <f t="shared" si="0"/>
        <v>1.9893582466233819</v>
      </c>
      <c r="D27" s="2">
        <f t="shared" si="1"/>
        <v>3.7</v>
      </c>
      <c r="E27" s="2">
        <f t="shared" si="2"/>
        <v>1</v>
      </c>
    </row>
    <row r="28" spans="2:10">
      <c r="B28" s="2">
        <f t="shared" si="3"/>
        <v>8.5</v>
      </c>
      <c r="C28" s="2">
        <f t="shared" si="0"/>
        <v>1.7984871126234903</v>
      </c>
      <c r="D28" s="2">
        <f t="shared" si="1"/>
        <v>3.7</v>
      </c>
      <c r="E28" s="2">
        <f t="shared" si="2"/>
        <v>1</v>
      </c>
    </row>
    <row r="29" spans="2:10">
      <c r="B29" s="2">
        <f t="shared" si="3"/>
        <v>9</v>
      </c>
      <c r="C29" s="2">
        <f t="shared" si="0"/>
        <v>1.4121184852417565</v>
      </c>
      <c r="D29" s="2">
        <f t="shared" si="1"/>
        <v>3.7</v>
      </c>
      <c r="E29" s="2">
        <f t="shared" si="2"/>
        <v>1</v>
      </c>
      <c r="G29" s="6" t="s">
        <v>65</v>
      </c>
    </row>
    <row r="30" spans="2:10">
      <c r="B30" s="2">
        <f t="shared" si="3"/>
        <v>9.5</v>
      </c>
      <c r="C30" s="2">
        <f t="shared" si="0"/>
        <v>0.92484887953819073</v>
      </c>
      <c r="D30" s="2">
        <f t="shared" si="1"/>
        <v>1.3</v>
      </c>
      <c r="E30" s="2">
        <f t="shared" si="2"/>
        <v>1</v>
      </c>
      <c r="G30" s="12" t="s">
        <v>64</v>
      </c>
      <c r="H30" s="12">
        <f>H3</f>
        <v>5</v>
      </c>
      <c r="I30" s="12" t="s">
        <v>17</v>
      </c>
      <c r="J30" s="13" t="str">
        <f>TRIM(G30)&amp;"   "&amp;IF(H30&gt;0,"+","")&amp;TRIM(H30)&amp;" "&amp;TRIM(I30)</f>
        <v>V+:   +5 V</v>
      </c>
    </row>
    <row r="31" spans="2:10">
      <c r="B31" s="2">
        <f t="shared" si="3"/>
        <v>10</v>
      </c>
      <c r="C31" s="2">
        <f t="shared" si="0"/>
        <v>0.45597888911063023</v>
      </c>
      <c r="D31" s="2">
        <f t="shared" si="1"/>
        <v>1.3</v>
      </c>
      <c r="E31" s="2">
        <f t="shared" si="2"/>
        <v>1</v>
      </c>
      <c r="G31" s="12" t="s">
        <v>66</v>
      </c>
      <c r="H31" s="12">
        <f>H4</f>
        <v>0</v>
      </c>
      <c r="I31" s="12" t="s">
        <v>17</v>
      </c>
      <c r="J31" s="13" t="str">
        <f>TRIM(G31)&amp;"   "&amp;IF(H31&gt;0,"+","")&amp;TRIM(H31)&amp;" "&amp;TRIM(I31)</f>
        <v>V-:   0 V</v>
      </c>
    </row>
    <row r="32" spans="2:10">
      <c r="B32" s="2">
        <f t="shared" si="3"/>
        <v>10.5</v>
      </c>
      <c r="C32" s="2">
        <f t="shared" si="0"/>
        <v>0.12030424002832996</v>
      </c>
      <c r="D32" s="2">
        <f t="shared" si="1"/>
        <v>1.3</v>
      </c>
      <c r="E32" s="2">
        <f t="shared" si="2"/>
        <v>1</v>
      </c>
      <c r="G32" s="12" t="s">
        <v>55</v>
      </c>
      <c r="H32" s="12">
        <f>H8</f>
        <v>2.5299999999999998</v>
      </c>
      <c r="I32" s="12" t="s">
        <v>17</v>
      </c>
      <c r="J32" s="13" t="str">
        <f>TRIM(G32)&amp;"   "&amp;IF(H32&gt;0,"+","")&amp;TRIM(H32)&amp;" "&amp;TRIM(I32)</f>
        <v>Vin(+):   +2.53 V</v>
      </c>
    </row>
    <row r="33" spans="2:10">
      <c r="B33" s="2">
        <f t="shared" si="3"/>
        <v>11</v>
      </c>
      <c r="C33" s="2">
        <f t="shared" si="0"/>
        <v>9.7934492965245923E-6</v>
      </c>
      <c r="D33" s="2">
        <f t="shared" si="1"/>
        <v>1.3</v>
      </c>
      <c r="E33" s="2">
        <f t="shared" si="2"/>
        <v>1</v>
      </c>
      <c r="G33" s="12" t="s">
        <v>56</v>
      </c>
      <c r="H33" s="12">
        <f>H9</f>
        <v>2.82</v>
      </c>
      <c r="I33" s="12" t="s">
        <v>17</v>
      </c>
      <c r="J33" s="13" t="str">
        <f>TRIM(G33)&amp;"   "&amp;IF(H33&gt;0,"+","")&amp;TRIM(H33)&amp;" "&amp;TRIM(I33)</f>
        <v>Vin(-):   +2.82 V</v>
      </c>
    </row>
    <row r="34" spans="2:10">
      <c r="B34" s="2">
        <f t="shared" si="3"/>
        <v>11.5</v>
      </c>
      <c r="C34" s="2">
        <f t="shared" si="0"/>
        <v>0.12454782531157149</v>
      </c>
      <c r="D34" s="2">
        <f t="shared" si="1"/>
        <v>1.3</v>
      </c>
      <c r="E34" s="2">
        <f t="shared" si="2"/>
        <v>1</v>
      </c>
    </row>
    <row r="35" spans="2:10">
      <c r="B35" s="2">
        <f t="shared" si="3"/>
        <v>12</v>
      </c>
      <c r="C35" s="2">
        <f t="shared" si="0"/>
        <v>0.46342708199956506</v>
      </c>
      <c r="D35" s="2">
        <f t="shared" si="1"/>
        <v>1.3</v>
      </c>
      <c r="E35" s="2">
        <f t="shared" si="2"/>
        <v>1</v>
      </c>
    </row>
    <row r="36" spans="2:10">
      <c r="B36" s="2">
        <f t="shared" si="3"/>
        <v>12.5</v>
      </c>
      <c r="C36" s="2">
        <f t="shared" si="0"/>
        <v>0.93367810264879936</v>
      </c>
      <c r="D36" s="2">
        <f t="shared" si="1"/>
        <v>1.3</v>
      </c>
      <c r="E36" s="2">
        <f t="shared" si="2"/>
        <v>1</v>
      </c>
    </row>
    <row r="37" spans="2:10">
      <c r="B37" s="2">
        <f t="shared" si="3"/>
        <v>13</v>
      </c>
      <c r="C37" s="2">
        <f t="shared" si="0"/>
        <v>1.420167036826641</v>
      </c>
      <c r="D37" s="2">
        <f t="shared" si="1"/>
        <v>3.7</v>
      </c>
      <c r="E37" s="2">
        <f t="shared" si="2"/>
        <v>1</v>
      </c>
    </row>
    <row r="38" spans="2:10">
      <c r="B38" s="2">
        <f t="shared" si="3"/>
        <v>13.5</v>
      </c>
      <c r="C38" s="2">
        <f t="shared" si="0"/>
        <v>1.803784426551621</v>
      </c>
      <c r="D38" s="2">
        <f t="shared" si="1"/>
        <v>3.7</v>
      </c>
      <c r="E38" s="2">
        <f t="shared" si="2"/>
        <v>1</v>
      </c>
    </row>
    <row r="39" spans="2:10">
      <c r="B39" s="2">
        <f t="shared" si="3"/>
        <v>14</v>
      </c>
      <c r="C39" s="2">
        <f t="shared" si="0"/>
        <v>1.9906073556948702</v>
      </c>
      <c r="D39" s="2">
        <f t="shared" si="1"/>
        <v>3.7</v>
      </c>
      <c r="E39" s="2">
        <f t="shared" si="2"/>
        <v>1</v>
      </c>
    </row>
    <row r="40" spans="2:10">
      <c r="B40" s="2">
        <f t="shared" si="3"/>
        <v>14.5</v>
      </c>
      <c r="C40" s="2">
        <f t="shared" si="0"/>
        <v>1.9348950555246831</v>
      </c>
      <c r="D40" s="2">
        <f t="shared" si="1"/>
        <v>3.7</v>
      </c>
      <c r="E40" s="2">
        <f t="shared" si="2"/>
        <v>1</v>
      </c>
    </row>
    <row r="41" spans="2:10">
      <c r="B41" s="2">
        <f t="shared" si="3"/>
        <v>15</v>
      </c>
      <c r="C41" s="2">
        <f t="shared" si="0"/>
        <v>1.6502878401571168</v>
      </c>
      <c r="D41" s="2">
        <f t="shared" si="1"/>
        <v>3.7</v>
      </c>
      <c r="E41" s="2">
        <f t="shared" si="2"/>
        <v>1</v>
      </c>
    </row>
    <row r="42" spans="2:10">
      <c r="B42" s="2">
        <f t="shared" si="3"/>
        <v>15.5</v>
      </c>
      <c r="C42" s="2">
        <f t="shared" si="0"/>
        <v>1.2064674819377965</v>
      </c>
      <c r="D42" s="2">
        <f t="shared" si="1"/>
        <v>3.7</v>
      </c>
      <c r="E42" s="2">
        <f t="shared" si="2"/>
        <v>1</v>
      </c>
    </row>
    <row r="43" spans="2:10">
      <c r="B43" s="2">
        <f t="shared" si="3"/>
        <v>16</v>
      </c>
      <c r="C43" s="2">
        <f t="shared" si="0"/>
        <v>0.7120966833349347</v>
      </c>
      <c r="D43" s="2">
        <f t="shared" si="1"/>
        <v>1.3</v>
      </c>
      <c r="E43" s="2">
        <f t="shared" si="2"/>
        <v>1</v>
      </c>
    </row>
    <row r="44" spans="2:10">
      <c r="B44" s="2">
        <f t="shared" si="3"/>
        <v>16.5</v>
      </c>
      <c r="C44" s="2">
        <f t="shared" si="0"/>
        <v>0.28821465763087695</v>
      </c>
      <c r="D44" s="2">
        <f t="shared" si="1"/>
        <v>1.3</v>
      </c>
      <c r="E44" s="2">
        <f t="shared" si="2"/>
        <v>1</v>
      </c>
    </row>
    <row r="45" spans="2:10">
      <c r="B45" s="2">
        <f t="shared" si="3"/>
        <v>17</v>
      </c>
      <c r="C45" s="2">
        <f t="shared" si="0"/>
        <v>3.8602508120443191E-2</v>
      </c>
      <c r="D45" s="2">
        <f t="shared" si="1"/>
        <v>1.3</v>
      </c>
      <c r="E45" s="2">
        <f t="shared" si="2"/>
        <v>1</v>
      </c>
    </row>
    <row r="46" spans="2:10">
      <c r="B46" s="2">
        <f t="shared" si="3"/>
        <v>17.5</v>
      </c>
      <c r="C46" s="2">
        <f t="shared" si="0"/>
        <v>2.4373994531842413E-2</v>
      </c>
      <c r="D46" s="2">
        <f t="shared" si="1"/>
        <v>1.3</v>
      </c>
      <c r="E46" s="2">
        <f t="shared" si="2"/>
        <v>1</v>
      </c>
    </row>
    <row r="47" spans="2:10">
      <c r="B47" s="2">
        <f t="shared" si="3"/>
        <v>18</v>
      </c>
      <c r="C47" s="2">
        <f t="shared" si="0"/>
        <v>0.24901275322832395</v>
      </c>
      <c r="D47" s="2">
        <f t="shared" si="1"/>
        <v>1.3</v>
      </c>
      <c r="E47" s="2">
        <f t="shared" si="2"/>
        <v>1</v>
      </c>
    </row>
    <row r="48" spans="2:10">
      <c r="B48" s="2">
        <f t="shared" si="3"/>
        <v>18.5</v>
      </c>
      <c r="C48" s="2">
        <f t="shared" si="0"/>
        <v>0.65751938153038747</v>
      </c>
      <c r="D48" s="2">
        <f t="shared" si="1"/>
        <v>1.3</v>
      </c>
      <c r="E48" s="2">
        <f t="shared" si="2"/>
        <v>1</v>
      </c>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89168-64B6-49AA-A3F4-031AF8B933E8}">
  <dimension ref="B1:Z102"/>
  <sheetViews>
    <sheetView zoomScale="85" zoomScaleNormal="85" workbookViewId="0">
      <selection activeCell="C2" sqref="C2"/>
    </sheetView>
  </sheetViews>
  <sheetFormatPr defaultColWidth="9.1796875" defaultRowHeight="14.5"/>
  <cols>
    <col min="1" max="1" width="5.1796875" style="2" customWidth="1"/>
    <col min="2" max="2" width="9.1796875" style="2"/>
    <col min="3" max="3" width="9.1796875" style="2" customWidth="1"/>
    <col min="4" max="4" width="13.1796875" style="2" bestFit="1" customWidth="1"/>
    <col min="5" max="5" width="11.81640625" style="2" customWidth="1"/>
    <col min="6" max="7" width="9.1796875" style="2"/>
    <col min="8" max="8" width="11" style="2" customWidth="1"/>
    <col min="9" max="16384" width="9.1796875" style="2"/>
  </cols>
  <sheetData>
    <row r="1" spans="2:26" ht="46.5" thickBot="1">
      <c r="B1" s="1" t="s">
        <v>101</v>
      </c>
      <c r="Y1"/>
    </row>
    <row r="2" spans="2:26" ht="15" thickBot="1">
      <c r="B2" s="2" t="s">
        <v>172</v>
      </c>
      <c r="C2" s="4">
        <v>1</v>
      </c>
      <c r="D2" s="2" t="s">
        <v>16</v>
      </c>
      <c r="H2" s="6" t="s">
        <v>36</v>
      </c>
    </row>
    <row r="3" spans="2:26" ht="15" thickBot="1">
      <c r="B3" s="2" t="s">
        <v>12</v>
      </c>
      <c r="C3" s="4">
        <v>1</v>
      </c>
      <c r="D3" s="2" t="s">
        <v>16</v>
      </c>
      <c r="H3" s="2" t="s">
        <v>9</v>
      </c>
      <c r="I3" s="4">
        <v>5</v>
      </c>
      <c r="J3" s="2" t="s">
        <v>18</v>
      </c>
      <c r="Z3"/>
    </row>
    <row r="4" spans="2:26" ht="15" thickBot="1">
      <c r="B4" s="2" t="s">
        <v>82</v>
      </c>
      <c r="C4" s="4">
        <v>0.1</v>
      </c>
      <c r="D4" s="2" t="s">
        <v>83</v>
      </c>
      <c r="H4" s="2" t="s">
        <v>10</v>
      </c>
      <c r="I4" s="5">
        <v>-5</v>
      </c>
      <c r="J4" s="2" t="s">
        <v>19</v>
      </c>
    </row>
    <row r="5" spans="2:26" ht="15" thickBot="1">
      <c r="B5" s="2" t="s">
        <v>99</v>
      </c>
      <c r="C5" s="4">
        <v>1</v>
      </c>
      <c r="D5" s="2" t="s">
        <v>16</v>
      </c>
      <c r="H5" s="2" t="s">
        <v>31</v>
      </c>
      <c r="I5" s="4">
        <v>1.2</v>
      </c>
      <c r="J5" s="2" t="s">
        <v>32</v>
      </c>
    </row>
    <row r="6" spans="2:26">
      <c r="B6" s="2" t="s">
        <v>0</v>
      </c>
      <c r="C6" s="3">
        <v>0</v>
      </c>
      <c r="D6" s="2" t="s">
        <v>17</v>
      </c>
    </row>
    <row r="7" spans="2:26" ht="15" thickBot="1">
      <c r="B7" s="2" t="s">
        <v>1</v>
      </c>
      <c r="C7" s="3">
        <f>1+(C5/C2)</f>
        <v>2</v>
      </c>
      <c r="D7" s="2" t="s">
        <v>39</v>
      </c>
      <c r="H7" s="6" t="s">
        <v>33</v>
      </c>
    </row>
    <row r="8" spans="2:26" ht="15" thickBot="1">
      <c r="B8" s="2" t="s">
        <v>97</v>
      </c>
      <c r="C8" s="3">
        <f>1/(2*PI()*C10*C4*0.000001)</f>
        <v>1000.0002707544371</v>
      </c>
      <c r="D8" s="2" t="s">
        <v>219</v>
      </c>
      <c r="H8" s="6" t="s">
        <v>29</v>
      </c>
      <c r="I8" s="4">
        <v>1</v>
      </c>
      <c r="J8" s="2" t="s">
        <v>17</v>
      </c>
    </row>
    <row r="9" spans="2:26" ht="15" thickBot="1">
      <c r="B9" s="2" t="s">
        <v>25</v>
      </c>
      <c r="C9" s="4">
        <v>1</v>
      </c>
      <c r="D9" s="2" t="s">
        <v>38</v>
      </c>
      <c r="H9" s="6" t="s">
        <v>34</v>
      </c>
      <c r="I9" s="3">
        <f>IF($C$7*I8/SQRT(1+($C$10/$C$12)^2)&gt;($I$3-$I$5),($I$3-$I$5),IF($C$7*I8/SQRT(1+($C$10/$C$12)^2)&lt;($I$4+$I$5),($I$4+$I$5),$C$7*I8/SQRT(1+($C$10/$C$12)^2)))</f>
        <v>1.4142137538253547</v>
      </c>
      <c r="J9" s="2" t="s">
        <v>17</v>
      </c>
    </row>
    <row r="10" spans="2:26" ht="15" thickBot="1">
      <c r="B10" s="2" t="s">
        <v>84</v>
      </c>
      <c r="C10" s="4">
        <v>1591.549</v>
      </c>
      <c r="D10" s="2" t="s">
        <v>80</v>
      </c>
    </row>
    <row r="11" spans="2:26">
      <c r="B11" s="2" t="s">
        <v>87</v>
      </c>
      <c r="C11" s="3">
        <f>1/C10</f>
        <v>6.2831870083798866E-4</v>
      </c>
      <c r="D11" s="2" t="s">
        <v>86</v>
      </c>
      <c r="H11" s="6" t="s">
        <v>198</v>
      </c>
    </row>
    <row r="12" spans="2:26" ht="15" thickBot="1">
      <c r="B12" s="2" t="s">
        <v>81</v>
      </c>
      <c r="C12" s="3">
        <f>1/(2*PI()*(C3*1000)*(C4*0.000001))</f>
        <v>1591.5494309189537</v>
      </c>
      <c r="D12" s="2" t="s">
        <v>80</v>
      </c>
      <c r="H12" s="17" t="s">
        <v>106</v>
      </c>
      <c r="I12" s="3">
        <f>1000*(C4*1000)*(C5*0.000001)</f>
        <v>9.9999999999999992E-2</v>
      </c>
      <c r="J12" s="2" t="s">
        <v>107</v>
      </c>
      <c r="U12" s="29"/>
      <c r="Y12"/>
    </row>
    <row r="13" spans="2:26" ht="15" thickBot="1">
      <c r="B13" s="2" t="s">
        <v>89</v>
      </c>
      <c r="C13" s="4">
        <v>4</v>
      </c>
      <c r="D13" s="2" t="s">
        <v>90</v>
      </c>
      <c r="H13" s="17" t="s">
        <v>197</v>
      </c>
      <c r="I13" s="3">
        <f>1/(I12*0.001)</f>
        <v>10000</v>
      </c>
      <c r="J13" s="2" t="s">
        <v>80</v>
      </c>
    </row>
    <row r="14" spans="2:26">
      <c r="B14" s="2" t="s">
        <v>88</v>
      </c>
      <c r="C14" s="3">
        <f>C11*C13/25</f>
        <v>1.0053099213407818E-4</v>
      </c>
      <c r="D14" s="2" t="s">
        <v>86</v>
      </c>
    </row>
    <row r="16" spans="2:26">
      <c r="E16" s="6" t="s">
        <v>30</v>
      </c>
    </row>
    <row r="17" spans="2:6">
      <c r="B17" s="7" t="s">
        <v>85</v>
      </c>
      <c r="C17" s="7" t="s">
        <v>7</v>
      </c>
      <c r="D17" s="7" t="s">
        <v>3</v>
      </c>
      <c r="E17" s="7" t="s">
        <v>3</v>
      </c>
      <c r="F17" s="30" t="s">
        <v>223</v>
      </c>
    </row>
    <row r="18" spans="2:6">
      <c r="B18" s="2">
        <v>0</v>
      </c>
      <c r="C18" s="2">
        <f t="shared" ref="C18:C43" si="0">$C$9*SIN($B18*$C$10*2*PI())</f>
        <v>0</v>
      </c>
      <c r="D18" s="2">
        <f t="shared" ref="D18:D43" si="1">C18*$C$7*($C$10/$C$12)/SQRT(1+($C$10/$C$12)^2)</f>
        <v>0</v>
      </c>
      <c r="E18" s="2">
        <f t="shared" ref="E18:E43" si="2">IF(D18&gt;($I$3-$I$5),($I$3-$I$5),IF(D18&lt;($I$4+$I$5),($I$4+$I$5),D18))</f>
        <v>0</v>
      </c>
      <c r="F18" s="30">
        <f t="shared" ref="F18:F43" si="3">C18*($C$3*1000/SQRT((($C$3*1000)^2+$C$8^2)))*(1+($C$5*1000)/($C$2*1000))</f>
        <v>0</v>
      </c>
    </row>
    <row r="19" spans="2:6">
      <c r="B19" s="2">
        <f t="shared" ref="B19:B43" si="4">B18+$C$14</f>
        <v>1.0053099213407818E-4</v>
      </c>
      <c r="C19" s="2">
        <f t="shared" si="0"/>
        <v>0.84432792550201508</v>
      </c>
      <c r="D19" s="2">
        <f t="shared" si="1"/>
        <v>1.1940598416867789</v>
      </c>
      <c r="E19" s="2">
        <f t="shared" si="2"/>
        <v>1.1940598416867789</v>
      </c>
      <c r="F19" s="30">
        <f t="shared" si="3"/>
        <v>1.1940598416867789</v>
      </c>
    </row>
    <row r="20" spans="2:6">
      <c r="B20" s="2">
        <f t="shared" si="4"/>
        <v>2.0106198426815636E-4</v>
      </c>
      <c r="C20" s="2">
        <f t="shared" si="0"/>
        <v>0.90482705246601947</v>
      </c>
      <c r="D20" s="2">
        <f t="shared" si="1"/>
        <v>1.2796185159683096</v>
      </c>
      <c r="E20" s="2">
        <f t="shared" si="2"/>
        <v>1.2796185159683096</v>
      </c>
      <c r="F20" s="30">
        <f t="shared" si="3"/>
        <v>1.2796185159683096</v>
      </c>
    </row>
    <row r="21" spans="2:6">
      <c r="B21" s="2">
        <f t="shared" si="4"/>
        <v>3.0159297640223456E-4</v>
      </c>
      <c r="C21" s="2">
        <f t="shared" si="0"/>
        <v>0.12533323356430454</v>
      </c>
      <c r="D21" s="2">
        <f t="shared" si="1"/>
        <v>0.17724793472738026</v>
      </c>
      <c r="E21" s="2">
        <f t="shared" si="2"/>
        <v>0.17724793472738026</v>
      </c>
      <c r="F21" s="30">
        <f t="shared" si="3"/>
        <v>0.17724793472738026</v>
      </c>
    </row>
    <row r="22" spans="2:6">
      <c r="B22" s="2">
        <f t="shared" si="4"/>
        <v>4.0212396853631273E-4</v>
      </c>
      <c r="C22" s="2">
        <f t="shared" si="0"/>
        <v>-0.77051324277578936</v>
      </c>
      <c r="D22" s="2">
        <f t="shared" si="1"/>
        <v>-1.0896701304050731</v>
      </c>
      <c r="E22" s="2">
        <f t="shared" si="2"/>
        <v>-1.0896701304050731</v>
      </c>
      <c r="F22" s="30">
        <f t="shared" si="3"/>
        <v>-1.0896701304050731</v>
      </c>
    </row>
    <row r="23" spans="2:6">
      <c r="B23" s="2">
        <f t="shared" si="4"/>
        <v>5.0265496067039095E-4</v>
      </c>
      <c r="C23" s="2">
        <f t="shared" si="0"/>
        <v>-0.95105651629515364</v>
      </c>
      <c r="D23" s="2">
        <f t="shared" si="1"/>
        <v>-1.344996841845971</v>
      </c>
      <c r="E23" s="2">
        <f t="shared" si="2"/>
        <v>-1.344996841845971</v>
      </c>
      <c r="F23" s="30">
        <f t="shared" si="3"/>
        <v>-1.344996841845971</v>
      </c>
    </row>
    <row r="24" spans="2:6">
      <c r="B24" s="2">
        <f t="shared" si="4"/>
        <v>6.0318595280446912E-4</v>
      </c>
      <c r="C24" s="2">
        <f t="shared" si="0"/>
        <v>-0.24868988716485535</v>
      </c>
      <c r="D24" s="2">
        <f t="shared" si="1"/>
        <v>-0.35170056364132585</v>
      </c>
      <c r="E24" s="2">
        <f t="shared" si="2"/>
        <v>-0.35170056364132585</v>
      </c>
      <c r="F24" s="30">
        <f t="shared" si="3"/>
        <v>-0.35170056364132585</v>
      </c>
    </row>
    <row r="25" spans="2:6">
      <c r="B25" s="2">
        <f t="shared" si="4"/>
        <v>7.0371694493854729E-4</v>
      </c>
      <c r="C25" s="2">
        <f t="shared" si="0"/>
        <v>0.68454710592868795</v>
      </c>
      <c r="D25" s="2">
        <f t="shared" si="1"/>
        <v>0.96809567022949428</v>
      </c>
      <c r="E25" s="2">
        <f t="shared" si="2"/>
        <v>0.96809567022949428</v>
      </c>
      <c r="F25" s="30">
        <f t="shared" si="3"/>
        <v>0.96809567022949428</v>
      </c>
    </row>
    <row r="26" spans="2:6">
      <c r="B26" s="2">
        <f t="shared" si="4"/>
        <v>8.0424793707262545E-4</v>
      </c>
      <c r="C26" s="2">
        <f t="shared" si="0"/>
        <v>0.98228725072868861</v>
      </c>
      <c r="D26" s="2">
        <f t="shared" si="1"/>
        <v>1.3891637640655532</v>
      </c>
      <c r="E26" s="2">
        <f t="shared" si="2"/>
        <v>1.3891637640655532</v>
      </c>
      <c r="F26" s="30">
        <f t="shared" si="3"/>
        <v>1.3891637640655532</v>
      </c>
    </row>
    <row r="27" spans="2:6">
      <c r="B27" s="2">
        <f t="shared" si="4"/>
        <v>9.0477892920670362E-4</v>
      </c>
      <c r="C27" s="2">
        <f t="shared" si="0"/>
        <v>0.36812455268467797</v>
      </c>
      <c r="D27" s="2">
        <f t="shared" si="1"/>
        <v>0.52060666457091354</v>
      </c>
      <c r="E27" s="2">
        <f t="shared" si="2"/>
        <v>0.52060666457091354</v>
      </c>
      <c r="F27" s="30">
        <f t="shared" si="3"/>
        <v>0.52060666457091365</v>
      </c>
    </row>
    <row r="28" spans="2:6">
      <c r="B28" s="2">
        <f t="shared" si="4"/>
        <v>1.0053099213407819E-3</v>
      </c>
      <c r="C28" s="2">
        <f t="shared" si="0"/>
        <v>-0.5877852522924728</v>
      </c>
      <c r="D28" s="2">
        <f t="shared" si="1"/>
        <v>-0.83125376302207643</v>
      </c>
      <c r="E28" s="2">
        <f t="shared" si="2"/>
        <v>-0.83125376302207643</v>
      </c>
      <c r="F28" s="30">
        <f t="shared" si="3"/>
        <v>-0.83125376302207643</v>
      </c>
    </row>
    <row r="29" spans="2:6">
      <c r="B29" s="2">
        <f t="shared" si="4"/>
        <v>1.1058409134748601E-3</v>
      </c>
      <c r="C29" s="2">
        <f t="shared" si="0"/>
        <v>-0.99802672842827156</v>
      </c>
      <c r="D29" s="2">
        <f t="shared" si="1"/>
        <v>-1.4114227438796132</v>
      </c>
      <c r="E29" s="2">
        <f t="shared" si="2"/>
        <v>-1.4114227438796132</v>
      </c>
      <c r="F29" s="30">
        <f t="shared" si="3"/>
        <v>-1.4114227438796132</v>
      </c>
    </row>
    <row r="30" spans="2:6">
      <c r="B30" s="2">
        <f t="shared" si="4"/>
        <v>1.2063719056089382E-3</v>
      </c>
      <c r="C30" s="2">
        <f t="shared" si="0"/>
        <v>-0.48175367410171632</v>
      </c>
      <c r="D30" s="2">
        <f t="shared" si="1"/>
        <v>-0.68130248740487331</v>
      </c>
      <c r="E30" s="2">
        <f t="shared" si="2"/>
        <v>-0.68130248740487331</v>
      </c>
      <c r="F30" s="30">
        <f t="shared" si="3"/>
        <v>-0.68130248740487331</v>
      </c>
    </row>
    <row r="31" spans="2:6">
      <c r="B31" s="2">
        <f t="shared" si="4"/>
        <v>1.3069028977430164E-3</v>
      </c>
      <c r="C31" s="2">
        <f t="shared" si="0"/>
        <v>0.48175367410171543</v>
      </c>
      <c r="D31" s="2">
        <f t="shared" si="1"/>
        <v>0.68130248740487209</v>
      </c>
      <c r="E31" s="2">
        <f t="shared" si="2"/>
        <v>0.68130248740487209</v>
      </c>
      <c r="F31" s="30">
        <f t="shared" si="3"/>
        <v>0.68130248740487209</v>
      </c>
    </row>
    <row r="32" spans="2:6">
      <c r="B32" s="2">
        <f t="shared" si="4"/>
        <v>1.4074338898770946E-3</v>
      </c>
      <c r="C32" s="2">
        <f t="shared" si="0"/>
        <v>0.99802672842827145</v>
      </c>
      <c r="D32" s="2">
        <f t="shared" si="1"/>
        <v>1.411422743879613</v>
      </c>
      <c r="E32" s="2">
        <f t="shared" si="2"/>
        <v>1.411422743879613</v>
      </c>
      <c r="F32" s="30">
        <f t="shared" si="3"/>
        <v>1.4114227438796132</v>
      </c>
    </row>
    <row r="33" spans="2:11">
      <c r="B33" s="2">
        <f t="shared" si="4"/>
        <v>1.5079648820111727E-3</v>
      </c>
      <c r="C33" s="2">
        <f t="shared" si="0"/>
        <v>0.58778525229247358</v>
      </c>
      <c r="D33" s="2">
        <f t="shared" si="1"/>
        <v>0.83125376302207754</v>
      </c>
      <c r="E33" s="2">
        <f t="shared" si="2"/>
        <v>0.83125376302207754</v>
      </c>
      <c r="F33" s="30">
        <f t="shared" si="3"/>
        <v>0.83125376302207754</v>
      </c>
    </row>
    <row r="34" spans="2:11">
      <c r="B34" s="2">
        <f t="shared" si="4"/>
        <v>1.6084958741452509E-3</v>
      </c>
      <c r="C34" s="2">
        <f t="shared" si="0"/>
        <v>-0.3681245526846787</v>
      </c>
      <c r="D34" s="2">
        <f t="shared" si="1"/>
        <v>-0.52060666457091453</v>
      </c>
      <c r="E34" s="2">
        <f t="shared" si="2"/>
        <v>-0.52060666457091453</v>
      </c>
      <c r="F34" s="30">
        <f t="shared" si="3"/>
        <v>-0.52060666457091465</v>
      </c>
    </row>
    <row r="35" spans="2:11">
      <c r="B35" s="2">
        <f t="shared" si="4"/>
        <v>1.7090268662793291E-3</v>
      </c>
      <c r="C35" s="2">
        <f t="shared" si="0"/>
        <v>-0.98228725072868839</v>
      </c>
      <c r="D35" s="2">
        <f t="shared" si="1"/>
        <v>-1.3891637640655528</v>
      </c>
      <c r="E35" s="2">
        <f t="shared" si="2"/>
        <v>-1.3891637640655528</v>
      </c>
      <c r="F35" s="30">
        <f t="shared" si="3"/>
        <v>-1.3891637640655528</v>
      </c>
    </row>
    <row r="36" spans="2:11">
      <c r="B36" s="2">
        <f t="shared" si="4"/>
        <v>1.8095578584134072E-3</v>
      </c>
      <c r="C36" s="2">
        <f t="shared" si="0"/>
        <v>-0.68454710592868862</v>
      </c>
      <c r="D36" s="2">
        <f t="shared" si="1"/>
        <v>-0.96809567022949516</v>
      </c>
      <c r="E36" s="2">
        <f t="shared" si="2"/>
        <v>-0.96809567022949516</v>
      </c>
      <c r="F36" s="30">
        <f t="shared" si="3"/>
        <v>-0.96809567022949528</v>
      </c>
    </row>
    <row r="37" spans="2:11">
      <c r="B37" s="2">
        <f t="shared" si="4"/>
        <v>1.9100888505474854E-3</v>
      </c>
      <c r="C37" s="2">
        <f t="shared" si="0"/>
        <v>0.24868988716485269</v>
      </c>
      <c r="D37" s="2">
        <f t="shared" si="1"/>
        <v>0.35170056364132207</v>
      </c>
      <c r="E37" s="2">
        <f t="shared" si="2"/>
        <v>0.35170056364132207</v>
      </c>
      <c r="F37" s="30">
        <f t="shared" si="3"/>
        <v>0.35170056364132207</v>
      </c>
      <c r="H37" s="6" t="s">
        <v>65</v>
      </c>
    </row>
    <row r="38" spans="2:11">
      <c r="B38" s="2">
        <f t="shared" si="4"/>
        <v>2.0106198426815638E-3</v>
      </c>
      <c r="C38" s="2">
        <f t="shared" si="0"/>
        <v>0.95105651629515331</v>
      </c>
      <c r="D38" s="2">
        <f t="shared" si="1"/>
        <v>1.3449968418459706</v>
      </c>
      <c r="E38" s="2">
        <f t="shared" si="2"/>
        <v>1.3449968418459706</v>
      </c>
      <c r="F38" s="30">
        <f t="shared" si="3"/>
        <v>1.3449968418459706</v>
      </c>
      <c r="H38" s="12" t="s">
        <v>64</v>
      </c>
      <c r="I38" s="12">
        <f>I3</f>
        <v>5</v>
      </c>
      <c r="J38" s="12" t="s">
        <v>17</v>
      </c>
      <c r="K38" s="13" t="str">
        <f>TRIM(H38)&amp;"   "&amp;IF(I38&gt;0,"+","")&amp;TRIM(I38)&amp;" "&amp;TRIM(J38)</f>
        <v>V+:   +5 V</v>
      </c>
    </row>
    <row r="39" spans="2:11">
      <c r="B39" s="2">
        <f t="shared" si="4"/>
        <v>2.111150834815642E-3</v>
      </c>
      <c r="C39" s="2">
        <f t="shared" si="0"/>
        <v>0.77051324277578881</v>
      </c>
      <c r="D39" s="2">
        <f t="shared" si="1"/>
        <v>1.0896701304050724</v>
      </c>
      <c r="E39" s="2">
        <f t="shared" si="2"/>
        <v>1.0896701304050724</v>
      </c>
      <c r="F39" s="30">
        <f t="shared" si="3"/>
        <v>1.0896701304050724</v>
      </c>
      <c r="H39" s="12" t="s">
        <v>66</v>
      </c>
      <c r="I39" s="12">
        <f>I4</f>
        <v>-5</v>
      </c>
      <c r="J39" s="12" t="s">
        <v>17</v>
      </c>
      <c r="K39" s="13" t="str">
        <f t="shared" ref="K39:K40" si="5">TRIM(H39)&amp;"   "&amp;IF(I39&gt;0,"+","")&amp;TRIM(I39)&amp;" "&amp;TRIM(J39)</f>
        <v>V-:   -5 V</v>
      </c>
    </row>
    <row r="40" spans="2:11">
      <c r="B40" s="2">
        <f t="shared" si="4"/>
        <v>2.2116818269497201E-3</v>
      </c>
      <c r="C40" s="2">
        <f t="shared" si="0"/>
        <v>-0.12533323356430268</v>
      </c>
      <c r="D40" s="2">
        <f t="shared" si="1"/>
        <v>-0.17724793472737763</v>
      </c>
      <c r="E40" s="2">
        <f t="shared" si="2"/>
        <v>-0.17724793472737763</v>
      </c>
      <c r="F40" s="30">
        <f t="shared" si="3"/>
        <v>-0.17724793472737763</v>
      </c>
      <c r="H40" s="12" t="s">
        <v>29</v>
      </c>
      <c r="I40" s="12">
        <f>I8</f>
        <v>1</v>
      </c>
      <c r="J40" s="12" t="s">
        <v>17</v>
      </c>
      <c r="K40" s="13" t="str">
        <f t="shared" si="5"/>
        <v>Vin:   +1 V</v>
      </c>
    </row>
    <row r="41" spans="2:11">
      <c r="B41" s="2">
        <f t="shared" si="4"/>
        <v>2.3122128190837983E-3</v>
      </c>
      <c r="C41" s="2">
        <f t="shared" si="0"/>
        <v>-0.90482705246601947</v>
      </c>
      <c r="D41" s="2">
        <f t="shared" si="1"/>
        <v>-1.2796185159683096</v>
      </c>
      <c r="E41" s="2">
        <f t="shared" si="2"/>
        <v>-1.2796185159683096</v>
      </c>
      <c r="F41" s="30">
        <f t="shared" si="3"/>
        <v>-1.2796185159683096</v>
      </c>
      <c r="H41" s="12" t="s">
        <v>67</v>
      </c>
      <c r="I41" s="12">
        <f>C2</f>
        <v>1</v>
      </c>
      <c r="J41" s="12" t="s">
        <v>16</v>
      </c>
      <c r="K41" s="13" t="str">
        <f>TRIM(H41)&amp;"   "&amp;TRIM(I41)&amp;" "&amp;TRIM(J41)</f>
        <v>R1:   1 K</v>
      </c>
    </row>
    <row r="42" spans="2:11">
      <c r="B42" s="2">
        <f t="shared" si="4"/>
        <v>2.4127438112178765E-3</v>
      </c>
      <c r="C42" s="2">
        <f t="shared" si="0"/>
        <v>-0.8443279255020163</v>
      </c>
      <c r="D42" s="2">
        <f t="shared" si="1"/>
        <v>-1.1940598416867805</v>
      </c>
      <c r="E42" s="2">
        <f t="shared" si="2"/>
        <v>-1.1940598416867805</v>
      </c>
      <c r="F42" s="30">
        <f t="shared" si="3"/>
        <v>-1.1940598416867807</v>
      </c>
      <c r="H42" s="12" t="s">
        <v>102</v>
      </c>
      <c r="I42" s="12">
        <f>C4</f>
        <v>0.1</v>
      </c>
      <c r="J42" s="12" t="s">
        <v>83</v>
      </c>
      <c r="K42" s="13" t="str">
        <f>TRIM(H42)&amp;"   "&amp;TRIM(I42)&amp;" "&amp;TRIM(J42)</f>
        <v>C1:   0.1 uF</v>
      </c>
    </row>
    <row r="43" spans="2:11">
      <c r="B43" s="2">
        <f t="shared" si="4"/>
        <v>2.5132748033519546E-3</v>
      </c>
      <c r="C43" s="2">
        <f t="shared" si="0"/>
        <v>-9.8011876392689601E-16</v>
      </c>
      <c r="D43" s="2">
        <f t="shared" si="1"/>
        <v>-1.3860970610357928E-15</v>
      </c>
      <c r="E43" s="2">
        <f t="shared" si="2"/>
        <v>-1.3860970610357928E-15</v>
      </c>
      <c r="F43" s="30">
        <f t="shared" si="3"/>
        <v>-1.3860970610357928E-15</v>
      </c>
      <c r="H43" s="12" t="s">
        <v>103</v>
      </c>
      <c r="I43" s="12">
        <f>ROUND(C10,0)</f>
        <v>1592</v>
      </c>
      <c r="J43" s="12" t="s">
        <v>80</v>
      </c>
      <c r="K43" s="13" t="str">
        <f>TRIM(H43)&amp;"   "&amp;TRIM(I43)&amp;" "&amp;TRIM(J43)</f>
        <v>f,signal:   1592 Hz</v>
      </c>
    </row>
    <row r="45" spans="2:11">
      <c r="B45" s="6" t="s">
        <v>92</v>
      </c>
    </row>
    <row r="46" spans="2:11" ht="15.5">
      <c r="B46" s="14"/>
      <c r="C46" s="2" t="s">
        <v>95</v>
      </c>
    </row>
    <row r="47" spans="2:11">
      <c r="B47" s="7" t="s">
        <v>93</v>
      </c>
      <c r="C47" s="7" t="s">
        <v>94</v>
      </c>
      <c r="D47" s="7" t="s">
        <v>97</v>
      </c>
      <c r="E47" s="7" t="s">
        <v>224</v>
      </c>
    </row>
    <row r="48" spans="2:11">
      <c r="B48" s="2">
        <v>1</v>
      </c>
      <c r="C48" s="2">
        <f t="shared" ref="C48:C79" si="6">20*LOG($C$7*(B48/$C$12)/SQRT(1+(B48/$C$12)^2))</f>
        <v>-58.015804434083627</v>
      </c>
      <c r="D48" s="2">
        <f t="shared" ref="D48:D79" si="7">1/(2*PI()*B48*$C$4*0.000001)</f>
        <v>1591549.4309189534</v>
      </c>
      <c r="E48" s="2">
        <f t="shared" ref="E48:E79" si="8">20*LOG(($C$3*1000/SQRT((($C$3*1000)^2+D48^2)))*(1+($C$5*1000)/($C$2*1000)))</f>
        <v>-58.015804434083627</v>
      </c>
    </row>
    <row r="49" spans="2:5">
      <c r="B49" s="2">
        <v>2</v>
      </c>
      <c r="C49" s="2">
        <f t="shared" si="6"/>
        <v>-51.995209664376603</v>
      </c>
      <c r="D49" s="2">
        <f t="shared" si="7"/>
        <v>795774.71545947669</v>
      </c>
      <c r="E49" s="2">
        <f t="shared" si="8"/>
        <v>-51.995209664376603</v>
      </c>
    </row>
    <row r="50" spans="2:5">
      <c r="B50" s="2">
        <v>3</v>
      </c>
      <c r="C50" s="2">
        <f t="shared" si="6"/>
        <v>-48.473393055870446</v>
      </c>
      <c r="D50" s="2">
        <f t="shared" si="7"/>
        <v>530516.4769729845</v>
      </c>
      <c r="E50" s="2">
        <f t="shared" si="8"/>
        <v>-48.473393055870446</v>
      </c>
    </row>
    <row r="51" spans="2:5">
      <c r="B51" s="2">
        <v>4</v>
      </c>
      <c r="C51" s="2">
        <f t="shared" si="6"/>
        <v>-45.974630325326459</v>
      </c>
      <c r="D51" s="2">
        <f t="shared" si="7"/>
        <v>397887.35772973835</v>
      </c>
      <c r="E51" s="2">
        <f t="shared" si="8"/>
        <v>-45.974630325326459</v>
      </c>
    </row>
    <row r="52" spans="2:5">
      <c r="B52" s="2">
        <v>5</v>
      </c>
      <c r="C52" s="2">
        <f t="shared" si="6"/>
        <v>-44.036445495773478</v>
      </c>
      <c r="D52" s="2">
        <f t="shared" si="7"/>
        <v>318309.88618379069</v>
      </c>
      <c r="E52" s="2">
        <f t="shared" si="8"/>
        <v>-44.036445495773478</v>
      </c>
    </row>
    <row r="53" spans="2:5">
      <c r="B53" s="2">
        <v>6</v>
      </c>
      <c r="C53" s="2">
        <f t="shared" si="6"/>
        <v>-42.452839434378703</v>
      </c>
      <c r="D53" s="2">
        <f t="shared" si="7"/>
        <v>265258.23848649225</v>
      </c>
      <c r="E53" s="2">
        <f t="shared" si="8"/>
        <v>-42.452839434378703</v>
      </c>
    </row>
    <row r="54" spans="2:5">
      <c r="B54" s="2">
        <v>7</v>
      </c>
      <c r="C54" s="2">
        <f t="shared" si="6"/>
        <v>-41.113925930229072</v>
      </c>
      <c r="D54" s="2">
        <f t="shared" si="7"/>
        <v>227364.20441699337</v>
      </c>
      <c r="E54" s="2">
        <f t="shared" si="8"/>
        <v>-41.113925930229072</v>
      </c>
    </row>
    <row r="55" spans="2:5">
      <c r="B55" s="2">
        <v>8</v>
      </c>
      <c r="C55" s="2">
        <f t="shared" si="6"/>
        <v>-39.954112707990092</v>
      </c>
      <c r="D55" s="2">
        <f t="shared" si="7"/>
        <v>198943.67886486917</v>
      </c>
      <c r="E55" s="2">
        <f t="shared" si="8"/>
        <v>-39.954112707990092</v>
      </c>
    </row>
    <row r="56" spans="2:5">
      <c r="B56" s="2">
        <v>9</v>
      </c>
      <c r="C56" s="2">
        <f t="shared" si="6"/>
        <v>-38.931091405148415</v>
      </c>
      <c r="D56" s="2">
        <f t="shared" si="7"/>
        <v>176838.82565766151</v>
      </c>
      <c r="E56" s="2">
        <f t="shared" si="8"/>
        <v>-38.931091405148408</v>
      </c>
    </row>
    <row r="57" spans="2:5">
      <c r="B57" s="2">
        <v>10</v>
      </c>
      <c r="C57" s="2">
        <f t="shared" si="6"/>
        <v>-38.015974168763023</v>
      </c>
      <c r="D57" s="2">
        <f t="shared" si="7"/>
        <v>159154.94309189534</v>
      </c>
      <c r="E57" s="2">
        <f t="shared" si="8"/>
        <v>-38.015974168763023</v>
      </c>
    </row>
    <row r="58" spans="2:5">
      <c r="B58" s="2">
        <v>20</v>
      </c>
      <c r="C58" s="2">
        <f t="shared" si="6"/>
        <v>-31.995888562491533</v>
      </c>
      <c r="D58" s="2">
        <f t="shared" si="7"/>
        <v>79577.471545947672</v>
      </c>
      <c r="E58" s="2">
        <f t="shared" si="8"/>
        <v>-31.995888562491533</v>
      </c>
    </row>
    <row r="59" spans="2:5">
      <c r="B59" s="2">
        <v>30</v>
      </c>
      <c r="C59" s="2">
        <f t="shared" si="6"/>
        <v>-28.47492042440112</v>
      </c>
      <c r="D59" s="2">
        <f t="shared" si="7"/>
        <v>53051.647697298446</v>
      </c>
      <c r="E59" s="2">
        <f t="shared" si="8"/>
        <v>-28.474920424401112</v>
      </c>
    </row>
    <row r="60" spans="2:5">
      <c r="B60" s="2">
        <v>40</v>
      </c>
      <c r="C60" s="2">
        <f t="shared" si="6"/>
        <v>-25.977345268400029</v>
      </c>
      <c r="D60" s="2">
        <f t="shared" si="7"/>
        <v>39788.735772973836</v>
      </c>
      <c r="E60" s="2">
        <f t="shared" si="8"/>
        <v>-25.977345268400029</v>
      </c>
    </row>
    <row r="61" spans="2:5">
      <c r="B61" s="2">
        <v>50</v>
      </c>
      <c r="C61" s="2">
        <f t="shared" si="6"/>
        <v>-24.04068683374685</v>
      </c>
      <c r="D61" s="2">
        <f t="shared" si="7"/>
        <v>31830.988618379066</v>
      </c>
      <c r="E61" s="2">
        <f t="shared" si="8"/>
        <v>-24.04068683374685</v>
      </c>
    </row>
    <row r="62" spans="2:5">
      <c r="B62" s="2">
        <v>60</v>
      </c>
      <c r="C62" s="2">
        <f t="shared" si="6"/>
        <v>-22.458945623145038</v>
      </c>
      <c r="D62" s="2">
        <f t="shared" si="7"/>
        <v>26525.823848649223</v>
      </c>
      <c r="E62" s="2">
        <f t="shared" si="8"/>
        <v>-22.458945623145034</v>
      </c>
    </row>
    <row r="63" spans="2:5">
      <c r="B63" s="2">
        <v>70</v>
      </c>
      <c r="C63" s="2">
        <f t="shared" si="6"/>
        <v>-21.122234980811108</v>
      </c>
      <c r="D63" s="2">
        <f t="shared" si="7"/>
        <v>22736.420441699334</v>
      </c>
      <c r="E63" s="2">
        <f t="shared" si="8"/>
        <v>-21.122234980811104</v>
      </c>
    </row>
    <row r="64" spans="2:5">
      <c r="B64" s="2">
        <v>80</v>
      </c>
      <c r="C64" s="2">
        <f t="shared" si="6"/>
        <v>-19.964962106483174</v>
      </c>
      <c r="D64" s="2">
        <f t="shared" si="7"/>
        <v>19894.367886486918</v>
      </c>
      <c r="E64" s="2">
        <f t="shared" si="8"/>
        <v>-19.964962106483174</v>
      </c>
    </row>
    <row r="65" spans="2:5">
      <c r="B65" s="2">
        <v>90</v>
      </c>
      <c r="C65" s="2">
        <f t="shared" si="6"/>
        <v>-18.944818033075425</v>
      </c>
      <c r="D65" s="2">
        <f t="shared" si="7"/>
        <v>17683.882565766147</v>
      </c>
      <c r="E65" s="2">
        <f t="shared" si="8"/>
        <v>-18.944818033075418</v>
      </c>
    </row>
    <row r="66" spans="2:5">
      <c r="B66" s="2">
        <v>100</v>
      </c>
      <c r="C66" s="2">
        <f t="shared" si="6"/>
        <v>-18.032914223902658</v>
      </c>
      <c r="D66" s="2">
        <f t="shared" si="7"/>
        <v>15915.494309189533</v>
      </c>
      <c r="E66" s="2">
        <f t="shared" si="8"/>
        <v>-18.032914223902658</v>
      </c>
    </row>
    <row r="67" spans="2:5">
      <c r="B67" s="2">
        <v>200</v>
      </c>
      <c r="C67" s="2">
        <f t="shared" si="6"/>
        <v>-12.063247981752918</v>
      </c>
      <c r="D67" s="2">
        <f t="shared" si="7"/>
        <v>7957.7471545947665</v>
      </c>
      <c r="E67" s="2">
        <f t="shared" si="8"/>
        <v>-12.063247981752916</v>
      </c>
    </row>
    <row r="68" spans="2:5">
      <c r="B68" s="2">
        <v>300</v>
      </c>
      <c r="C68" s="2">
        <f t="shared" si="6"/>
        <v>-8.6250068923629826</v>
      </c>
      <c r="D68" s="2">
        <f t="shared" si="7"/>
        <v>5305.1647697298449</v>
      </c>
      <c r="E68" s="2">
        <f t="shared" si="8"/>
        <v>-8.6250068923629808</v>
      </c>
    </row>
    <row r="69" spans="2:5">
      <c r="B69" s="2">
        <v>400</v>
      </c>
      <c r="C69" s="2">
        <f t="shared" si="6"/>
        <v>-6.2406115148955834</v>
      </c>
      <c r="D69" s="2">
        <f t="shared" si="7"/>
        <v>3978.8735772973832</v>
      </c>
      <c r="E69" s="2">
        <f t="shared" si="8"/>
        <v>-6.2406115148955807</v>
      </c>
    </row>
    <row r="70" spans="2:5">
      <c r="B70" s="2">
        <v>500</v>
      </c>
      <c r="C70" s="2">
        <f t="shared" si="6"/>
        <v>-4.4451782407212228</v>
      </c>
      <c r="D70" s="2">
        <f t="shared" si="7"/>
        <v>3183.098861837907</v>
      </c>
      <c r="E70" s="2">
        <f t="shared" si="8"/>
        <v>-4.445178240721221</v>
      </c>
    </row>
    <row r="71" spans="2:5">
      <c r="B71" s="2">
        <v>600</v>
      </c>
      <c r="C71" s="2">
        <f t="shared" si="6"/>
        <v>-3.0299038371231579</v>
      </c>
      <c r="D71" s="2">
        <f t="shared" si="7"/>
        <v>2652.5823848649225</v>
      </c>
      <c r="E71" s="2">
        <f t="shared" si="8"/>
        <v>-3.0299038371231579</v>
      </c>
    </row>
    <row r="72" spans="2:5">
      <c r="B72" s="2">
        <v>700</v>
      </c>
      <c r="C72" s="2">
        <f t="shared" si="6"/>
        <v>-1.8818632695283259</v>
      </c>
      <c r="D72" s="2">
        <f t="shared" si="7"/>
        <v>2273.6420441699333</v>
      </c>
      <c r="E72" s="2">
        <f t="shared" si="8"/>
        <v>-1.8818632695283237</v>
      </c>
    </row>
    <row r="73" spans="2:5">
      <c r="B73" s="2">
        <v>800</v>
      </c>
      <c r="C73" s="2">
        <f t="shared" si="6"/>
        <v>-0.93234156953539649</v>
      </c>
      <c r="D73" s="2">
        <f t="shared" si="7"/>
        <v>1989.4367886486916</v>
      </c>
      <c r="E73" s="2">
        <f t="shared" si="8"/>
        <v>-0.93234156953539549</v>
      </c>
    </row>
    <row r="74" spans="2:5">
      <c r="B74" s="2">
        <v>900</v>
      </c>
      <c r="C74" s="2">
        <f t="shared" si="6"/>
        <v>-0.13595210590718401</v>
      </c>
      <c r="D74" s="2">
        <f t="shared" si="7"/>
        <v>1768.388256576615</v>
      </c>
      <c r="E74" s="2">
        <f t="shared" si="8"/>
        <v>-0.13595210590718401</v>
      </c>
    </row>
    <row r="75" spans="2:5">
      <c r="B75" s="2">
        <v>1000</v>
      </c>
      <c r="C75" s="2">
        <f t="shared" si="6"/>
        <v>0.53912716423663665</v>
      </c>
      <c r="D75" s="2">
        <f t="shared" si="7"/>
        <v>1591.5494309189535</v>
      </c>
      <c r="E75" s="2">
        <f t="shared" si="8"/>
        <v>0.53912716423663842</v>
      </c>
    </row>
    <row r="76" spans="2:5">
      <c r="B76" s="2">
        <v>2000</v>
      </c>
      <c r="C76" s="2">
        <f t="shared" si="6"/>
        <v>3.8900535734468389</v>
      </c>
      <c r="D76" s="2">
        <f t="shared" si="7"/>
        <v>795.77471545947674</v>
      </c>
      <c r="E76" s="2">
        <f t="shared" si="8"/>
        <v>3.8900535734468376</v>
      </c>
    </row>
    <row r="77" spans="2:5">
      <c r="B77" s="2">
        <v>3000</v>
      </c>
      <c r="C77" s="2">
        <f t="shared" si="6"/>
        <v>4.9435909443963331</v>
      </c>
      <c r="D77" s="2">
        <f t="shared" si="7"/>
        <v>530.51647697298449</v>
      </c>
      <c r="E77" s="2">
        <f t="shared" si="8"/>
        <v>4.9435909443963348</v>
      </c>
    </row>
    <row r="78" spans="2:5">
      <c r="B78" s="2">
        <v>4000</v>
      </c>
      <c r="C78" s="2">
        <f t="shared" si="6"/>
        <v>5.382335548197771</v>
      </c>
      <c r="D78" s="2">
        <f t="shared" si="7"/>
        <v>397.88735772973837</v>
      </c>
      <c r="E78" s="2">
        <f t="shared" si="8"/>
        <v>5.3823355481977693</v>
      </c>
    </row>
    <row r="79" spans="2:5">
      <c r="B79" s="2">
        <v>5000</v>
      </c>
      <c r="C79" s="2">
        <f t="shared" si="6"/>
        <v>5.6014599847633342</v>
      </c>
      <c r="D79" s="2">
        <f t="shared" si="7"/>
        <v>318.30988618379064</v>
      </c>
      <c r="E79" s="2">
        <f t="shared" si="8"/>
        <v>5.6014599847633342</v>
      </c>
    </row>
    <row r="80" spans="2:5">
      <c r="B80" s="2">
        <v>6000</v>
      </c>
      <c r="C80" s="2">
        <f t="shared" ref="C80:C102" si="9">20*LOG($C$7*(B80/$C$12)/SQRT(1+(B80/$C$12)^2))</f>
        <v>5.7252933610705803</v>
      </c>
      <c r="D80" s="2">
        <f t="shared" ref="D80:D102" si="10">1/(2*PI()*B80*$C$4*0.000001)</f>
        <v>265.25823848649225</v>
      </c>
      <c r="E80" s="2">
        <f t="shared" ref="E80:E102" si="11">20*LOG(($C$3*1000/SQRT((($C$3*1000)^2+D80^2)))*(1+($C$5*1000)/($C$2*1000)))</f>
        <v>5.7252933610705803</v>
      </c>
    </row>
    <row r="81" spans="2:5">
      <c r="B81" s="2">
        <v>7000</v>
      </c>
      <c r="C81" s="2">
        <f t="shared" si="9"/>
        <v>5.8017039627357372</v>
      </c>
      <c r="D81" s="2">
        <f t="shared" si="10"/>
        <v>227.36420441699337</v>
      </c>
      <c r="E81" s="2">
        <f t="shared" si="11"/>
        <v>5.8017039627357363</v>
      </c>
    </row>
    <row r="82" spans="2:5">
      <c r="B82" s="2">
        <v>8000</v>
      </c>
      <c r="C82" s="2">
        <f t="shared" si="9"/>
        <v>5.8520266575393247</v>
      </c>
      <c r="D82" s="2">
        <f t="shared" si="10"/>
        <v>198.94367886486918</v>
      </c>
      <c r="E82" s="2">
        <f t="shared" si="11"/>
        <v>5.8520266575393247</v>
      </c>
    </row>
    <row r="83" spans="2:5">
      <c r="B83" s="2">
        <v>9000</v>
      </c>
      <c r="C83" s="2">
        <f t="shared" si="9"/>
        <v>5.8868677744412592</v>
      </c>
      <c r="D83" s="2">
        <f t="shared" si="10"/>
        <v>176.83882565766146</v>
      </c>
      <c r="E83" s="2">
        <f t="shared" si="11"/>
        <v>5.8868677744412592</v>
      </c>
    </row>
    <row r="84" spans="2:5">
      <c r="B84" s="2">
        <v>10000</v>
      </c>
      <c r="C84" s="2">
        <f t="shared" si="9"/>
        <v>5.9119620146364067</v>
      </c>
      <c r="D84" s="2">
        <f t="shared" si="10"/>
        <v>159.15494309189532</v>
      </c>
      <c r="E84" s="2">
        <f t="shared" si="11"/>
        <v>5.9119620146364067</v>
      </c>
    </row>
    <row r="85" spans="2:5">
      <c r="B85" s="2">
        <v>20000</v>
      </c>
      <c r="C85" s="2">
        <f t="shared" si="9"/>
        <v>5.9931846073314841</v>
      </c>
      <c r="D85" s="2">
        <f t="shared" si="10"/>
        <v>79.57747154594766</v>
      </c>
      <c r="E85" s="2">
        <f t="shared" si="11"/>
        <v>5.9931846073314841</v>
      </c>
    </row>
    <row r="86" spans="2:5">
      <c r="B86" s="2">
        <v>30000</v>
      </c>
      <c r="C86" s="2">
        <f t="shared" si="9"/>
        <v>6.0083939622100218</v>
      </c>
      <c r="D86" s="2">
        <f t="shared" si="10"/>
        <v>53.051647697298449</v>
      </c>
      <c r="E86" s="2">
        <f t="shared" si="11"/>
        <v>6.0083939622100218</v>
      </c>
    </row>
    <row r="87" spans="2:5">
      <c r="B87" s="2">
        <v>40000</v>
      </c>
      <c r="C87" s="2">
        <f t="shared" si="9"/>
        <v>6.0137298451608476</v>
      </c>
      <c r="D87" s="2">
        <f t="shared" si="10"/>
        <v>39.78873577297383</v>
      </c>
      <c r="E87" s="2">
        <f t="shared" si="11"/>
        <v>6.0137298451608476</v>
      </c>
    </row>
    <row r="88" spans="2:5">
      <c r="B88" s="2">
        <v>50000</v>
      </c>
      <c r="C88" s="2">
        <f t="shared" si="9"/>
        <v>6.016201817909125</v>
      </c>
      <c r="D88" s="2">
        <f t="shared" si="10"/>
        <v>31.830988618379067</v>
      </c>
      <c r="E88" s="2">
        <f t="shared" si="11"/>
        <v>6.016201817909125</v>
      </c>
    </row>
    <row r="89" spans="2:5">
      <c r="B89" s="2">
        <v>60000</v>
      </c>
      <c r="C89" s="2">
        <f t="shared" si="9"/>
        <v>6.0175452079010352</v>
      </c>
      <c r="D89" s="2">
        <f t="shared" si="10"/>
        <v>26.525823848649225</v>
      </c>
      <c r="E89" s="2">
        <f t="shared" si="11"/>
        <v>6.0175452079010334</v>
      </c>
    </row>
    <row r="90" spans="2:5">
      <c r="B90" s="2">
        <v>70000</v>
      </c>
      <c r="C90" s="2">
        <f t="shared" si="9"/>
        <v>6.0183554305626386</v>
      </c>
      <c r="D90" s="2">
        <f t="shared" si="10"/>
        <v>22.736420441699334</v>
      </c>
      <c r="E90" s="2">
        <f t="shared" si="11"/>
        <v>6.0183554305626386</v>
      </c>
    </row>
    <row r="91" spans="2:5">
      <c r="B91" s="2">
        <v>80000</v>
      </c>
      <c r="C91" s="2">
        <f t="shared" si="9"/>
        <v>6.0188813771341501</v>
      </c>
      <c r="D91" s="2">
        <f t="shared" si="10"/>
        <v>19.894367886486915</v>
      </c>
      <c r="E91" s="2">
        <f t="shared" si="11"/>
        <v>6.0188813771341501</v>
      </c>
    </row>
    <row r="92" spans="2:5">
      <c r="B92" s="2">
        <v>90000</v>
      </c>
      <c r="C92" s="2">
        <f t="shared" si="9"/>
        <v>6.0192420011792791</v>
      </c>
      <c r="D92" s="2">
        <f t="shared" si="10"/>
        <v>17.683882565766147</v>
      </c>
      <c r="E92" s="2">
        <f t="shared" si="11"/>
        <v>6.0192420011792782</v>
      </c>
    </row>
    <row r="93" spans="2:5">
      <c r="B93" s="2">
        <v>100000</v>
      </c>
      <c r="C93" s="2">
        <f t="shared" si="9"/>
        <v>6.0194999718090632</v>
      </c>
      <c r="D93" s="2">
        <f t="shared" si="10"/>
        <v>15.915494309189533</v>
      </c>
      <c r="E93" s="2">
        <f t="shared" si="11"/>
        <v>6.0194999718090649</v>
      </c>
    </row>
    <row r="94" spans="2:5">
      <c r="B94" s="2">
        <v>200000</v>
      </c>
      <c r="C94" s="2">
        <f t="shared" si="9"/>
        <v>6.0203249017937122</v>
      </c>
      <c r="D94" s="2">
        <f t="shared" si="10"/>
        <v>7.9577471545947667</v>
      </c>
      <c r="E94" s="2">
        <f t="shared" si="11"/>
        <v>6.0203249017937113</v>
      </c>
    </row>
    <row r="95" spans="2:5">
      <c r="B95" s="2">
        <v>300000</v>
      </c>
      <c r="C95" s="2">
        <f t="shared" si="9"/>
        <v>6.0204776838025769</v>
      </c>
      <c r="D95" s="2">
        <f t="shared" si="10"/>
        <v>5.3051647697298447</v>
      </c>
      <c r="E95" s="2">
        <f t="shared" si="11"/>
        <v>6.0204776838025769</v>
      </c>
    </row>
    <row r="96" spans="2:5">
      <c r="B96" s="2">
        <v>400000</v>
      </c>
      <c r="C96" s="2">
        <f t="shared" si="9"/>
        <v>6.0205311587754951</v>
      </c>
      <c r="D96" s="2">
        <f t="shared" si="10"/>
        <v>3.9788735772973833</v>
      </c>
      <c r="E96" s="2">
        <f t="shared" si="11"/>
        <v>6.0205311587754959</v>
      </c>
    </row>
    <row r="97" spans="2:5">
      <c r="B97" s="2">
        <v>500000</v>
      </c>
      <c r="C97" s="2">
        <f t="shared" si="9"/>
        <v>6.0205559102715895</v>
      </c>
      <c r="D97" s="2">
        <f t="shared" si="10"/>
        <v>3.1830988618379075</v>
      </c>
      <c r="E97" s="2">
        <f t="shared" si="11"/>
        <v>6.0205559102715887</v>
      </c>
    </row>
    <row r="98" spans="2:5">
      <c r="B98" s="2">
        <v>600000</v>
      </c>
      <c r="C98" s="2">
        <f t="shared" si="9"/>
        <v>6.0205693555878534</v>
      </c>
      <c r="D98" s="2">
        <f t="shared" si="10"/>
        <v>2.6525823848649224</v>
      </c>
      <c r="E98" s="2">
        <f t="shared" si="11"/>
        <v>6.0205693555878526</v>
      </c>
    </row>
    <row r="99" spans="2:5">
      <c r="B99" s="2">
        <v>700000</v>
      </c>
      <c r="C99" s="2">
        <f t="shared" si="9"/>
        <v>6.0205774627096131</v>
      </c>
      <c r="D99" s="2">
        <f t="shared" si="10"/>
        <v>2.2736420441699337</v>
      </c>
      <c r="E99" s="2">
        <f t="shared" si="11"/>
        <v>6.020577462709614</v>
      </c>
    </row>
    <row r="100" spans="2:5">
      <c r="B100" s="2">
        <v>800000</v>
      </c>
      <c r="C100" s="2">
        <f t="shared" si="9"/>
        <v>6.0205827245515469</v>
      </c>
      <c r="D100" s="2">
        <f t="shared" si="10"/>
        <v>1.9894367886486917</v>
      </c>
      <c r="E100" s="2">
        <f t="shared" si="11"/>
        <v>6.0205827245515477</v>
      </c>
    </row>
    <row r="101" spans="2:5">
      <c r="B101" s="2">
        <v>900000</v>
      </c>
      <c r="C101" s="2">
        <f t="shared" si="9"/>
        <v>6.0205863320567365</v>
      </c>
      <c r="D101" s="2">
        <f t="shared" si="10"/>
        <v>1.7683882565766149</v>
      </c>
      <c r="E101" s="2">
        <f t="shared" si="11"/>
        <v>6.0205863320567374</v>
      </c>
    </row>
    <row r="102" spans="2:5">
      <c r="B102" s="2">
        <v>1000000</v>
      </c>
      <c r="C102" s="2">
        <f t="shared" si="9"/>
        <v>6.0205889124858185</v>
      </c>
      <c r="D102" s="2">
        <f t="shared" si="10"/>
        <v>1.5915494309189537</v>
      </c>
      <c r="E102" s="2">
        <f t="shared" si="11"/>
        <v>6.0205889124858167</v>
      </c>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232BD-65FA-4547-A395-260FB330660F}">
  <dimension ref="B1:U102"/>
  <sheetViews>
    <sheetView zoomScale="85" zoomScaleNormal="85" workbookViewId="0">
      <selection activeCell="C2" sqref="C2"/>
    </sheetView>
  </sheetViews>
  <sheetFormatPr defaultColWidth="9.1796875" defaultRowHeight="14.5"/>
  <cols>
    <col min="1" max="1" width="5.1796875" style="2" customWidth="1"/>
    <col min="2" max="2" width="9.1796875" style="2"/>
    <col min="3" max="3" width="9.1796875" style="2" customWidth="1"/>
    <col min="4" max="4" width="13.1796875" style="2" bestFit="1" customWidth="1"/>
    <col min="5" max="5" width="11.81640625" style="2" customWidth="1"/>
    <col min="6" max="7" width="9.1796875" style="2"/>
    <col min="8" max="8" width="11" style="2" customWidth="1"/>
    <col min="9" max="16384" width="9.1796875" style="2"/>
  </cols>
  <sheetData>
    <row r="1" spans="2:21" ht="46.5" thickBot="1">
      <c r="B1" s="1" t="s">
        <v>101</v>
      </c>
    </row>
    <row r="2" spans="2:21" ht="15" thickBot="1">
      <c r="B2" s="2" t="s">
        <v>172</v>
      </c>
      <c r="C2" s="4">
        <v>1</v>
      </c>
      <c r="D2" s="2" t="s">
        <v>16</v>
      </c>
      <c r="H2" s="6" t="s">
        <v>36</v>
      </c>
    </row>
    <row r="3" spans="2:21" ht="15" thickBot="1">
      <c r="B3" s="2" t="s">
        <v>82</v>
      </c>
      <c r="C3" s="4">
        <v>0.1</v>
      </c>
      <c r="D3" s="2" t="s">
        <v>83</v>
      </c>
      <c r="H3" s="2" t="s">
        <v>9</v>
      </c>
      <c r="I3" s="4">
        <v>5</v>
      </c>
      <c r="J3" s="2" t="s">
        <v>18</v>
      </c>
    </row>
    <row r="4" spans="2:21" ht="15" thickBot="1">
      <c r="B4" s="2" t="s">
        <v>99</v>
      </c>
      <c r="C4" s="4">
        <v>1</v>
      </c>
      <c r="D4" s="2" t="s">
        <v>16</v>
      </c>
      <c r="H4" s="2" t="s">
        <v>10</v>
      </c>
      <c r="I4" s="5">
        <v>-5</v>
      </c>
      <c r="J4" s="2" t="s">
        <v>19</v>
      </c>
    </row>
    <row r="5" spans="2:21" ht="15" thickBot="1">
      <c r="B5" s="2" t="s">
        <v>0</v>
      </c>
      <c r="C5" s="3">
        <v>0</v>
      </c>
      <c r="D5" s="2" t="s">
        <v>17</v>
      </c>
      <c r="H5" s="2" t="s">
        <v>31</v>
      </c>
      <c r="I5" s="4">
        <v>1.2</v>
      </c>
      <c r="J5" s="2" t="s">
        <v>32</v>
      </c>
    </row>
    <row r="6" spans="2:21">
      <c r="B6" s="2" t="s">
        <v>1</v>
      </c>
      <c r="C6" s="3">
        <f>1+(C4/C2)</f>
        <v>2</v>
      </c>
      <c r="D6" s="2" t="s">
        <v>39</v>
      </c>
    </row>
    <row r="7" spans="2:21" ht="15" thickBot="1">
      <c r="B7" s="2" t="s">
        <v>97</v>
      </c>
      <c r="C7" s="3">
        <f>1/(2*PI()*C9*C3*0.000001)</f>
        <v>15915.494309189533</v>
      </c>
      <c r="D7" s="2" t="s">
        <v>219</v>
      </c>
      <c r="H7" s="6" t="s">
        <v>33</v>
      </c>
    </row>
    <row r="8" spans="2:21" ht="15" thickBot="1">
      <c r="B8" s="2" t="s">
        <v>25</v>
      </c>
      <c r="C8" s="4">
        <v>1</v>
      </c>
      <c r="D8" s="2" t="s">
        <v>38</v>
      </c>
      <c r="H8" s="6" t="s">
        <v>29</v>
      </c>
      <c r="I8" s="4">
        <v>1</v>
      </c>
      <c r="J8" s="2" t="s">
        <v>17</v>
      </c>
    </row>
    <row r="9" spans="2:21" ht="15" thickBot="1">
      <c r="B9" s="2" t="s">
        <v>84</v>
      </c>
      <c r="C9" s="4">
        <v>100</v>
      </c>
      <c r="D9" s="2" t="s">
        <v>80</v>
      </c>
      <c r="H9" s="6" t="s">
        <v>34</v>
      </c>
      <c r="I9" s="3">
        <f>IF($C$6*I8/SQRT(1+($C$9/$C$11)^2)&gt;($I$3-$I$5),($I$3-$I$5),IF($C$6*I8/SQRT(1+($C$9/$C$11)^2)&lt;($I$4+$I$5),($I$4+$I$5),$C$6*I8/SQRT(1+($C$9/$C$11)^2)))</f>
        <v>1.9960638090072895</v>
      </c>
      <c r="J9" s="2" t="s">
        <v>17</v>
      </c>
    </row>
    <row r="10" spans="2:21">
      <c r="B10" s="2" t="s">
        <v>87</v>
      </c>
      <c r="C10" s="3">
        <f>1/C9</f>
        <v>0.01</v>
      </c>
      <c r="D10" s="2" t="s">
        <v>86</v>
      </c>
    </row>
    <row r="11" spans="2:21" ht="15" thickBot="1">
      <c r="B11" s="2" t="s">
        <v>81</v>
      </c>
      <c r="C11" s="3">
        <f>1/(2*PI()*(C2*1000)*(C3*0.000001))</f>
        <v>1591.5494309189537</v>
      </c>
      <c r="D11" s="2" t="s">
        <v>80</v>
      </c>
      <c r="H11" s="6" t="s">
        <v>198</v>
      </c>
    </row>
    <row r="12" spans="2:21" ht="15" thickBot="1">
      <c r="B12" s="2" t="s">
        <v>89</v>
      </c>
      <c r="C12" s="4">
        <v>4</v>
      </c>
      <c r="D12" s="2" t="s">
        <v>90</v>
      </c>
      <c r="H12" s="17" t="s">
        <v>106</v>
      </c>
      <c r="I12" s="3">
        <f>1000*(C3*1000)*(C4*0.000001)</f>
        <v>9.9999999999999992E-2</v>
      </c>
      <c r="J12" s="2" t="s">
        <v>107</v>
      </c>
      <c r="U12" s="29"/>
    </row>
    <row r="13" spans="2:21">
      <c r="B13" s="2" t="s">
        <v>88</v>
      </c>
      <c r="C13" s="3">
        <f>C10*C12/25</f>
        <v>1.6000000000000001E-3</v>
      </c>
      <c r="D13" s="2" t="s">
        <v>86</v>
      </c>
      <c r="H13" s="17" t="s">
        <v>197</v>
      </c>
      <c r="I13" s="3">
        <f>1/(I12*0.001)</f>
        <v>10000</v>
      </c>
      <c r="J13" s="2" t="s">
        <v>80</v>
      </c>
    </row>
    <row r="16" spans="2:21">
      <c r="E16" s="6" t="s">
        <v>30</v>
      </c>
    </row>
    <row r="17" spans="2:15">
      <c r="B17" s="7" t="s">
        <v>85</v>
      </c>
      <c r="C17" s="7" t="s">
        <v>7</v>
      </c>
      <c r="D17" s="7" t="s">
        <v>3</v>
      </c>
      <c r="E17" s="7" t="s">
        <v>3</v>
      </c>
      <c r="F17" s="30" t="s">
        <v>232</v>
      </c>
    </row>
    <row r="18" spans="2:15">
      <c r="B18" s="2">
        <v>0</v>
      </c>
      <c r="C18" s="2">
        <f t="shared" ref="C18:C43" si="0">$C$8*SIN($B18*$C$9*2*PI())</f>
        <v>0</v>
      </c>
      <c r="D18" s="2">
        <f t="shared" ref="D18:D43" si="1">C18*(1+($C$4/$C$2)*(1+($C$9/$C$11)))</f>
        <v>0</v>
      </c>
      <c r="E18" s="2">
        <f>IF(D18&gt;($I$3-$I$5),($I$3-$I$5),IF(D18&lt;($I$4+$I$5),($I$4+$I$5),D18))</f>
        <v>0</v>
      </c>
      <c r="F18" s="30">
        <f t="shared" ref="F18:F43" si="2">C18*(1+($C$4*1000/($C$2*1000*$C$7/($C$2*1000+$C$7))))</f>
        <v>0</v>
      </c>
    </row>
    <row r="19" spans="2:15">
      <c r="B19" s="2">
        <f t="shared" ref="B19:B43" si="3">B18+$C$13</f>
        <v>1.6000000000000001E-3</v>
      </c>
      <c r="C19" s="2">
        <f t="shared" si="0"/>
        <v>0.84432792550201508</v>
      </c>
      <c r="D19" s="2">
        <f t="shared" si="1"/>
        <v>1.7417065391635871</v>
      </c>
      <c r="E19" s="2">
        <f t="shared" ref="E19:E43" si="4">IF(D19&gt;($I$3-$I$5),($I$3-$I$5),IF(D19&lt;($I$4+$I$5),($I$4+$I$5),D19))</f>
        <v>1.7417065391635871</v>
      </c>
      <c r="F19" s="30">
        <f t="shared" si="2"/>
        <v>1.7417065391635866</v>
      </c>
    </row>
    <row r="20" spans="2:15">
      <c r="B20" s="2">
        <f t="shared" si="3"/>
        <v>3.2000000000000002E-3</v>
      </c>
      <c r="C20" s="2">
        <f t="shared" si="0"/>
        <v>0.90482705246601947</v>
      </c>
      <c r="D20" s="2">
        <f t="shared" si="1"/>
        <v>1.8665060653479701</v>
      </c>
      <c r="E20" s="2">
        <f t="shared" si="4"/>
        <v>1.8665060653479701</v>
      </c>
      <c r="F20" s="30">
        <f t="shared" si="2"/>
        <v>1.8665060653479697</v>
      </c>
    </row>
    <row r="21" spans="2:15">
      <c r="B21" s="2">
        <f t="shared" si="3"/>
        <v>4.8000000000000004E-3</v>
      </c>
      <c r="C21" s="2">
        <f t="shared" si="0"/>
        <v>0.12533323356430409</v>
      </c>
      <c r="D21" s="2">
        <f t="shared" si="1"/>
        <v>0.25854138644493363</v>
      </c>
      <c r="E21" s="2">
        <f t="shared" si="4"/>
        <v>0.25854138644493363</v>
      </c>
      <c r="F21" s="30">
        <f t="shared" si="2"/>
        <v>0.25854138644493357</v>
      </c>
    </row>
    <row r="22" spans="2:15">
      <c r="B22" s="2">
        <f t="shared" si="3"/>
        <v>6.4000000000000003E-3</v>
      </c>
      <c r="C22" s="2">
        <f t="shared" si="0"/>
        <v>-0.77051324277578936</v>
      </c>
      <c r="D22" s="2">
        <f t="shared" si="1"/>
        <v>-1.5894392604115402</v>
      </c>
      <c r="E22" s="2">
        <f t="shared" si="4"/>
        <v>-1.5894392604115402</v>
      </c>
      <c r="F22" s="30">
        <f t="shared" si="2"/>
        <v>-1.5894392604115399</v>
      </c>
    </row>
    <row r="23" spans="2:15">
      <c r="B23" s="2">
        <f t="shared" si="3"/>
        <v>8.0000000000000002E-3</v>
      </c>
      <c r="C23" s="2">
        <f t="shared" si="0"/>
        <v>-0.95105651629515364</v>
      </c>
      <c r="D23" s="2">
        <f t="shared" si="1"/>
        <v>-1.9618696758851384</v>
      </c>
      <c r="E23" s="2">
        <f t="shared" si="4"/>
        <v>-1.9618696758851384</v>
      </c>
      <c r="F23" s="30">
        <f t="shared" si="2"/>
        <v>-1.9618696758851382</v>
      </c>
    </row>
    <row r="24" spans="2:15">
      <c r="B24" s="2">
        <f t="shared" si="3"/>
        <v>9.6000000000000009E-3</v>
      </c>
      <c r="C24" s="2">
        <f t="shared" si="0"/>
        <v>-0.24868988716485449</v>
      </c>
      <c r="D24" s="2">
        <f t="shared" si="1"/>
        <v>-0.5130054207804926</v>
      </c>
      <c r="E24" s="2">
        <f t="shared" si="4"/>
        <v>-0.5130054207804926</v>
      </c>
      <c r="F24" s="30">
        <f t="shared" si="2"/>
        <v>-0.51300542078049249</v>
      </c>
    </row>
    <row r="25" spans="2:15">
      <c r="B25" s="2">
        <f t="shared" si="3"/>
        <v>1.1200000000000002E-2</v>
      </c>
      <c r="C25" s="2">
        <f t="shared" si="0"/>
        <v>0.68454710592868928</v>
      </c>
      <c r="D25" s="2">
        <f t="shared" si="1"/>
        <v>1.4121055750378131</v>
      </c>
      <c r="E25" s="2">
        <f t="shared" si="4"/>
        <v>1.4121055750378131</v>
      </c>
      <c r="F25" s="30">
        <f t="shared" si="2"/>
        <v>1.4121055750378129</v>
      </c>
    </row>
    <row r="26" spans="2:15">
      <c r="B26" s="2">
        <f t="shared" si="3"/>
        <v>1.2800000000000002E-2</v>
      </c>
      <c r="C26" s="2">
        <f t="shared" si="0"/>
        <v>0.98228725072868861</v>
      </c>
      <c r="D26" s="2">
        <f t="shared" si="1"/>
        <v>2.0262934296694604</v>
      </c>
      <c r="E26" s="2">
        <f t="shared" si="4"/>
        <v>2.0262934296694604</v>
      </c>
      <c r="F26" s="30">
        <f t="shared" si="2"/>
        <v>2.0262934296694604</v>
      </c>
    </row>
    <row r="27" spans="2:15">
      <c r="B27" s="2">
        <f t="shared" si="3"/>
        <v>1.4400000000000003E-2</v>
      </c>
      <c r="C27" s="2">
        <f t="shared" si="0"/>
        <v>0.36812455268467631</v>
      </c>
      <c r="D27" s="2">
        <f t="shared" si="1"/>
        <v>0.75937905317575682</v>
      </c>
      <c r="E27" s="2">
        <f t="shared" si="4"/>
        <v>0.75937905317575682</v>
      </c>
      <c r="F27" s="30">
        <f t="shared" si="2"/>
        <v>0.7593790531757566</v>
      </c>
    </row>
    <row r="28" spans="2:15">
      <c r="B28" s="2">
        <f t="shared" si="3"/>
        <v>1.6000000000000004E-2</v>
      </c>
      <c r="C28" s="2">
        <f t="shared" si="0"/>
        <v>-0.58778525229247425</v>
      </c>
      <c r="D28" s="2">
        <f t="shared" si="1"/>
        <v>-1.2125021411947579</v>
      </c>
      <c r="E28" s="2">
        <f t="shared" si="4"/>
        <v>-1.2125021411947579</v>
      </c>
      <c r="F28" s="30">
        <f t="shared" si="2"/>
        <v>-1.2125021411947574</v>
      </c>
    </row>
    <row r="29" spans="2:15">
      <c r="B29" s="2">
        <f t="shared" si="3"/>
        <v>1.7600000000000005E-2</v>
      </c>
      <c r="C29" s="2">
        <f t="shared" si="0"/>
        <v>-0.99802672842827134</v>
      </c>
      <c r="D29" s="2">
        <f t="shared" si="1"/>
        <v>-2.0587613256188728</v>
      </c>
      <c r="E29" s="2">
        <f t="shared" si="4"/>
        <v>-2.0587613256188728</v>
      </c>
      <c r="F29" s="30">
        <f t="shared" si="2"/>
        <v>-2.0587613256188724</v>
      </c>
    </row>
    <row r="30" spans="2:15">
      <c r="B30" s="2">
        <f t="shared" si="3"/>
        <v>1.9200000000000005E-2</v>
      </c>
      <c r="C30" s="2">
        <f t="shared" si="0"/>
        <v>-0.48175367410171166</v>
      </c>
      <c r="D30" s="2">
        <f t="shared" si="1"/>
        <v>-0.99377682427137992</v>
      </c>
      <c r="E30" s="2">
        <f t="shared" si="4"/>
        <v>-0.99377682427137992</v>
      </c>
      <c r="F30" s="30">
        <f t="shared" si="2"/>
        <v>-0.9937768242713797</v>
      </c>
      <c r="O30" s="2" t="s">
        <v>222</v>
      </c>
    </row>
    <row r="31" spans="2:15">
      <c r="B31" s="2">
        <f t="shared" si="3"/>
        <v>2.0800000000000006E-2</v>
      </c>
      <c r="C31" s="2">
        <f t="shared" si="0"/>
        <v>0.48175367410171699</v>
      </c>
      <c r="D31" s="2">
        <f t="shared" si="1"/>
        <v>0.99377682427139091</v>
      </c>
      <c r="E31" s="2">
        <f t="shared" si="4"/>
        <v>0.99377682427139091</v>
      </c>
      <c r="F31" s="30">
        <f t="shared" si="2"/>
        <v>0.99377682427139069</v>
      </c>
    </row>
    <row r="32" spans="2:15">
      <c r="B32" s="2">
        <f t="shared" si="3"/>
        <v>2.2400000000000007E-2</v>
      </c>
      <c r="C32" s="2">
        <f t="shared" si="0"/>
        <v>0.99802672842827178</v>
      </c>
      <c r="D32" s="2">
        <f t="shared" si="1"/>
        <v>2.0587613256188741</v>
      </c>
      <c r="E32" s="2">
        <f t="shared" si="4"/>
        <v>2.0587613256188741</v>
      </c>
      <c r="F32" s="30">
        <f t="shared" si="2"/>
        <v>2.0587613256188737</v>
      </c>
      <c r="O32" s="31" t="s">
        <v>233</v>
      </c>
    </row>
    <row r="33" spans="2:11">
      <c r="B33" s="2">
        <f t="shared" si="3"/>
        <v>2.4000000000000007E-2</v>
      </c>
      <c r="C33" s="2">
        <f t="shared" si="0"/>
        <v>0.58778525229246925</v>
      </c>
      <c r="D33" s="2">
        <f t="shared" si="1"/>
        <v>1.2125021411947474</v>
      </c>
      <c r="E33" s="2">
        <f t="shared" si="4"/>
        <v>1.2125021411947474</v>
      </c>
      <c r="F33" s="30">
        <f t="shared" si="2"/>
        <v>1.2125021411947472</v>
      </c>
    </row>
    <row r="34" spans="2:11">
      <c r="B34" s="2">
        <f t="shared" si="3"/>
        <v>2.5600000000000008E-2</v>
      </c>
      <c r="C34" s="2">
        <f t="shared" si="0"/>
        <v>-0.36812455268468203</v>
      </c>
      <c r="D34" s="2">
        <f t="shared" si="1"/>
        <v>-0.75937905317576859</v>
      </c>
      <c r="E34" s="2">
        <f t="shared" si="4"/>
        <v>-0.75937905317576859</v>
      </c>
      <c r="F34" s="30">
        <f t="shared" si="2"/>
        <v>-0.75937905317576848</v>
      </c>
    </row>
    <row r="35" spans="2:11">
      <c r="B35" s="2">
        <f t="shared" si="3"/>
        <v>2.7200000000000009E-2</v>
      </c>
      <c r="C35" s="2">
        <f t="shared" si="0"/>
        <v>-0.98228725072868972</v>
      </c>
      <c r="D35" s="2">
        <f t="shared" si="1"/>
        <v>-2.026293429669463</v>
      </c>
      <c r="E35" s="2">
        <f t="shared" si="4"/>
        <v>-2.026293429669463</v>
      </c>
      <c r="F35" s="30">
        <f t="shared" si="2"/>
        <v>-2.0262934296694626</v>
      </c>
    </row>
    <row r="36" spans="2:11">
      <c r="B36" s="2">
        <f t="shared" si="3"/>
        <v>2.880000000000001E-2</v>
      </c>
      <c r="C36" s="2">
        <f t="shared" si="0"/>
        <v>-0.68454710592868606</v>
      </c>
      <c r="D36" s="2">
        <f t="shared" si="1"/>
        <v>-1.4121055750378064</v>
      </c>
      <c r="E36" s="2">
        <f t="shared" si="4"/>
        <v>-1.4121055750378064</v>
      </c>
      <c r="F36" s="30">
        <f t="shared" si="2"/>
        <v>-1.4121055750378062</v>
      </c>
    </row>
    <row r="37" spans="2:11">
      <c r="B37" s="2">
        <f t="shared" si="3"/>
        <v>3.040000000000001E-2</v>
      </c>
      <c r="C37" s="2">
        <f t="shared" si="0"/>
        <v>0.24868988716485957</v>
      </c>
      <c r="D37" s="2">
        <f t="shared" si="1"/>
        <v>0.51300542078050315</v>
      </c>
      <c r="E37" s="2">
        <f t="shared" si="4"/>
        <v>0.51300542078050315</v>
      </c>
      <c r="F37" s="30">
        <f t="shared" si="2"/>
        <v>0.51300542078050304</v>
      </c>
      <c r="H37" s="6" t="s">
        <v>65</v>
      </c>
    </row>
    <row r="38" spans="2:11">
      <c r="B38" s="2">
        <f t="shared" si="3"/>
        <v>3.2000000000000008E-2</v>
      </c>
      <c r="C38" s="2">
        <f t="shared" si="0"/>
        <v>0.95105651629515442</v>
      </c>
      <c r="D38" s="2">
        <f t="shared" si="1"/>
        <v>1.9618696758851402</v>
      </c>
      <c r="E38" s="2">
        <f t="shared" si="4"/>
        <v>1.9618696758851402</v>
      </c>
      <c r="F38" s="30">
        <f t="shared" si="2"/>
        <v>1.9618696758851397</v>
      </c>
      <c r="H38" s="12" t="s">
        <v>64</v>
      </c>
      <c r="I38" s="12">
        <f>I3</f>
        <v>5</v>
      </c>
      <c r="J38" s="12" t="s">
        <v>17</v>
      </c>
      <c r="K38" s="13" t="str">
        <f>TRIM(H38)&amp;"   "&amp;IF(I38&gt;0,"+","")&amp;TRIM(I38)&amp;" "&amp;TRIM(J38)</f>
        <v>V+:   +5 V</v>
      </c>
    </row>
    <row r="39" spans="2:11">
      <c r="B39" s="2">
        <f t="shared" si="3"/>
        <v>3.3600000000000005E-2</v>
      </c>
      <c r="C39" s="2">
        <f t="shared" si="0"/>
        <v>0.77051324277578881</v>
      </c>
      <c r="D39" s="2">
        <f t="shared" si="1"/>
        <v>1.589439260411539</v>
      </c>
      <c r="E39" s="2">
        <f t="shared" si="4"/>
        <v>1.589439260411539</v>
      </c>
      <c r="F39" s="30">
        <f t="shared" si="2"/>
        <v>1.5894392604115386</v>
      </c>
      <c r="H39" s="12" t="s">
        <v>66</v>
      </c>
      <c r="I39" s="12">
        <f>I4</f>
        <v>-5</v>
      </c>
      <c r="J39" s="12" t="s">
        <v>17</v>
      </c>
      <c r="K39" s="13" t="str">
        <f t="shared" ref="K39:K40" si="5">TRIM(H39)&amp;"   "&amp;IF(I39&gt;0,"+","")&amp;TRIM(I39)&amp;" "&amp;TRIM(J39)</f>
        <v>V-:   -5 V</v>
      </c>
    </row>
    <row r="40" spans="2:11">
      <c r="B40" s="2">
        <f t="shared" si="3"/>
        <v>3.5200000000000002E-2</v>
      </c>
      <c r="C40" s="2">
        <f t="shared" si="0"/>
        <v>-0.12533323356430268</v>
      </c>
      <c r="D40" s="2">
        <f t="shared" si="1"/>
        <v>-0.25854138644493069</v>
      </c>
      <c r="E40" s="2">
        <f t="shared" si="4"/>
        <v>-0.25854138644493069</v>
      </c>
      <c r="F40" s="30">
        <f t="shared" si="2"/>
        <v>-0.25854138644493063</v>
      </c>
      <c r="H40" s="12" t="s">
        <v>29</v>
      </c>
      <c r="I40" s="12">
        <f>I8</f>
        <v>1</v>
      </c>
      <c r="J40" s="12" t="s">
        <v>17</v>
      </c>
      <c r="K40" s="13" t="str">
        <f t="shared" si="5"/>
        <v>Vin:   +1 V</v>
      </c>
    </row>
    <row r="41" spans="2:11">
      <c r="B41" s="2">
        <f t="shared" si="3"/>
        <v>3.6799999999999999E-2</v>
      </c>
      <c r="C41" s="2">
        <f t="shared" si="0"/>
        <v>-0.90482705246601791</v>
      </c>
      <c r="D41" s="2">
        <f t="shared" si="1"/>
        <v>-1.8665060653479668</v>
      </c>
      <c r="E41" s="2">
        <f t="shared" si="4"/>
        <v>-1.8665060653479668</v>
      </c>
      <c r="F41" s="30">
        <f t="shared" si="2"/>
        <v>-1.8665060653479664</v>
      </c>
      <c r="H41" s="12" t="s">
        <v>67</v>
      </c>
      <c r="I41" s="12">
        <f>C2</f>
        <v>1</v>
      </c>
      <c r="J41" s="12" t="s">
        <v>16</v>
      </c>
      <c r="K41" s="13" t="str">
        <f>TRIM(H41)&amp;"   "&amp;TRIM(I41)&amp;" "&amp;TRIM(J41)</f>
        <v>R1:   1 K</v>
      </c>
    </row>
    <row r="42" spans="2:11">
      <c r="B42" s="2">
        <f t="shared" si="3"/>
        <v>3.8399999999999997E-2</v>
      </c>
      <c r="C42" s="2">
        <f t="shared" si="0"/>
        <v>-0.8443279255020163</v>
      </c>
      <c r="D42" s="2">
        <f t="shared" si="1"/>
        <v>-1.7417065391635895</v>
      </c>
      <c r="E42" s="2">
        <f t="shared" si="4"/>
        <v>-1.7417065391635895</v>
      </c>
      <c r="F42" s="30">
        <f t="shared" si="2"/>
        <v>-1.7417065391635891</v>
      </c>
      <c r="H42" s="12" t="s">
        <v>102</v>
      </c>
      <c r="I42" s="12">
        <f>C3</f>
        <v>0.1</v>
      </c>
      <c r="J42" s="12" t="s">
        <v>83</v>
      </c>
      <c r="K42" s="13" t="str">
        <f>TRIM(H42)&amp;"   "&amp;TRIM(I42)&amp;" "&amp;TRIM(J42)</f>
        <v>C1:   0.1 uF</v>
      </c>
    </row>
    <row r="43" spans="2:11">
      <c r="B43" s="2">
        <f t="shared" si="3"/>
        <v>3.9999999999999994E-2</v>
      </c>
      <c r="C43" s="2">
        <f t="shared" si="0"/>
        <v>-4.5328324427273969E-15</v>
      </c>
      <c r="D43" s="2">
        <f t="shared" si="1"/>
        <v>-9.3504711474953111E-15</v>
      </c>
      <c r="E43" s="2">
        <f t="shared" si="4"/>
        <v>-9.3504711474953111E-15</v>
      </c>
      <c r="F43" s="30">
        <f t="shared" si="2"/>
        <v>-9.3504711474953095E-15</v>
      </c>
      <c r="H43" s="12" t="s">
        <v>103</v>
      </c>
      <c r="I43" s="12">
        <f>ROUND(C9,0)</f>
        <v>100</v>
      </c>
      <c r="J43" s="12" t="s">
        <v>80</v>
      </c>
      <c r="K43" s="13" t="str">
        <f>TRIM(H43)&amp;"   "&amp;TRIM(I43)&amp;" "&amp;TRIM(J43)</f>
        <v>f,signal:   100 Hz</v>
      </c>
    </row>
    <row r="45" spans="2:11">
      <c r="B45" s="6" t="s">
        <v>92</v>
      </c>
    </row>
    <row r="46" spans="2:11" ht="15.5">
      <c r="B46" s="14"/>
      <c r="C46" s="2" t="s">
        <v>95</v>
      </c>
    </row>
    <row r="47" spans="2:11">
      <c r="B47" s="7" t="s">
        <v>93</v>
      </c>
      <c r="C47" s="7" t="s">
        <v>94</v>
      </c>
      <c r="D47" s="7" t="s">
        <v>97</v>
      </c>
      <c r="E47" s="7" t="s">
        <v>225</v>
      </c>
    </row>
    <row r="48" spans="2:11">
      <c r="B48" s="2">
        <v>1</v>
      </c>
      <c r="C48" s="2">
        <f t="shared" ref="C48:C79" si="6">20*LOG((1+($C$4/$C$2)*(1+(B48/$C$11))))</f>
        <v>6.0233282374455861</v>
      </c>
      <c r="D48" s="2">
        <f t="shared" ref="D48:D79" si="7">1/(2*PI()*B48*$C$3*0.000001)</f>
        <v>1591549.4309189534</v>
      </c>
      <c r="E48" s="2">
        <f t="shared" ref="E48:E79" si="8">20*LOG((1+($C$4*1000/($C$2*1000*$D48/($C$2*1000+$D48)))))</f>
        <v>6.0233282374455861</v>
      </c>
    </row>
    <row r="49" spans="2:5">
      <c r="B49" s="2">
        <v>2</v>
      </c>
      <c r="C49" s="2">
        <f t="shared" si="6"/>
        <v>6.0260557048869412</v>
      </c>
      <c r="D49" s="2">
        <f t="shared" si="7"/>
        <v>795774.71545947669</v>
      </c>
      <c r="E49" s="2">
        <f t="shared" si="8"/>
        <v>6.0260557048869394</v>
      </c>
    </row>
    <row r="50" spans="2:5">
      <c r="B50" s="2">
        <v>3</v>
      </c>
      <c r="C50" s="2">
        <f t="shared" si="6"/>
        <v>6.0287823161415597</v>
      </c>
      <c r="D50" s="2">
        <f t="shared" si="7"/>
        <v>530516.4769729845</v>
      </c>
      <c r="E50" s="2">
        <f t="shared" si="8"/>
        <v>6.0287823161415597</v>
      </c>
    </row>
    <row r="51" spans="2:5">
      <c r="B51" s="2">
        <v>4</v>
      </c>
      <c r="C51" s="2">
        <f t="shared" si="6"/>
        <v>6.0315080717468126</v>
      </c>
      <c r="D51" s="2">
        <f t="shared" si="7"/>
        <v>397887.35772973835</v>
      </c>
      <c r="E51" s="2">
        <f t="shared" si="8"/>
        <v>6.0315080717468126</v>
      </c>
    </row>
    <row r="52" spans="2:5">
      <c r="B52" s="2">
        <v>5</v>
      </c>
      <c r="C52" s="2">
        <f t="shared" si="6"/>
        <v>6.0342329722395593</v>
      </c>
      <c r="D52" s="2">
        <f t="shared" si="7"/>
        <v>318309.88618379069</v>
      </c>
      <c r="E52" s="2">
        <f t="shared" si="8"/>
        <v>6.0342329722395593</v>
      </c>
    </row>
    <row r="53" spans="2:5">
      <c r="B53" s="2">
        <v>6</v>
      </c>
      <c r="C53" s="2">
        <f t="shared" si="6"/>
        <v>6.0369570181561567</v>
      </c>
      <c r="D53" s="2">
        <f t="shared" si="7"/>
        <v>265258.23848649225</v>
      </c>
      <c r="E53" s="2">
        <f t="shared" si="8"/>
        <v>6.0369570181561567</v>
      </c>
    </row>
    <row r="54" spans="2:5">
      <c r="B54" s="2">
        <v>7</v>
      </c>
      <c r="C54" s="2">
        <f t="shared" si="6"/>
        <v>6.0396802100324578</v>
      </c>
      <c r="D54" s="2">
        <f t="shared" si="7"/>
        <v>227364.20441699337</v>
      </c>
      <c r="E54" s="2">
        <f t="shared" si="8"/>
        <v>6.0396802100324578</v>
      </c>
    </row>
    <row r="55" spans="2:5">
      <c r="B55" s="2">
        <v>8</v>
      </c>
      <c r="C55" s="2">
        <f t="shared" si="6"/>
        <v>6.0424025484038086</v>
      </c>
      <c r="D55" s="2">
        <f t="shared" si="7"/>
        <v>198943.67886486917</v>
      </c>
      <c r="E55" s="2">
        <f t="shared" si="8"/>
        <v>6.0424025484038086</v>
      </c>
    </row>
    <row r="56" spans="2:5">
      <c r="B56" s="2">
        <v>9</v>
      </c>
      <c r="C56" s="2">
        <f t="shared" si="6"/>
        <v>6.0451240338050525</v>
      </c>
      <c r="D56" s="2">
        <f t="shared" si="7"/>
        <v>176838.82565766151</v>
      </c>
      <c r="E56" s="2">
        <f t="shared" si="8"/>
        <v>6.0451240338050551</v>
      </c>
    </row>
    <row r="57" spans="2:5">
      <c r="B57" s="2">
        <v>10</v>
      </c>
      <c r="C57" s="2">
        <f t="shared" si="6"/>
        <v>6.047844666770537</v>
      </c>
      <c r="D57" s="2">
        <f t="shared" si="7"/>
        <v>159154.94309189534</v>
      </c>
      <c r="E57" s="2">
        <f t="shared" si="8"/>
        <v>6.047844666770537</v>
      </c>
    </row>
    <row r="58" spans="2:5">
      <c r="B58" s="2">
        <v>20</v>
      </c>
      <c r="C58" s="2">
        <f t="shared" si="6"/>
        <v>6.0750042296556108</v>
      </c>
      <c r="D58" s="2">
        <f t="shared" si="7"/>
        <v>79577.471545947672</v>
      </c>
      <c r="E58" s="2">
        <f t="shared" si="8"/>
        <v>6.0750042296556108</v>
      </c>
    </row>
    <row r="59" spans="2:5">
      <c r="B59" s="2">
        <v>30</v>
      </c>
      <c r="C59" s="2">
        <f t="shared" si="6"/>
        <v>6.1020791330332749</v>
      </c>
      <c r="D59" s="2">
        <f t="shared" si="7"/>
        <v>53051.647697298446</v>
      </c>
      <c r="E59" s="2">
        <f t="shared" si="8"/>
        <v>6.1020791330332749</v>
      </c>
    </row>
    <row r="60" spans="2:5">
      <c r="B60" s="2">
        <v>40</v>
      </c>
      <c r="C60" s="2">
        <f t="shared" si="6"/>
        <v>6.1290699030509019</v>
      </c>
      <c r="D60" s="2">
        <f t="shared" si="7"/>
        <v>39788.735772973836</v>
      </c>
      <c r="E60" s="2">
        <f t="shared" si="8"/>
        <v>6.1290699030509019</v>
      </c>
    </row>
    <row r="61" spans="2:5">
      <c r="B61" s="2">
        <v>50</v>
      </c>
      <c r="C61" s="2">
        <f t="shared" si="6"/>
        <v>6.1559770609661442</v>
      </c>
      <c r="D61" s="2">
        <f t="shared" si="7"/>
        <v>31830.988618379066</v>
      </c>
      <c r="E61" s="2">
        <f t="shared" si="8"/>
        <v>6.1559770609661442</v>
      </c>
    </row>
    <row r="62" spans="2:5">
      <c r="B62" s="2">
        <v>60</v>
      </c>
      <c r="C62" s="2">
        <f t="shared" si="6"/>
        <v>6.182801123207355</v>
      </c>
      <c r="D62" s="2">
        <f t="shared" si="7"/>
        <v>26525.823848649223</v>
      </c>
      <c r="E62" s="2">
        <f t="shared" si="8"/>
        <v>6.1828011232073541</v>
      </c>
    </row>
    <row r="63" spans="2:5">
      <c r="B63" s="2">
        <v>70</v>
      </c>
      <c r="C63" s="2">
        <f t="shared" si="6"/>
        <v>6.2095426014330428</v>
      </c>
      <c r="D63" s="2">
        <f t="shared" si="7"/>
        <v>22736.420441699334</v>
      </c>
      <c r="E63" s="2">
        <f t="shared" si="8"/>
        <v>6.2095426014330428</v>
      </c>
    </row>
    <row r="64" spans="2:5">
      <c r="B64" s="2">
        <v>80</v>
      </c>
      <c r="C64" s="2">
        <f t="shared" si="6"/>
        <v>6.2362020025904439</v>
      </c>
      <c r="D64" s="2">
        <f t="shared" si="7"/>
        <v>19894.367886486918</v>
      </c>
      <c r="E64" s="2">
        <f t="shared" si="8"/>
        <v>6.2362020025904439</v>
      </c>
    </row>
    <row r="65" spans="2:5">
      <c r="B65" s="2">
        <v>90</v>
      </c>
      <c r="C65" s="2">
        <f t="shared" si="6"/>
        <v>6.2627798289731835</v>
      </c>
      <c r="D65" s="2">
        <f t="shared" si="7"/>
        <v>17683.882565766147</v>
      </c>
      <c r="E65" s="2">
        <f t="shared" si="8"/>
        <v>6.2627798289731835</v>
      </c>
    </row>
    <row r="66" spans="2:5">
      <c r="B66" s="2">
        <v>100</v>
      </c>
      <c r="C66" s="2">
        <f t="shared" si="6"/>
        <v>6.2892765782780575</v>
      </c>
      <c r="D66" s="2">
        <f t="shared" si="7"/>
        <v>15915.494309189533</v>
      </c>
      <c r="E66" s="2">
        <f t="shared" si="8"/>
        <v>6.2892765782780566</v>
      </c>
    </row>
    <row r="67" spans="2:5">
      <c r="B67" s="2">
        <v>200</v>
      </c>
      <c r="C67" s="2">
        <f t="shared" si="6"/>
        <v>6.5498911480672648</v>
      </c>
      <c r="D67" s="2">
        <f t="shared" si="7"/>
        <v>7957.7471545947665</v>
      </c>
      <c r="E67" s="2">
        <f t="shared" si="8"/>
        <v>6.5498911480672648</v>
      </c>
    </row>
    <row r="68" spans="2:5">
      <c r="B68" s="2">
        <v>300</v>
      </c>
      <c r="C68" s="2">
        <f t="shared" si="6"/>
        <v>6.8029133940321493</v>
      </c>
      <c r="D68" s="2">
        <f t="shared" si="7"/>
        <v>5305.1647697298449</v>
      </c>
      <c r="E68" s="2">
        <f t="shared" si="8"/>
        <v>6.8029133940321493</v>
      </c>
    </row>
    <row r="69" spans="2:5">
      <c r="B69" s="2">
        <v>400</v>
      </c>
      <c r="C69" s="2">
        <f t="shared" si="6"/>
        <v>7.048773187522487</v>
      </c>
      <c r="D69" s="2">
        <f t="shared" si="7"/>
        <v>3978.8735772973832</v>
      </c>
      <c r="E69" s="2">
        <f t="shared" si="8"/>
        <v>7.048773187522487</v>
      </c>
    </row>
    <row r="70" spans="2:5">
      <c r="B70" s="2">
        <v>500</v>
      </c>
      <c r="C70" s="2">
        <f t="shared" si="6"/>
        <v>7.2878648942710686</v>
      </c>
      <c r="D70" s="2">
        <f t="shared" si="7"/>
        <v>3183.098861837907</v>
      </c>
      <c r="E70" s="2">
        <f t="shared" si="8"/>
        <v>7.2878648942710686</v>
      </c>
    </row>
    <row r="71" spans="2:5">
      <c r="B71" s="2">
        <v>600</v>
      </c>
      <c r="C71" s="2">
        <f t="shared" si="6"/>
        <v>7.5205511800098712</v>
      </c>
      <c r="D71" s="2">
        <f t="shared" si="7"/>
        <v>2652.5823848649225</v>
      </c>
      <c r="E71" s="2">
        <f t="shared" si="8"/>
        <v>7.5205511800098721</v>
      </c>
    </row>
    <row r="72" spans="2:5">
      <c r="B72" s="2">
        <v>700</v>
      </c>
      <c r="C72" s="2">
        <f t="shared" si="6"/>
        <v>7.747166319489974</v>
      </c>
      <c r="D72" s="2">
        <f t="shared" si="7"/>
        <v>2273.6420441699333</v>
      </c>
      <c r="E72" s="2">
        <f t="shared" si="8"/>
        <v>7.747166319489974</v>
      </c>
    </row>
    <row r="73" spans="2:5">
      <c r="B73" s="2">
        <v>800</v>
      </c>
      <c r="C73" s="2">
        <f t="shared" si="6"/>
        <v>7.9680190846927568</v>
      </c>
      <c r="D73" s="2">
        <f t="shared" si="7"/>
        <v>1989.4367886486916</v>
      </c>
      <c r="E73" s="2">
        <f t="shared" si="8"/>
        <v>7.9680190846927568</v>
      </c>
    </row>
    <row r="74" spans="2:5">
      <c r="B74" s="2">
        <v>900</v>
      </c>
      <c r="C74" s="2">
        <f t="shared" si="6"/>
        <v>8.1833952748599934</v>
      </c>
      <c r="D74" s="2">
        <f t="shared" si="7"/>
        <v>1768.388256576615</v>
      </c>
      <c r="E74" s="2">
        <f t="shared" si="8"/>
        <v>8.1833952748599952</v>
      </c>
    </row>
    <row r="75" spans="2:5">
      <c r="B75" s="2">
        <v>1000</v>
      </c>
      <c r="C75" s="2">
        <f t="shared" si="6"/>
        <v>8.3935599403589976</v>
      </c>
      <c r="D75" s="2">
        <f t="shared" si="7"/>
        <v>1591.5494309189535</v>
      </c>
      <c r="E75" s="2">
        <f t="shared" si="8"/>
        <v>8.3935599403589976</v>
      </c>
    </row>
    <row r="76" spans="2:5">
      <c r="B76" s="2">
        <v>2000</v>
      </c>
      <c r="C76" s="2">
        <f t="shared" si="6"/>
        <v>10.255387219203556</v>
      </c>
      <c r="D76" s="2">
        <f t="shared" si="7"/>
        <v>795.77471545947674</v>
      </c>
      <c r="E76" s="2">
        <f t="shared" si="8"/>
        <v>10.255387219203556</v>
      </c>
    </row>
    <row r="77" spans="2:5">
      <c r="B77" s="2">
        <v>3000</v>
      </c>
      <c r="C77" s="2">
        <f t="shared" si="6"/>
        <v>11.78772117731909</v>
      </c>
      <c r="D77" s="2">
        <f t="shared" si="7"/>
        <v>530.51647697298449</v>
      </c>
      <c r="E77" s="2">
        <f t="shared" si="8"/>
        <v>11.787721177319092</v>
      </c>
    </row>
    <row r="78" spans="2:5">
      <c r="B78" s="2">
        <v>4000</v>
      </c>
      <c r="C78" s="2">
        <f t="shared" si="6"/>
        <v>13.089834241575771</v>
      </c>
      <c r="D78" s="2">
        <f t="shared" si="7"/>
        <v>397.88735772973837</v>
      </c>
      <c r="E78" s="2">
        <f t="shared" si="8"/>
        <v>13.089834241575771</v>
      </c>
    </row>
    <row r="79" spans="2:5">
      <c r="B79" s="2">
        <v>5000</v>
      </c>
      <c r="C79" s="2">
        <f t="shared" si="6"/>
        <v>14.221953327483256</v>
      </c>
      <c r="D79" s="2">
        <f t="shared" si="7"/>
        <v>318.30988618379064</v>
      </c>
      <c r="E79" s="2">
        <f t="shared" si="8"/>
        <v>14.221953327483259</v>
      </c>
    </row>
    <row r="80" spans="2:5">
      <c r="B80" s="2">
        <v>6000</v>
      </c>
      <c r="C80" s="2">
        <f t="shared" ref="C80:C102" si="9">20*LOG((1+($C$4/$C$2)*(1+(B80/$C$11))))</f>
        <v>15.22338256307332</v>
      </c>
      <c r="D80" s="2">
        <f t="shared" ref="D80:D102" si="10">1/(2*PI()*B80*$C$3*0.000001)</f>
        <v>265.25823848649225</v>
      </c>
      <c r="E80" s="2">
        <f t="shared" ref="E80:E102" si="11">20*LOG((1+($C$4*1000/($C$2*1000*$D80/($C$2*1000+$D80)))))</f>
        <v>15.223382563073322</v>
      </c>
    </row>
    <row r="81" spans="2:5">
      <c r="B81" s="2">
        <v>7000</v>
      </c>
      <c r="C81" s="2">
        <f t="shared" si="9"/>
        <v>16.121196569219801</v>
      </c>
      <c r="D81" s="2">
        <f t="shared" si="10"/>
        <v>227.36420441699337</v>
      </c>
      <c r="E81" s="2">
        <f t="shared" si="11"/>
        <v>16.121196569219801</v>
      </c>
    </row>
    <row r="82" spans="2:5">
      <c r="B82" s="2">
        <v>8000</v>
      </c>
      <c r="C82" s="2">
        <f t="shared" si="9"/>
        <v>16.934840651255321</v>
      </c>
      <c r="D82" s="2">
        <f t="shared" si="10"/>
        <v>198.94367886486918</v>
      </c>
      <c r="E82" s="2">
        <f t="shared" si="11"/>
        <v>16.934840651255321</v>
      </c>
    </row>
    <row r="83" spans="2:5">
      <c r="B83" s="2">
        <v>9000</v>
      </c>
      <c r="C83" s="2">
        <f t="shared" si="9"/>
        <v>17.678752734778222</v>
      </c>
      <c r="D83" s="2">
        <f t="shared" si="10"/>
        <v>176.83882565766146</v>
      </c>
      <c r="E83" s="2">
        <f t="shared" si="11"/>
        <v>17.678752734778222</v>
      </c>
    </row>
    <row r="84" spans="2:5">
      <c r="B84" s="2">
        <v>10000</v>
      </c>
      <c r="C84" s="2">
        <f t="shared" si="9"/>
        <v>18.363947545626754</v>
      </c>
      <c r="D84" s="2">
        <f t="shared" si="10"/>
        <v>159.15494309189532</v>
      </c>
      <c r="E84" s="2">
        <f t="shared" si="11"/>
        <v>18.363947545626758</v>
      </c>
    </row>
    <row r="85" spans="2:5">
      <c r="B85" s="2">
        <v>20000</v>
      </c>
      <c r="C85" s="2">
        <f t="shared" si="9"/>
        <v>23.267027111573427</v>
      </c>
      <c r="D85" s="2">
        <f t="shared" si="10"/>
        <v>79.57747154594766</v>
      </c>
      <c r="E85" s="2">
        <f t="shared" si="11"/>
        <v>23.267027111573427</v>
      </c>
    </row>
    <row r="86" spans="2:5">
      <c r="B86" s="2">
        <v>30000</v>
      </c>
      <c r="C86" s="2">
        <f t="shared" si="9"/>
        <v>26.381936185831858</v>
      </c>
      <c r="D86" s="2">
        <f t="shared" si="10"/>
        <v>53.051647697298449</v>
      </c>
      <c r="E86" s="2">
        <f t="shared" si="11"/>
        <v>26.381936185831858</v>
      </c>
    </row>
    <row r="87" spans="2:5">
      <c r="B87" s="2">
        <v>40000</v>
      </c>
      <c r="C87" s="2">
        <f t="shared" si="9"/>
        <v>28.669873457514029</v>
      </c>
      <c r="D87" s="2">
        <f t="shared" si="10"/>
        <v>39.78873577297383</v>
      </c>
      <c r="E87" s="2">
        <f t="shared" si="11"/>
        <v>28.669873457514029</v>
      </c>
    </row>
    <row r="88" spans="2:5">
      <c r="B88" s="2">
        <v>50000</v>
      </c>
      <c r="C88" s="2">
        <f t="shared" si="9"/>
        <v>30.479070149445086</v>
      </c>
      <c r="D88" s="2">
        <f t="shared" si="10"/>
        <v>31.830988618379067</v>
      </c>
      <c r="E88" s="2">
        <f t="shared" si="11"/>
        <v>30.479070149445093</v>
      </c>
    </row>
    <row r="89" spans="2:5">
      <c r="B89" s="2">
        <v>60000</v>
      </c>
      <c r="C89" s="2">
        <f t="shared" si="9"/>
        <v>31.975615814876814</v>
      </c>
      <c r="D89" s="2">
        <f t="shared" si="10"/>
        <v>26.525823848649225</v>
      </c>
      <c r="E89" s="2">
        <f t="shared" si="11"/>
        <v>31.975615814876814</v>
      </c>
    </row>
    <row r="90" spans="2:5">
      <c r="B90" s="2">
        <v>70000</v>
      </c>
      <c r="C90" s="2">
        <f t="shared" si="9"/>
        <v>33.251813272880369</v>
      </c>
      <c r="D90" s="2">
        <f t="shared" si="10"/>
        <v>22.736420441699334</v>
      </c>
      <c r="E90" s="2">
        <f t="shared" si="11"/>
        <v>33.251813272880369</v>
      </c>
    </row>
    <row r="91" spans="2:5">
      <c r="B91" s="2">
        <v>80000</v>
      </c>
      <c r="C91" s="2">
        <f t="shared" si="9"/>
        <v>34.364299273585232</v>
      </c>
      <c r="D91" s="2">
        <f t="shared" si="10"/>
        <v>19.894367886486915</v>
      </c>
      <c r="E91" s="2">
        <f t="shared" si="11"/>
        <v>34.364299273585232</v>
      </c>
    </row>
    <row r="92" spans="2:5">
      <c r="B92" s="2">
        <v>90000</v>
      </c>
      <c r="C92" s="2">
        <f t="shared" si="9"/>
        <v>35.350340348865053</v>
      </c>
      <c r="D92" s="2">
        <f t="shared" si="10"/>
        <v>17.683882565766147</v>
      </c>
      <c r="E92" s="2">
        <f t="shared" si="11"/>
        <v>35.350340348865053</v>
      </c>
    </row>
    <row r="93" spans="2:5">
      <c r="B93" s="2">
        <v>100000</v>
      </c>
      <c r="C93" s="2">
        <f t="shared" si="9"/>
        <v>36.235768702104046</v>
      </c>
      <c r="D93" s="2">
        <f t="shared" si="10"/>
        <v>15.915494309189533</v>
      </c>
      <c r="E93" s="2">
        <f t="shared" si="11"/>
        <v>36.235768702104053</v>
      </c>
    </row>
    <row r="94" spans="2:5">
      <c r="B94" s="2">
        <v>200000</v>
      </c>
      <c r="C94" s="2">
        <f t="shared" si="9"/>
        <v>42.121348961416331</v>
      </c>
      <c r="D94" s="2">
        <f t="shared" si="10"/>
        <v>7.9577471545947667</v>
      </c>
      <c r="E94" s="2">
        <f t="shared" si="11"/>
        <v>42.121348961416331</v>
      </c>
    </row>
    <row r="95" spans="2:5">
      <c r="B95" s="2">
        <v>300000</v>
      </c>
      <c r="C95" s="2">
        <f t="shared" si="9"/>
        <v>45.597697119316017</v>
      </c>
      <c r="D95" s="2">
        <f t="shared" si="10"/>
        <v>5.3051647697298447</v>
      </c>
      <c r="E95" s="2">
        <f t="shared" si="11"/>
        <v>45.597697119316024</v>
      </c>
    </row>
    <row r="96" spans="2:5">
      <c r="B96" s="2">
        <v>400000</v>
      </c>
      <c r="C96" s="2">
        <f t="shared" si="9"/>
        <v>48.073643737455086</v>
      </c>
      <c r="D96" s="2">
        <f t="shared" si="10"/>
        <v>3.9788735772973833</v>
      </c>
      <c r="E96" s="2">
        <f t="shared" si="11"/>
        <v>48.0736437374551</v>
      </c>
    </row>
    <row r="97" spans="2:5">
      <c r="B97" s="2">
        <v>500000</v>
      </c>
      <c r="C97" s="2">
        <f t="shared" si="9"/>
        <v>49.998118275274159</v>
      </c>
      <c r="D97" s="2">
        <f t="shared" si="10"/>
        <v>3.1830988618379075</v>
      </c>
      <c r="E97" s="2">
        <f t="shared" si="11"/>
        <v>49.998118275274159</v>
      </c>
    </row>
    <row r="98" spans="2:5">
      <c r="B98" s="2">
        <v>600000</v>
      </c>
      <c r="C98" s="2">
        <f t="shared" si="9"/>
        <v>51.572580649931304</v>
      </c>
      <c r="D98" s="2">
        <f t="shared" si="10"/>
        <v>2.6525823848649224</v>
      </c>
      <c r="E98" s="2">
        <f t="shared" si="11"/>
        <v>51.572580649931304</v>
      </c>
    </row>
    <row r="99" spans="2:5">
      <c r="B99" s="2">
        <v>700000</v>
      </c>
      <c r="C99" s="2">
        <f t="shared" si="9"/>
        <v>52.904965843992791</v>
      </c>
      <c r="D99" s="2">
        <f t="shared" si="10"/>
        <v>2.2736420441699337</v>
      </c>
      <c r="E99" s="2">
        <f t="shared" si="11"/>
        <v>52.904965843992791</v>
      </c>
    </row>
    <row r="100" spans="2:5">
      <c r="B100" s="2">
        <v>800000</v>
      </c>
      <c r="C100" s="2">
        <f t="shared" si="9"/>
        <v>54.059888590564931</v>
      </c>
      <c r="D100" s="2">
        <f t="shared" si="10"/>
        <v>1.9894367886486917</v>
      </c>
      <c r="E100" s="2">
        <f t="shared" si="11"/>
        <v>54.059888590564931</v>
      </c>
    </row>
    <row r="101" spans="2:5">
      <c r="B101" s="2">
        <v>900000</v>
      </c>
      <c r="C101" s="2">
        <f t="shared" si="9"/>
        <v>55.079113409191443</v>
      </c>
      <c r="D101" s="2">
        <f t="shared" si="10"/>
        <v>1.7683882565766149</v>
      </c>
      <c r="E101" s="2">
        <f t="shared" si="11"/>
        <v>55.079113409191443</v>
      </c>
    </row>
    <row r="102" spans="2:5">
      <c r="B102" s="2">
        <v>1000000</v>
      </c>
      <c r="C102" s="2">
        <f t="shared" si="9"/>
        <v>55.991201502507721</v>
      </c>
      <c r="D102" s="2">
        <f t="shared" si="10"/>
        <v>1.5915494309189537</v>
      </c>
      <c r="E102" s="2">
        <f t="shared" si="11"/>
        <v>55.991201502507721</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B5277-3BBD-489D-A567-03F8E141768D}">
  <sheetPr codeName="Sheet9"/>
  <dimension ref="B1:J35"/>
  <sheetViews>
    <sheetView zoomScale="85" zoomScaleNormal="85" workbookViewId="0">
      <selection activeCell="R14" sqref="R14"/>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5" thickBot="1">
      <c r="B1" s="1" t="s">
        <v>46</v>
      </c>
    </row>
    <row r="2" spans="2:9" ht="15" thickBot="1">
      <c r="B2" s="2" t="s">
        <v>12</v>
      </c>
      <c r="C2" s="4">
        <v>1</v>
      </c>
      <c r="D2" s="2" t="s">
        <v>16</v>
      </c>
      <c r="G2" s="6" t="s">
        <v>36</v>
      </c>
    </row>
    <row r="3" spans="2:9" ht="15" thickBot="1">
      <c r="B3" s="2" t="s">
        <v>15</v>
      </c>
      <c r="C3" s="4">
        <v>3</v>
      </c>
      <c r="D3" s="2" t="s">
        <v>16</v>
      </c>
      <c r="G3" s="2" t="s">
        <v>9</v>
      </c>
      <c r="H3" s="4">
        <v>5</v>
      </c>
      <c r="I3" s="2" t="s">
        <v>18</v>
      </c>
    </row>
    <row r="4" spans="2:9" ht="15" thickBot="1">
      <c r="B4" s="2" t="s">
        <v>11</v>
      </c>
      <c r="C4" s="4">
        <v>-0.5</v>
      </c>
      <c r="D4" s="2" t="s">
        <v>17</v>
      </c>
      <c r="G4" s="2" t="s">
        <v>10</v>
      </c>
      <c r="H4" s="5">
        <v>-5</v>
      </c>
      <c r="I4" s="2" t="s">
        <v>19</v>
      </c>
    </row>
    <row r="5" spans="2:9" ht="15" thickBot="1">
      <c r="B5" s="2" t="s">
        <v>0</v>
      </c>
      <c r="C5" s="3">
        <f>(1-C6)*C4</f>
        <v>1.5</v>
      </c>
      <c r="D5" s="2" t="s">
        <v>17</v>
      </c>
      <c r="G5" s="2" t="s">
        <v>31</v>
      </c>
      <c r="H5" s="4">
        <v>1.4</v>
      </c>
      <c r="I5" s="2" t="s">
        <v>32</v>
      </c>
    </row>
    <row r="6" spans="2:9" ht="15" thickBot="1">
      <c r="B6" s="2" t="s">
        <v>1</v>
      </c>
      <c r="C6" s="3">
        <f>1+C3/C2</f>
        <v>4</v>
      </c>
      <c r="D6" s="2" t="s">
        <v>39</v>
      </c>
    </row>
    <row r="7" spans="2:9" ht="15" thickBot="1">
      <c r="B7" s="2" t="s">
        <v>25</v>
      </c>
      <c r="C7" s="4">
        <v>1</v>
      </c>
      <c r="D7" s="2" t="s">
        <v>38</v>
      </c>
    </row>
    <row r="8" spans="2:9" ht="15" thickBot="1">
      <c r="E8" s="6" t="s">
        <v>30</v>
      </c>
      <c r="G8" s="6" t="s">
        <v>33</v>
      </c>
    </row>
    <row r="9" spans="2:9" ht="15" thickBot="1">
      <c r="B9" s="7" t="s">
        <v>6</v>
      </c>
      <c r="C9" s="7" t="s">
        <v>7</v>
      </c>
      <c r="D9" s="7" t="s">
        <v>3</v>
      </c>
      <c r="E9" s="7" t="s">
        <v>3</v>
      </c>
      <c r="G9" s="6" t="s">
        <v>29</v>
      </c>
      <c r="H9" s="4">
        <v>-2.5</v>
      </c>
      <c r="I9" s="2" t="s">
        <v>17</v>
      </c>
    </row>
    <row r="10" spans="2:9">
      <c r="B10" s="2">
        <v>0</v>
      </c>
      <c r="C10" s="2">
        <f t="shared" ref="C10:C35" si="0">$C$7*SIN($B10)</f>
        <v>0</v>
      </c>
      <c r="D10" s="2">
        <f>$C$6*C10+(1-$C$6)*$C$4</f>
        <v>1.5</v>
      </c>
      <c r="E10" s="2">
        <f t="shared" ref="E10:E35" si="1">IF(D10&gt;($H$3-$H$5),($H$3-$H$5),IF(D10&lt;($H$4+$H$5),($H$4+$H$5),D10))</f>
        <v>1.5</v>
      </c>
      <c r="G10" s="6" t="s">
        <v>34</v>
      </c>
      <c r="H10" s="3">
        <f>IF($C$6*H9+(1-$C$6)*$C$4&gt;($H$3-$H$5),($H$3-$H$5),IF($C$6*H9+(1-$C$6)*$C$4&lt;($H$4+$H$5),($H$4+$H$5),$C$6*H9+(1-$C$6)*$C$4))</f>
        <v>-3.6</v>
      </c>
      <c r="I10" s="2" t="s">
        <v>17</v>
      </c>
    </row>
    <row r="11" spans="2:9">
      <c r="B11" s="2">
        <v>0.1</v>
      </c>
      <c r="C11" s="2">
        <f t="shared" si="0"/>
        <v>9.9833416646828155E-2</v>
      </c>
      <c r="D11" s="2">
        <f t="shared" ref="D11:D35" si="2">$C$6*C11+(1-$C$6)*$C$4</f>
        <v>1.8993336665873126</v>
      </c>
      <c r="E11" s="2">
        <f t="shared" si="1"/>
        <v>1.8993336665873126</v>
      </c>
    </row>
    <row r="12" spans="2:9">
      <c r="B12" s="2">
        <v>0.2</v>
      </c>
      <c r="C12" s="2">
        <f t="shared" si="0"/>
        <v>0.19866933079506122</v>
      </c>
      <c r="D12" s="2">
        <f t="shared" si="2"/>
        <v>2.2946773231802449</v>
      </c>
      <c r="E12" s="2">
        <f t="shared" si="1"/>
        <v>2.2946773231802449</v>
      </c>
    </row>
    <row r="13" spans="2:9">
      <c r="B13" s="2">
        <v>1.2</v>
      </c>
      <c r="C13" s="2">
        <f t="shared" si="0"/>
        <v>0.93203908596722629</v>
      </c>
      <c r="D13" s="2">
        <f t="shared" si="2"/>
        <v>5.2281563438689052</v>
      </c>
      <c r="E13" s="2">
        <f t="shared" si="1"/>
        <v>3.6</v>
      </c>
    </row>
    <row r="14" spans="2:9">
      <c r="B14" s="2">
        <v>2.2000000000000002</v>
      </c>
      <c r="C14" s="2">
        <f t="shared" si="0"/>
        <v>0.80849640381959009</v>
      </c>
      <c r="D14" s="2">
        <f t="shared" si="2"/>
        <v>4.7339856152783604</v>
      </c>
      <c r="E14" s="2">
        <f t="shared" si="1"/>
        <v>3.6</v>
      </c>
    </row>
    <row r="15" spans="2:9">
      <c r="B15" s="2">
        <v>3.2</v>
      </c>
      <c r="C15" s="2">
        <f t="shared" si="0"/>
        <v>-5.8374143427580086E-2</v>
      </c>
      <c r="D15" s="2">
        <f t="shared" si="2"/>
        <v>1.2665034262896797</v>
      </c>
      <c r="E15" s="2">
        <f t="shared" si="1"/>
        <v>1.2665034262896797</v>
      </c>
    </row>
    <row r="16" spans="2:9">
      <c r="B16" s="2">
        <v>4.2</v>
      </c>
      <c r="C16" s="2">
        <f t="shared" si="0"/>
        <v>-0.87157577241358819</v>
      </c>
      <c r="D16" s="2">
        <f t="shared" si="2"/>
        <v>-1.9863030896543528</v>
      </c>
      <c r="E16" s="2">
        <f t="shared" si="1"/>
        <v>-1.9863030896543528</v>
      </c>
    </row>
    <row r="17" spans="2:10">
      <c r="B17" s="2">
        <v>5.2</v>
      </c>
      <c r="C17" s="2">
        <f t="shared" si="0"/>
        <v>-0.88345465572015314</v>
      </c>
      <c r="D17" s="2">
        <f t="shared" si="2"/>
        <v>-2.0338186228806125</v>
      </c>
      <c r="E17" s="2">
        <f t="shared" si="1"/>
        <v>-2.0338186228806125</v>
      </c>
    </row>
    <row r="18" spans="2:10">
      <c r="B18" s="2">
        <v>6.2</v>
      </c>
      <c r="C18" s="2">
        <f t="shared" si="0"/>
        <v>-8.3089402817496397E-2</v>
      </c>
      <c r="D18" s="2">
        <f t="shared" si="2"/>
        <v>1.1676423887300145</v>
      </c>
      <c r="E18" s="2">
        <f t="shared" si="1"/>
        <v>1.1676423887300145</v>
      </c>
    </row>
    <row r="19" spans="2:10">
      <c r="B19" s="2">
        <v>7.2</v>
      </c>
      <c r="C19" s="2">
        <f t="shared" si="0"/>
        <v>0.79366786384915311</v>
      </c>
      <c r="D19" s="2">
        <f t="shared" si="2"/>
        <v>4.6746714553966129</v>
      </c>
      <c r="E19" s="2">
        <f t="shared" si="1"/>
        <v>3.6</v>
      </c>
    </row>
    <row r="20" spans="2:10">
      <c r="B20" s="2">
        <v>8.1999999999999993</v>
      </c>
      <c r="C20" s="2">
        <f t="shared" si="0"/>
        <v>0.94073055667977312</v>
      </c>
      <c r="D20" s="2">
        <f t="shared" si="2"/>
        <v>5.2629222267190929</v>
      </c>
      <c r="E20" s="2">
        <f t="shared" si="1"/>
        <v>3.6</v>
      </c>
    </row>
    <row r="21" spans="2:10">
      <c r="B21" s="2">
        <v>9.1999999999999993</v>
      </c>
      <c r="C21" s="2">
        <f t="shared" si="0"/>
        <v>0.22288991410024764</v>
      </c>
      <c r="D21" s="2">
        <f t="shared" si="2"/>
        <v>2.3915596564009904</v>
      </c>
      <c r="E21" s="2">
        <f t="shared" si="1"/>
        <v>2.3915596564009904</v>
      </c>
    </row>
    <row r="22" spans="2:10">
      <c r="B22" s="2">
        <v>10.199999999999999</v>
      </c>
      <c r="C22" s="2">
        <f t="shared" si="0"/>
        <v>-0.69987468759354232</v>
      </c>
      <c r="D22" s="2">
        <f t="shared" si="2"/>
        <v>-1.2994987503741693</v>
      </c>
      <c r="E22" s="2">
        <f t="shared" si="1"/>
        <v>-1.2994987503741693</v>
      </c>
    </row>
    <row r="23" spans="2:10">
      <c r="B23" s="2">
        <v>11.2</v>
      </c>
      <c r="C23" s="2">
        <f t="shared" si="0"/>
        <v>-0.9791777291513174</v>
      </c>
      <c r="D23" s="2">
        <f t="shared" si="2"/>
        <v>-2.4167109166052696</v>
      </c>
      <c r="E23" s="2">
        <f t="shared" si="1"/>
        <v>-2.4167109166052696</v>
      </c>
    </row>
    <row r="24" spans="2:10">
      <c r="B24" s="2">
        <v>12.2</v>
      </c>
      <c r="C24" s="2">
        <f t="shared" si="0"/>
        <v>-0.35822928223682871</v>
      </c>
      <c r="D24" s="2">
        <f t="shared" si="2"/>
        <v>6.7082871052685178E-2</v>
      </c>
      <c r="E24" s="2">
        <f t="shared" si="1"/>
        <v>6.7082871052685178E-2</v>
      </c>
    </row>
    <row r="25" spans="2:10">
      <c r="B25" s="2">
        <v>13.2</v>
      </c>
      <c r="C25" s="2">
        <f t="shared" si="0"/>
        <v>0.59207351470722303</v>
      </c>
      <c r="D25" s="2">
        <f t="shared" si="2"/>
        <v>3.8682940588288921</v>
      </c>
      <c r="E25" s="2">
        <f t="shared" si="1"/>
        <v>3.6</v>
      </c>
    </row>
    <row r="26" spans="2:10">
      <c r="B26" s="2">
        <v>14.2</v>
      </c>
      <c r="C26" s="2">
        <f t="shared" si="0"/>
        <v>0.99802665271636171</v>
      </c>
      <c r="D26" s="2">
        <f t="shared" si="2"/>
        <v>5.4921066108654468</v>
      </c>
      <c r="E26" s="2">
        <f t="shared" si="1"/>
        <v>3.6</v>
      </c>
    </row>
    <row r="27" spans="2:10">
      <c r="B27" s="2">
        <v>15.2</v>
      </c>
      <c r="C27" s="2">
        <f t="shared" si="0"/>
        <v>0.48639868885379967</v>
      </c>
      <c r="D27" s="2">
        <f t="shared" si="2"/>
        <v>3.4455947554151987</v>
      </c>
      <c r="E27" s="2">
        <f t="shared" si="1"/>
        <v>3.4455947554151987</v>
      </c>
    </row>
    <row r="28" spans="2:10">
      <c r="B28" s="2">
        <v>16.2</v>
      </c>
      <c r="C28" s="2">
        <f t="shared" si="0"/>
        <v>-0.47242198639846616</v>
      </c>
      <c r="D28" s="2">
        <f t="shared" si="2"/>
        <v>-0.38968794559386466</v>
      </c>
      <c r="E28" s="2">
        <f t="shared" si="1"/>
        <v>-0.38968794559386466</v>
      </c>
    </row>
    <row r="29" spans="2:10">
      <c r="B29" s="2">
        <v>17.2</v>
      </c>
      <c r="C29" s="2">
        <f t="shared" si="0"/>
        <v>-0.99690006604159609</v>
      </c>
      <c r="D29" s="2">
        <f t="shared" si="2"/>
        <v>-2.4876002641663844</v>
      </c>
      <c r="E29" s="2">
        <f t="shared" si="1"/>
        <v>-2.4876002641663844</v>
      </c>
      <c r="G29" s="6" t="s">
        <v>65</v>
      </c>
    </row>
    <row r="30" spans="2:10">
      <c r="B30" s="2">
        <v>18.2</v>
      </c>
      <c r="C30" s="2">
        <f t="shared" si="0"/>
        <v>-0.60483282240628411</v>
      </c>
      <c r="D30" s="2">
        <f t="shared" si="2"/>
        <v>-0.91933128962513644</v>
      </c>
      <c r="E30" s="2">
        <f t="shared" si="1"/>
        <v>-0.91933128962513644</v>
      </c>
      <c r="G30" s="12" t="s">
        <v>64</v>
      </c>
      <c r="H30" s="12">
        <f>H3</f>
        <v>5</v>
      </c>
      <c r="I30" s="12" t="s">
        <v>17</v>
      </c>
      <c r="J30" s="13" t="str">
        <f>TRIM(G30)&amp;"   "&amp;IF(H30&gt;0,"+","")&amp;TRIM(H30)&amp;" "&amp;TRIM(I30)</f>
        <v>V+:   +5 V</v>
      </c>
    </row>
    <row r="31" spans="2:10">
      <c r="B31" s="2">
        <v>19.2</v>
      </c>
      <c r="C31" s="2">
        <f t="shared" si="0"/>
        <v>0.34331492881989539</v>
      </c>
      <c r="D31" s="2">
        <f t="shared" si="2"/>
        <v>2.8732597152795813</v>
      </c>
      <c r="E31" s="2">
        <f t="shared" si="1"/>
        <v>2.8732597152795813</v>
      </c>
      <c r="G31" s="12" t="s">
        <v>66</v>
      </c>
      <c r="H31" s="12">
        <f>H4</f>
        <v>-5</v>
      </c>
      <c r="I31" s="12" t="s">
        <v>17</v>
      </c>
      <c r="J31" s="13" t="str">
        <f t="shared" ref="J31:J32" si="3">TRIM(G31)&amp;"   "&amp;IF(H31&gt;0,"+","")&amp;TRIM(H31)&amp;" "&amp;TRIM(I31)</f>
        <v>V-:   -5 V</v>
      </c>
    </row>
    <row r="32" spans="2:10">
      <c r="B32" s="2">
        <v>20.2</v>
      </c>
      <c r="C32" s="2">
        <f t="shared" si="0"/>
        <v>0.97582051776697554</v>
      </c>
      <c r="D32" s="2">
        <f t="shared" si="2"/>
        <v>5.4032820710679026</v>
      </c>
      <c r="E32" s="2">
        <f t="shared" si="1"/>
        <v>3.6</v>
      </c>
      <c r="G32" s="12" t="s">
        <v>29</v>
      </c>
      <c r="H32" s="12">
        <f>H9</f>
        <v>-2.5</v>
      </c>
      <c r="I32" s="12" t="s">
        <v>17</v>
      </c>
      <c r="J32" s="13" t="str">
        <f t="shared" si="3"/>
        <v>Vin:   -2.5 V</v>
      </c>
    </row>
    <row r="33" spans="2:10">
      <c r="B33" s="2">
        <v>21.2</v>
      </c>
      <c r="C33" s="2">
        <f t="shared" si="0"/>
        <v>0.71116122290598238</v>
      </c>
      <c r="D33" s="2">
        <f t="shared" si="2"/>
        <v>4.3446448916239291</v>
      </c>
      <c r="E33" s="2">
        <f t="shared" si="1"/>
        <v>3.6</v>
      </c>
      <c r="G33" s="12" t="s">
        <v>69</v>
      </c>
      <c r="H33" s="12">
        <f>C4</f>
        <v>-0.5</v>
      </c>
      <c r="I33" s="12" t="s">
        <v>17</v>
      </c>
      <c r="J33" s="13" t="str">
        <f>TRIM(G33)&amp;"   "&amp;TRIM(H33)&amp;" "&amp;TRIM(I33)</f>
        <v>Vb:   -0.5 V</v>
      </c>
    </row>
    <row r="34" spans="2:10">
      <c r="B34" s="2">
        <v>22.2</v>
      </c>
      <c r="C34" s="2">
        <f t="shared" si="0"/>
        <v>-0.20733642060675878</v>
      </c>
      <c r="D34" s="2">
        <f t="shared" si="2"/>
        <v>0.6706543175729649</v>
      </c>
      <c r="E34" s="2">
        <f t="shared" si="1"/>
        <v>0.6706543175729649</v>
      </c>
      <c r="G34" s="12" t="s">
        <v>67</v>
      </c>
      <c r="H34" s="12">
        <f>C2</f>
        <v>1</v>
      </c>
      <c r="I34" s="12" t="s">
        <v>16</v>
      </c>
      <c r="J34" s="13" t="str">
        <f>TRIM(G34)&amp;"   "&amp;TRIM(H34)&amp;" "&amp;TRIM(I34)</f>
        <v>R1:   1 K</v>
      </c>
    </row>
    <row r="35" spans="2:10">
      <c r="B35" s="2">
        <v>23.2</v>
      </c>
      <c r="C35" s="2">
        <f t="shared" si="0"/>
        <v>-0.93520991519453889</v>
      </c>
      <c r="D35" s="2">
        <f t="shared" si="2"/>
        <v>-2.2408396607781556</v>
      </c>
      <c r="E35" s="2">
        <f t="shared" si="1"/>
        <v>-2.2408396607781556</v>
      </c>
      <c r="G35" s="12" t="s">
        <v>68</v>
      </c>
      <c r="H35" s="12">
        <f>C3</f>
        <v>3</v>
      </c>
      <c r="I35" s="12" t="s">
        <v>16</v>
      </c>
      <c r="J35" s="13" t="str">
        <f>TRIM(G35)&amp;"   "&amp;TRIM(H35)&amp;" "&amp;TRIM(I35)</f>
        <v>RF:   3 K</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83180-748D-45D5-ABB2-56D435F0DD12}">
  <dimension ref="B1:S35"/>
  <sheetViews>
    <sheetView zoomScaleNormal="100" workbookViewId="0">
      <selection activeCell="C2" sqref="C2"/>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53" thickBot="1">
      <c r="B1" s="1" t="s">
        <v>267</v>
      </c>
    </row>
    <row r="2" spans="2:9" ht="15" thickBot="1">
      <c r="B2" s="2" t="s">
        <v>12</v>
      </c>
      <c r="C2" s="4">
        <v>1</v>
      </c>
      <c r="D2" s="2" t="s">
        <v>16</v>
      </c>
      <c r="G2" s="6" t="s">
        <v>36</v>
      </c>
    </row>
    <row r="3" spans="2:9" ht="15" thickBot="1">
      <c r="B3" s="2" t="s">
        <v>15</v>
      </c>
      <c r="C3" s="4">
        <v>10</v>
      </c>
      <c r="D3" s="2" t="s">
        <v>16</v>
      </c>
      <c r="G3" s="2" t="s">
        <v>9</v>
      </c>
      <c r="H3" s="4">
        <v>5</v>
      </c>
      <c r="I3" s="2" t="s">
        <v>18</v>
      </c>
    </row>
    <row r="4" spans="2:9" ht="15" thickBot="1">
      <c r="B4" s="2" t="s">
        <v>11</v>
      </c>
      <c r="C4" s="3">
        <f>H3/2</f>
        <v>2.5</v>
      </c>
      <c r="D4" s="2" t="s">
        <v>259</v>
      </c>
      <c r="G4" s="2" t="s">
        <v>10</v>
      </c>
      <c r="H4" s="5">
        <v>0</v>
      </c>
      <c r="I4" s="2" t="s">
        <v>19</v>
      </c>
    </row>
    <row r="5" spans="2:9" ht="15" thickBot="1">
      <c r="B5" s="2" t="s">
        <v>0</v>
      </c>
      <c r="C5" s="3">
        <f>(1-C6)*C4</f>
        <v>-25</v>
      </c>
      <c r="D5" s="2" t="s">
        <v>17</v>
      </c>
      <c r="G5" s="2" t="s">
        <v>31</v>
      </c>
      <c r="H5" s="4">
        <v>0</v>
      </c>
      <c r="I5" s="2" t="s">
        <v>32</v>
      </c>
    </row>
    <row r="6" spans="2:9" ht="15" thickBot="1">
      <c r="B6" s="2" t="s">
        <v>1</v>
      </c>
      <c r="C6" s="3">
        <f>1+C3/C2</f>
        <v>11</v>
      </c>
      <c r="D6" s="2" t="s">
        <v>39</v>
      </c>
    </row>
    <row r="7" spans="2:9" ht="15" thickBot="1">
      <c r="B7" s="2" t="s">
        <v>25</v>
      </c>
      <c r="C7" s="4">
        <v>0.1</v>
      </c>
      <c r="D7" s="2" t="s">
        <v>265</v>
      </c>
    </row>
    <row r="8" spans="2:9" ht="15" thickBot="1">
      <c r="E8" s="6" t="s">
        <v>30</v>
      </c>
      <c r="G8" s="6" t="s">
        <v>33</v>
      </c>
    </row>
    <row r="9" spans="2:9" ht="15" thickBot="1">
      <c r="B9" s="7" t="s">
        <v>6</v>
      </c>
      <c r="C9" s="7" t="s">
        <v>7</v>
      </c>
      <c r="D9" s="7" t="s">
        <v>3</v>
      </c>
      <c r="E9" s="7" t="s">
        <v>3</v>
      </c>
      <c r="G9" s="6" t="s">
        <v>29</v>
      </c>
      <c r="H9" s="4">
        <v>-2.5</v>
      </c>
      <c r="I9" s="2" t="s">
        <v>17</v>
      </c>
    </row>
    <row r="10" spans="2:9">
      <c r="B10" s="2">
        <v>0</v>
      </c>
      <c r="C10" s="2">
        <f>$C$7*SIN($B10)+$C$4</f>
        <v>2.5</v>
      </c>
      <c r="D10" s="2">
        <f>$C$6*(C10-$C$4)+$C$4</f>
        <v>2.5</v>
      </c>
      <c r="E10" s="2">
        <f t="shared" ref="E10:E35" si="0">IF(D10&gt;($H$3-$H$5),($H$3-$H$5),IF(D10&lt;($H$4+$H$5),($H$4+$H$5),D10))</f>
        <v>2.5</v>
      </c>
      <c r="G10" s="6" t="s">
        <v>34</v>
      </c>
      <c r="H10" s="3">
        <f>IF($C$6*H9+(1-$C$6)*$C$4&gt;($H$3-$H$5),($H$3-$H$5),IF($C$6*H9+(1-$C$6)*$C$4&lt;($H$4+$H$5),($H$4+$H$5),$C$6*H9+(1-$C$6)*$C$4))</f>
        <v>0</v>
      </c>
      <c r="I10" s="2" t="s">
        <v>17</v>
      </c>
    </row>
    <row r="11" spans="2:9">
      <c r="B11" s="2">
        <v>0.1</v>
      </c>
      <c r="C11" s="2">
        <f t="shared" ref="C11:C35" si="1">$C$7*SIN($B11)+$C$4</f>
        <v>2.5099833416646828</v>
      </c>
      <c r="D11" s="2">
        <f t="shared" ref="D11:D35" si="2">$C$6*(C11-$C$4)+$C$4</f>
        <v>2.6098167583115113</v>
      </c>
      <c r="E11" s="2">
        <f t="shared" si="0"/>
        <v>2.6098167583115113</v>
      </c>
    </row>
    <row r="12" spans="2:9">
      <c r="B12" s="2">
        <v>0.2</v>
      </c>
      <c r="C12" s="2">
        <f t="shared" si="1"/>
        <v>2.519866933079506</v>
      </c>
      <c r="D12" s="2">
        <f t="shared" si="2"/>
        <v>2.7185362638745665</v>
      </c>
      <c r="E12" s="2">
        <f t="shared" si="0"/>
        <v>2.7185362638745665</v>
      </c>
    </row>
    <row r="13" spans="2:9">
      <c r="B13" s="2">
        <v>1.2</v>
      </c>
      <c r="C13" s="2">
        <f t="shared" si="1"/>
        <v>2.5932039085967227</v>
      </c>
      <c r="D13" s="2">
        <f t="shared" si="2"/>
        <v>3.5252429945639494</v>
      </c>
      <c r="E13" s="2">
        <f t="shared" si="0"/>
        <v>3.5252429945639494</v>
      </c>
    </row>
    <row r="14" spans="2:9">
      <c r="B14" s="2">
        <v>2.2000000000000002</v>
      </c>
      <c r="C14" s="2">
        <f t="shared" si="1"/>
        <v>2.5808496403819592</v>
      </c>
      <c r="D14" s="2">
        <f t="shared" si="2"/>
        <v>3.3893460442015511</v>
      </c>
      <c r="E14" s="2">
        <f t="shared" si="0"/>
        <v>3.3893460442015511</v>
      </c>
    </row>
    <row r="15" spans="2:9">
      <c r="B15" s="2">
        <v>3.2</v>
      </c>
      <c r="C15" s="2">
        <f t="shared" si="1"/>
        <v>2.494162585657242</v>
      </c>
      <c r="D15" s="2">
        <f t="shared" si="2"/>
        <v>2.4357884422296623</v>
      </c>
      <c r="E15" s="2">
        <f t="shared" si="0"/>
        <v>2.4357884422296623</v>
      </c>
    </row>
    <row r="16" spans="2:9">
      <c r="B16" s="2">
        <v>4.2</v>
      </c>
      <c r="C16" s="2">
        <f t="shared" si="1"/>
        <v>2.4128424227586414</v>
      </c>
      <c r="D16" s="2">
        <f t="shared" si="2"/>
        <v>1.5412666503450549</v>
      </c>
      <c r="E16" s="2">
        <f t="shared" si="0"/>
        <v>1.5412666503450549</v>
      </c>
    </row>
    <row r="17" spans="2:19">
      <c r="B17" s="2">
        <v>5.2</v>
      </c>
      <c r="C17" s="2">
        <f t="shared" si="1"/>
        <v>2.4116545344279845</v>
      </c>
      <c r="D17" s="2">
        <f t="shared" si="2"/>
        <v>1.5281998787078295</v>
      </c>
      <c r="E17" s="2">
        <f t="shared" si="0"/>
        <v>1.5281998787078295</v>
      </c>
    </row>
    <row r="18" spans="2:19">
      <c r="B18" s="2">
        <v>6.2</v>
      </c>
      <c r="C18" s="2">
        <f t="shared" si="1"/>
        <v>2.4916910597182502</v>
      </c>
      <c r="D18" s="2">
        <f t="shared" si="2"/>
        <v>2.4086016569007525</v>
      </c>
      <c r="E18" s="2">
        <f t="shared" si="0"/>
        <v>2.4086016569007525</v>
      </c>
    </row>
    <row r="19" spans="2:19">
      <c r="B19" s="2">
        <v>7.2</v>
      </c>
      <c r="C19" s="2">
        <f t="shared" si="1"/>
        <v>2.5793667863849152</v>
      </c>
      <c r="D19" s="2">
        <f t="shared" si="2"/>
        <v>3.3730346502340676</v>
      </c>
      <c r="E19" s="2">
        <f t="shared" si="0"/>
        <v>3.3730346502340676</v>
      </c>
    </row>
    <row r="20" spans="2:19">
      <c r="B20" s="2">
        <v>8.1999999999999993</v>
      </c>
      <c r="C20" s="2">
        <f t="shared" si="1"/>
        <v>2.5940730556679772</v>
      </c>
      <c r="D20" s="2">
        <f t="shared" si="2"/>
        <v>3.5348036123477491</v>
      </c>
      <c r="E20" s="2">
        <f t="shared" si="0"/>
        <v>3.5348036123477491</v>
      </c>
    </row>
    <row r="21" spans="2:19">
      <c r="B21" s="2">
        <v>9.1999999999999993</v>
      </c>
      <c r="C21" s="2">
        <f t="shared" si="1"/>
        <v>2.5222889914100248</v>
      </c>
      <c r="D21" s="2">
        <f t="shared" si="2"/>
        <v>2.7451789055102731</v>
      </c>
      <c r="E21" s="2">
        <f t="shared" si="0"/>
        <v>2.7451789055102731</v>
      </c>
    </row>
    <row r="22" spans="2:19">
      <c r="B22" s="2">
        <v>10.199999999999999</v>
      </c>
      <c r="C22" s="2">
        <f t="shared" si="1"/>
        <v>2.4300125312406458</v>
      </c>
      <c r="D22" s="2">
        <f t="shared" si="2"/>
        <v>1.7301378436471033</v>
      </c>
      <c r="E22" s="2">
        <f t="shared" si="0"/>
        <v>1.7301378436471033</v>
      </c>
    </row>
    <row r="23" spans="2:19">
      <c r="B23" s="2">
        <v>11.2</v>
      </c>
      <c r="C23" s="2">
        <f t="shared" si="1"/>
        <v>2.4020822270848683</v>
      </c>
      <c r="D23" s="2">
        <f t="shared" si="2"/>
        <v>1.4229044979335512</v>
      </c>
      <c r="E23" s="2">
        <f t="shared" si="0"/>
        <v>1.4229044979335512</v>
      </c>
    </row>
    <row r="24" spans="2:19">
      <c r="B24" s="2">
        <v>12.2</v>
      </c>
      <c r="C24" s="2">
        <f t="shared" si="1"/>
        <v>2.4641770717763172</v>
      </c>
      <c r="D24" s="2">
        <f t="shared" si="2"/>
        <v>2.1059477895394889</v>
      </c>
      <c r="E24" s="2">
        <f t="shared" si="0"/>
        <v>2.1059477895394889</v>
      </c>
      <c r="Q24" s="6"/>
      <c r="S24" s="6" t="s">
        <v>269</v>
      </c>
    </row>
    <row r="25" spans="2:19">
      <c r="B25" s="2">
        <v>13.2</v>
      </c>
      <c r="C25" s="2">
        <f t="shared" si="1"/>
        <v>2.5592073514707221</v>
      </c>
      <c r="D25" s="2">
        <f t="shared" si="2"/>
        <v>3.151280866177943</v>
      </c>
      <c r="E25" s="2">
        <f t="shared" si="0"/>
        <v>3.151280866177943</v>
      </c>
    </row>
    <row r="26" spans="2:19">
      <c r="B26" s="2">
        <v>14.2</v>
      </c>
      <c r="C26" s="2">
        <f t="shared" si="1"/>
        <v>2.5998026652716364</v>
      </c>
      <c r="D26" s="2">
        <f t="shared" si="2"/>
        <v>3.5978293179880003</v>
      </c>
      <c r="E26" s="2">
        <f t="shared" si="0"/>
        <v>3.5978293179880003</v>
      </c>
      <c r="N26" s="2" t="s">
        <v>260</v>
      </c>
    </row>
    <row r="27" spans="2:19">
      <c r="B27" s="2">
        <v>15.2</v>
      </c>
      <c r="C27" s="2">
        <f t="shared" si="1"/>
        <v>2.5486398688853802</v>
      </c>
      <c r="D27" s="2">
        <f t="shared" si="2"/>
        <v>3.0350385577391821</v>
      </c>
      <c r="E27" s="2">
        <f t="shared" si="0"/>
        <v>3.0350385577391821</v>
      </c>
    </row>
    <row r="28" spans="2:19">
      <c r="B28" s="2">
        <v>16.2</v>
      </c>
      <c r="C28" s="2">
        <f t="shared" si="1"/>
        <v>2.4527578013601534</v>
      </c>
      <c r="D28" s="2">
        <f t="shared" si="2"/>
        <v>1.9803358149616876</v>
      </c>
      <c r="E28" s="2">
        <f t="shared" si="0"/>
        <v>1.9803358149616876</v>
      </c>
      <c r="N28" s="6" t="s">
        <v>261</v>
      </c>
    </row>
    <row r="29" spans="2:19">
      <c r="B29" s="2">
        <v>17.2</v>
      </c>
      <c r="C29" s="2">
        <f t="shared" si="1"/>
        <v>2.4003099933958403</v>
      </c>
      <c r="D29" s="2">
        <f t="shared" si="2"/>
        <v>1.4034099273542431</v>
      </c>
      <c r="E29" s="2">
        <f t="shared" si="0"/>
        <v>1.4034099273542431</v>
      </c>
      <c r="G29" s="6" t="s">
        <v>65</v>
      </c>
      <c r="N29" s="2" t="s">
        <v>262</v>
      </c>
    </row>
    <row r="30" spans="2:19">
      <c r="B30" s="2">
        <v>18.2</v>
      </c>
      <c r="C30" s="2">
        <f t="shared" si="1"/>
        <v>2.4395167177593717</v>
      </c>
      <c r="D30" s="2">
        <f t="shared" si="2"/>
        <v>1.8346838953530891</v>
      </c>
      <c r="E30" s="2">
        <f t="shared" si="0"/>
        <v>1.8346838953530891</v>
      </c>
      <c r="G30" s="12" t="s">
        <v>64</v>
      </c>
      <c r="H30" s="12">
        <f>H3</f>
        <v>5</v>
      </c>
      <c r="I30" s="12" t="s">
        <v>17</v>
      </c>
      <c r="J30" s="13" t="str">
        <f>TRIM(G30)&amp;"   "&amp;IF(H30&gt;0,"+","")&amp;TRIM(H30)&amp;" "&amp;TRIM(I30)</f>
        <v>V+:   +5 V</v>
      </c>
      <c r="N30" s="2" t="s">
        <v>263</v>
      </c>
    </row>
    <row r="31" spans="2:19">
      <c r="B31" s="2">
        <v>19.2</v>
      </c>
      <c r="C31" s="2">
        <f t="shared" si="1"/>
        <v>2.5343314928819893</v>
      </c>
      <c r="D31" s="2">
        <f t="shared" si="2"/>
        <v>2.8776464217018827</v>
      </c>
      <c r="E31" s="2">
        <f t="shared" si="0"/>
        <v>2.8776464217018827</v>
      </c>
      <c r="G31" s="12" t="s">
        <v>66</v>
      </c>
      <c r="H31" s="12">
        <f>H4</f>
        <v>0</v>
      </c>
      <c r="I31" s="12" t="s">
        <v>17</v>
      </c>
      <c r="J31" s="13" t="str">
        <f t="shared" ref="J31:J32" si="3">TRIM(G31)&amp;"   "&amp;IF(H31&gt;0,"+","")&amp;TRIM(H31)&amp;" "&amp;TRIM(I31)</f>
        <v>V-:   0 V</v>
      </c>
      <c r="N31" s="2" t="s">
        <v>264</v>
      </c>
    </row>
    <row r="32" spans="2:19">
      <c r="B32" s="2">
        <v>20.2</v>
      </c>
      <c r="C32" s="2">
        <f t="shared" si="1"/>
        <v>2.5975820517766977</v>
      </c>
      <c r="D32" s="2">
        <f t="shared" si="2"/>
        <v>3.5734025695436742</v>
      </c>
      <c r="E32" s="2">
        <f t="shared" si="0"/>
        <v>3.5734025695436742</v>
      </c>
      <c r="G32" s="12" t="s">
        <v>29</v>
      </c>
      <c r="H32" s="12">
        <f>H9</f>
        <v>-2.5</v>
      </c>
      <c r="I32" s="12" t="s">
        <v>17</v>
      </c>
      <c r="J32" s="13" t="str">
        <f t="shared" si="3"/>
        <v>Vin:   -2.5 V</v>
      </c>
    </row>
    <row r="33" spans="2:10">
      <c r="B33" s="2">
        <v>21.2</v>
      </c>
      <c r="C33" s="2">
        <f t="shared" si="1"/>
        <v>2.571116122290598</v>
      </c>
      <c r="D33" s="2">
        <f t="shared" si="2"/>
        <v>3.2822773451965785</v>
      </c>
      <c r="E33" s="2">
        <f t="shared" si="0"/>
        <v>3.2822773451965785</v>
      </c>
      <c r="G33" s="12" t="s">
        <v>69</v>
      </c>
      <c r="H33" s="12">
        <f>C4</f>
        <v>2.5</v>
      </c>
      <c r="I33" s="12" t="s">
        <v>17</v>
      </c>
      <c r="J33" s="13" t="str">
        <f>TRIM(G33)&amp;"   "&amp;TRIM(H33)&amp;" "&amp;TRIM(I33)</f>
        <v>Vb:   2.5 V</v>
      </c>
    </row>
    <row r="34" spans="2:10">
      <c r="B34" s="2">
        <v>22.2</v>
      </c>
      <c r="C34" s="2">
        <f t="shared" si="1"/>
        <v>2.4792663579393239</v>
      </c>
      <c r="D34" s="2">
        <f t="shared" si="2"/>
        <v>2.2719299373325632</v>
      </c>
      <c r="E34" s="2">
        <f t="shared" si="0"/>
        <v>2.2719299373325632</v>
      </c>
      <c r="G34" s="12" t="s">
        <v>67</v>
      </c>
      <c r="H34" s="12">
        <f>C2</f>
        <v>1</v>
      </c>
      <c r="I34" s="12" t="s">
        <v>16</v>
      </c>
      <c r="J34" s="13" t="str">
        <f>TRIM(G34)&amp;"   "&amp;TRIM(H34)&amp;" "&amp;TRIM(I34)</f>
        <v>R1:   1 K</v>
      </c>
    </row>
    <row r="35" spans="2:10">
      <c r="B35" s="2">
        <v>23.2</v>
      </c>
      <c r="C35" s="2">
        <f t="shared" si="1"/>
        <v>2.4064790084805461</v>
      </c>
      <c r="D35" s="2">
        <f t="shared" si="2"/>
        <v>1.4712690932860069</v>
      </c>
      <c r="E35" s="2">
        <f t="shared" si="0"/>
        <v>1.4712690932860069</v>
      </c>
      <c r="G35" s="12" t="s">
        <v>68</v>
      </c>
      <c r="H35" s="12">
        <f>C3</f>
        <v>10</v>
      </c>
      <c r="I35" s="12" t="s">
        <v>16</v>
      </c>
      <c r="J35" s="13" t="str">
        <f>TRIM(G35)&amp;"   "&amp;TRIM(H35)&amp;" "&amp;TRIM(I35)</f>
        <v>RF:   10 K</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70B50-83C0-4E82-B054-42C91AA741B1}">
  <sheetPr codeName="Sheet10"/>
  <dimension ref="B1:L35"/>
  <sheetViews>
    <sheetView zoomScale="85" zoomScaleNormal="85" workbookViewId="0">
      <selection activeCell="H3" sqref="H3"/>
    </sheetView>
  </sheetViews>
  <sheetFormatPr defaultColWidth="9.1796875" defaultRowHeight="14.5"/>
  <cols>
    <col min="1" max="1" width="5.1796875" style="2" customWidth="1"/>
    <col min="2" max="4" width="9.1796875" style="2"/>
    <col min="5" max="5" width="11.81640625" style="2" customWidth="1"/>
    <col min="6" max="6" width="9.1796875" style="2"/>
    <col min="7" max="7" width="13.7265625" style="2" customWidth="1"/>
    <col min="8" max="9" width="9.1796875" style="2"/>
    <col min="10" max="10" width="11.1796875" style="2" customWidth="1"/>
    <col min="11" max="16384" width="9.1796875" style="2"/>
  </cols>
  <sheetData>
    <row r="1" spans="2:12" ht="46">
      <c r="B1" s="1" t="s">
        <v>46</v>
      </c>
    </row>
    <row r="2" spans="2:12" ht="15" thickBot="1">
      <c r="B2" s="2" t="s">
        <v>12</v>
      </c>
      <c r="C2" s="3">
        <v>1</v>
      </c>
      <c r="D2" s="2" t="s">
        <v>16</v>
      </c>
      <c r="G2" s="6" t="s">
        <v>63</v>
      </c>
      <c r="J2" s="6" t="s">
        <v>36</v>
      </c>
    </row>
    <row r="3" spans="2:12" ht="15" thickBot="1">
      <c r="B3" s="2" t="s">
        <v>15</v>
      </c>
      <c r="C3" s="3">
        <f>(C6-1)*C2</f>
        <v>5.9999999999999991</v>
      </c>
      <c r="D3" s="2" t="s">
        <v>16</v>
      </c>
      <c r="G3" s="2" t="s">
        <v>24</v>
      </c>
      <c r="H3" s="4">
        <v>-0.15</v>
      </c>
      <c r="I3" s="2" t="s">
        <v>17</v>
      </c>
      <c r="J3" s="2" t="s">
        <v>9</v>
      </c>
      <c r="K3" s="4">
        <v>12</v>
      </c>
      <c r="L3" s="2" t="s">
        <v>18</v>
      </c>
    </row>
    <row r="4" spans="2:12" ht="15" thickBot="1">
      <c r="B4" s="2" t="s">
        <v>11</v>
      </c>
      <c r="C4" s="3">
        <f>C5/(1-C6)</f>
        <v>-0.37500000000000006</v>
      </c>
      <c r="D4" s="2" t="s">
        <v>17</v>
      </c>
      <c r="G4" s="2" t="s">
        <v>25</v>
      </c>
      <c r="H4" s="4">
        <v>0.15</v>
      </c>
      <c r="I4" s="2" t="s">
        <v>17</v>
      </c>
      <c r="J4" s="2" t="s">
        <v>10</v>
      </c>
      <c r="K4" s="5">
        <v>-12</v>
      </c>
      <c r="L4" s="2" t="s">
        <v>19</v>
      </c>
    </row>
    <row r="5" spans="2:12" ht="15" thickBot="1">
      <c r="B5" s="2" t="s">
        <v>0</v>
      </c>
      <c r="C5" s="3">
        <f>H6-C6*H4</f>
        <v>2.25</v>
      </c>
      <c r="D5" s="2" t="s">
        <v>17</v>
      </c>
      <c r="G5" s="2" t="s">
        <v>74</v>
      </c>
      <c r="H5" s="4">
        <v>1.2</v>
      </c>
      <c r="I5" s="2" t="s">
        <v>17</v>
      </c>
      <c r="J5" s="2" t="s">
        <v>31</v>
      </c>
      <c r="K5" s="4">
        <v>1.3</v>
      </c>
      <c r="L5" s="2" t="s">
        <v>32</v>
      </c>
    </row>
    <row r="6" spans="2:12" ht="15" thickBot="1">
      <c r="B6" s="2" t="s">
        <v>1</v>
      </c>
      <c r="C6" s="3">
        <f>(H6-H5)/(H4-H3)</f>
        <v>6.9999999999999991</v>
      </c>
      <c r="D6" s="2" t="s">
        <v>39</v>
      </c>
      <c r="G6" s="2" t="s">
        <v>75</v>
      </c>
      <c r="H6" s="4">
        <v>3.3</v>
      </c>
      <c r="I6" s="2" t="s">
        <v>17</v>
      </c>
    </row>
    <row r="8" spans="2:12">
      <c r="E8" s="6" t="s">
        <v>30</v>
      </c>
    </row>
    <row r="9" spans="2:12" ht="15" thickBot="1">
      <c r="B9" s="7" t="s">
        <v>6</v>
      </c>
      <c r="C9" s="7" t="s">
        <v>7</v>
      </c>
      <c r="D9" s="7" t="s">
        <v>3</v>
      </c>
      <c r="E9" s="7" t="s">
        <v>3</v>
      </c>
      <c r="J9" s="6" t="s">
        <v>33</v>
      </c>
    </row>
    <row r="10" spans="2:12" ht="15" thickBot="1">
      <c r="B10" s="2">
        <v>0</v>
      </c>
      <c r="C10" s="2">
        <f>AVERAGE($H$3:$H$4)+SIN($B10)*($H$4-$H$3)/2</f>
        <v>0</v>
      </c>
      <c r="D10" s="2">
        <f>$C$6*C10+(1-$C$6)*$C$4</f>
        <v>2.25</v>
      </c>
      <c r="E10" s="2">
        <f t="shared" ref="E10:E35" si="0">IF(D10&gt;($K$3-$K$5),($K$3-$K$5),IF(D10&lt;($K$4+$K$5),($K$4+$K$5),D10))</f>
        <v>2.25</v>
      </c>
      <c r="J10" s="6" t="s">
        <v>29</v>
      </c>
      <c r="K10" s="4">
        <v>-3.5</v>
      </c>
      <c r="L10" s="2" t="s">
        <v>17</v>
      </c>
    </row>
    <row r="11" spans="2:12">
      <c r="B11" s="2">
        <v>0.1</v>
      </c>
      <c r="C11" s="2">
        <f t="shared" ref="C11:C35" si="1">AVERAGE($H$3:$H$4)+SIN($B11)*($H$4-$H$3)/2</f>
        <v>1.4975012497024223E-2</v>
      </c>
      <c r="D11" s="2">
        <f t="shared" ref="D11:D35" si="2">$C$6*C11+(1-$C$6)*$C$4</f>
        <v>2.3548250874791696</v>
      </c>
      <c r="E11" s="2">
        <f t="shared" si="0"/>
        <v>2.3548250874791696</v>
      </c>
      <c r="J11" s="6" t="s">
        <v>34</v>
      </c>
      <c r="K11" s="3">
        <f>IF($C$6*K10+(1-$C$6)*$C$4&gt;($K$3-$K$5),($K$3-$K$5),IF($C$6*K10+(1-$C$6)*$C$4&lt;($K$4+$K$5),($K$4+$K$5),$C$6*K10+(1-$C$6)*$C$4))</f>
        <v>-10.7</v>
      </c>
      <c r="L11" s="2" t="s">
        <v>17</v>
      </c>
    </row>
    <row r="12" spans="2:12">
      <c r="B12" s="2">
        <v>0.2</v>
      </c>
      <c r="C12" s="2">
        <f t="shared" si="1"/>
        <v>2.980039961925918E-2</v>
      </c>
      <c r="D12" s="2">
        <f t="shared" si="2"/>
        <v>2.4586027973348141</v>
      </c>
      <c r="E12" s="2">
        <f t="shared" si="0"/>
        <v>2.4586027973348141</v>
      </c>
    </row>
    <row r="13" spans="2:12">
      <c r="B13" s="2">
        <v>1.2</v>
      </c>
      <c r="C13" s="2">
        <f t="shared" si="1"/>
        <v>0.13980586289508393</v>
      </c>
      <c r="D13" s="2">
        <f t="shared" si="2"/>
        <v>3.2286410402655874</v>
      </c>
      <c r="E13" s="2">
        <f t="shared" si="0"/>
        <v>3.2286410402655874</v>
      </c>
    </row>
    <row r="14" spans="2:12">
      <c r="B14" s="2">
        <v>2.2000000000000002</v>
      </c>
      <c r="C14" s="2">
        <f t="shared" si="1"/>
        <v>0.1212744605729385</v>
      </c>
      <c r="D14" s="2">
        <f t="shared" si="2"/>
        <v>3.0989212240105695</v>
      </c>
      <c r="E14" s="2">
        <f t="shared" si="0"/>
        <v>3.0989212240105695</v>
      </c>
    </row>
    <row r="15" spans="2:12">
      <c r="B15" s="2">
        <v>3.2</v>
      </c>
      <c r="C15" s="2">
        <f t="shared" si="1"/>
        <v>-8.7561215141370129E-3</v>
      </c>
      <c r="D15" s="2">
        <f t="shared" si="2"/>
        <v>2.1887071494010408</v>
      </c>
      <c r="E15" s="2">
        <f t="shared" si="0"/>
        <v>2.1887071494010408</v>
      </c>
    </row>
    <row r="16" spans="2:12">
      <c r="B16" s="2">
        <v>4.2</v>
      </c>
      <c r="C16" s="2">
        <f t="shared" si="1"/>
        <v>-0.13073636586203821</v>
      </c>
      <c r="D16" s="2">
        <f t="shared" si="2"/>
        <v>1.3348454389657327</v>
      </c>
      <c r="E16" s="2">
        <f t="shared" si="0"/>
        <v>1.3348454389657327</v>
      </c>
    </row>
    <row r="17" spans="2:5">
      <c r="B17" s="2">
        <v>5.2</v>
      </c>
      <c r="C17" s="2">
        <f t="shared" si="1"/>
        <v>-0.13251819835802298</v>
      </c>
      <c r="D17" s="2">
        <f t="shared" si="2"/>
        <v>1.3223726114938392</v>
      </c>
      <c r="E17" s="2">
        <f t="shared" si="0"/>
        <v>1.3223726114938392</v>
      </c>
    </row>
    <row r="18" spans="2:5">
      <c r="B18" s="2">
        <v>6.2</v>
      </c>
      <c r="C18" s="2">
        <f t="shared" si="1"/>
        <v>-1.2463410422624459E-2</v>
      </c>
      <c r="D18" s="2">
        <f t="shared" si="2"/>
        <v>2.1627561270416287</v>
      </c>
      <c r="E18" s="2">
        <f t="shared" si="0"/>
        <v>2.1627561270416287</v>
      </c>
    </row>
    <row r="19" spans="2:5">
      <c r="B19" s="2">
        <v>7.2</v>
      </c>
      <c r="C19" s="2">
        <f t="shared" si="1"/>
        <v>0.11905017957737296</v>
      </c>
      <c r="D19" s="2">
        <f t="shared" si="2"/>
        <v>3.0833512570416106</v>
      </c>
      <c r="E19" s="2">
        <f t="shared" si="0"/>
        <v>3.0833512570416106</v>
      </c>
    </row>
    <row r="20" spans="2:5">
      <c r="B20" s="2">
        <v>8.1999999999999993</v>
      </c>
      <c r="C20" s="2">
        <f t="shared" si="1"/>
        <v>0.14110958350196595</v>
      </c>
      <c r="D20" s="2">
        <f t="shared" si="2"/>
        <v>3.2377670845137616</v>
      </c>
      <c r="E20" s="2">
        <f t="shared" si="0"/>
        <v>3.2377670845137616</v>
      </c>
    </row>
    <row r="21" spans="2:5">
      <c r="B21" s="2">
        <v>9.1999999999999993</v>
      </c>
      <c r="C21" s="2">
        <f t="shared" si="1"/>
        <v>3.3433487115037144E-2</v>
      </c>
      <c r="D21" s="2">
        <f t="shared" si="2"/>
        <v>2.4840344098052598</v>
      </c>
      <c r="E21" s="2">
        <f t="shared" si="0"/>
        <v>2.4840344098052598</v>
      </c>
    </row>
    <row r="22" spans="2:5">
      <c r="B22" s="2">
        <v>10.199999999999999</v>
      </c>
      <c r="C22" s="2">
        <f t="shared" si="1"/>
        <v>-0.10498120313903135</v>
      </c>
      <c r="D22" s="2">
        <f t="shared" si="2"/>
        <v>1.5151315780267807</v>
      </c>
      <c r="E22" s="2">
        <f t="shared" si="0"/>
        <v>1.5151315780267807</v>
      </c>
    </row>
    <row r="23" spans="2:5">
      <c r="B23" s="2">
        <v>11.2</v>
      </c>
      <c r="C23" s="2">
        <f t="shared" si="1"/>
        <v>-0.14687665937269762</v>
      </c>
      <c r="D23" s="2">
        <f t="shared" si="2"/>
        <v>1.2218633843911169</v>
      </c>
      <c r="E23" s="2">
        <f t="shared" si="0"/>
        <v>1.2218633843911169</v>
      </c>
    </row>
    <row r="24" spans="2:5">
      <c r="B24" s="2">
        <v>12.2</v>
      </c>
      <c r="C24" s="2">
        <f t="shared" si="1"/>
        <v>-5.3734392335524302E-2</v>
      </c>
      <c r="D24" s="2">
        <f t="shared" si="2"/>
        <v>1.8738592536513299</v>
      </c>
      <c r="E24" s="2">
        <f t="shared" si="0"/>
        <v>1.8738592536513299</v>
      </c>
    </row>
    <row r="25" spans="2:5">
      <c r="B25" s="2">
        <v>13.2</v>
      </c>
      <c r="C25" s="2">
        <f t="shared" si="1"/>
        <v>8.8811027206083457E-2</v>
      </c>
      <c r="D25" s="2">
        <f t="shared" si="2"/>
        <v>2.871677190442584</v>
      </c>
      <c r="E25" s="2">
        <f t="shared" si="0"/>
        <v>2.871677190442584</v>
      </c>
    </row>
    <row r="26" spans="2:5">
      <c r="B26" s="2">
        <v>14.2</v>
      </c>
      <c r="C26" s="2">
        <f t="shared" si="1"/>
        <v>0.14970399790745426</v>
      </c>
      <c r="D26" s="2">
        <f t="shared" si="2"/>
        <v>3.2979279853521799</v>
      </c>
      <c r="E26" s="2">
        <f t="shared" si="0"/>
        <v>3.2979279853521799</v>
      </c>
    </row>
    <row r="27" spans="2:5">
      <c r="B27" s="2">
        <v>15.2</v>
      </c>
      <c r="C27" s="2">
        <f t="shared" si="1"/>
        <v>7.295980332806995E-2</v>
      </c>
      <c r="D27" s="2">
        <f t="shared" si="2"/>
        <v>2.7607186232964898</v>
      </c>
      <c r="E27" s="2">
        <f t="shared" si="0"/>
        <v>2.7607186232964898</v>
      </c>
    </row>
    <row r="28" spans="2:5">
      <c r="B28" s="2">
        <v>16.2</v>
      </c>
      <c r="C28" s="2">
        <f t="shared" si="1"/>
        <v>-7.0863297959769922E-2</v>
      </c>
      <c r="D28" s="2">
        <f t="shared" si="2"/>
        <v>1.7539569142816105</v>
      </c>
      <c r="E28" s="2">
        <f t="shared" si="0"/>
        <v>1.7539569142816105</v>
      </c>
    </row>
    <row r="29" spans="2:5">
      <c r="B29" s="2">
        <v>17.2</v>
      </c>
      <c r="C29" s="2">
        <f t="shared" si="1"/>
        <v>-0.14953500990623941</v>
      </c>
      <c r="D29" s="2">
        <f t="shared" si="2"/>
        <v>1.2032549306563243</v>
      </c>
      <c r="E29" s="2">
        <f t="shared" si="0"/>
        <v>1.2032549306563243</v>
      </c>
    </row>
    <row r="30" spans="2:5">
      <c r="B30" s="2">
        <v>18.2</v>
      </c>
      <c r="C30" s="2">
        <f t="shared" si="1"/>
        <v>-9.0724923360942608E-2</v>
      </c>
      <c r="D30" s="2">
        <f t="shared" si="2"/>
        <v>1.6149255364734019</v>
      </c>
      <c r="E30" s="2">
        <f t="shared" si="0"/>
        <v>1.6149255364734019</v>
      </c>
    </row>
    <row r="31" spans="2:5">
      <c r="B31" s="2">
        <v>19.2</v>
      </c>
      <c r="C31" s="2">
        <f t="shared" si="1"/>
        <v>5.1497239322984306E-2</v>
      </c>
      <c r="D31" s="2">
        <f t="shared" si="2"/>
        <v>2.6104806752608902</v>
      </c>
      <c r="E31" s="2">
        <f t="shared" si="0"/>
        <v>2.6104806752608902</v>
      </c>
    </row>
    <row r="32" spans="2:5">
      <c r="B32" s="2">
        <v>20.2</v>
      </c>
      <c r="C32" s="2">
        <f t="shared" si="1"/>
        <v>0.14637307766504631</v>
      </c>
      <c r="D32" s="2">
        <f t="shared" si="2"/>
        <v>3.274611543655324</v>
      </c>
      <c r="E32" s="2">
        <f t="shared" si="0"/>
        <v>3.274611543655324</v>
      </c>
    </row>
    <row r="33" spans="2:5">
      <c r="B33" s="2">
        <v>21.2</v>
      </c>
      <c r="C33" s="2">
        <f t="shared" si="1"/>
        <v>0.10667418343589735</v>
      </c>
      <c r="D33" s="2">
        <f t="shared" si="2"/>
        <v>2.9967192840512813</v>
      </c>
      <c r="E33" s="2">
        <f t="shared" si="0"/>
        <v>2.9967192840512813</v>
      </c>
    </row>
    <row r="34" spans="2:5">
      <c r="B34" s="2">
        <v>22.2</v>
      </c>
      <c r="C34" s="2">
        <f t="shared" si="1"/>
        <v>-3.1100463091013816E-2</v>
      </c>
      <c r="D34" s="2">
        <f t="shared" si="2"/>
        <v>2.0322967583629032</v>
      </c>
      <c r="E34" s="2">
        <f t="shared" si="0"/>
        <v>2.0322967583629032</v>
      </c>
    </row>
    <row r="35" spans="2:5">
      <c r="B35" s="2">
        <v>23.2</v>
      </c>
      <c r="C35" s="2">
        <f t="shared" si="1"/>
        <v>-0.14028148727918083</v>
      </c>
      <c r="D35" s="2">
        <f t="shared" si="2"/>
        <v>1.2680295890457343</v>
      </c>
      <c r="E35" s="2">
        <f t="shared" si="0"/>
        <v>1.2680295890457343</v>
      </c>
    </row>
  </sheetData>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1D6DE-0CEC-487C-A61B-AB1DC2AC91E2}">
  <sheetPr codeName="Sheet11"/>
  <dimension ref="B1:T43"/>
  <sheetViews>
    <sheetView zoomScaleNormal="100" workbookViewId="0">
      <selection activeCell="C2" sqref="C2"/>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20" ht="46.5" thickBot="1">
      <c r="B1" s="1" t="s">
        <v>47</v>
      </c>
    </row>
    <row r="2" spans="2:20" ht="15" thickBot="1">
      <c r="B2" s="2" t="s">
        <v>12</v>
      </c>
      <c r="C2" s="4">
        <v>1</v>
      </c>
      <c r="D2" s="2" t="s">
        <v>16</v>
      </c>
      <c r="G2" s="6" t="s">
        <v>36</v>
      </c>
    </row>
    <row r="3" spans="2:20" ht="15" thickBot="1">
      <c r="B3" s="2" t="s">
        <v>13</v>
      </c>
      <c r="C3" s="4">
        <v>1</v>
      </c>
      <c r="D3" s="2" t="s">
        <v>16</v>
      </c>
      <c r="G3" s="2" t="s">
        <v>9</v>
      </c>
      <c r="H3" s="4">
        <v>12</v>
      </c>
      <c r="I3" s="2" t="s">
        <v>18</v>
      </c>
    </row>
    <row r="4" spans="2:20" ht="15" thickBot="1">
      <c r="B4" s="2" t="s">
        <v>14</v>
      </c>
      <c r="C4" s="4">
        <v>1</v>
      </c>
      <c r="D4" s="2" t="s">
        <v>16</v>
      </c>
      <c r="G4" s="2" t="s">
        <v>10</v>
      </c>
      <c r="H4" s="5">
        <v>-12</v>
      </c>
      <c r="I4" s="2" t="s">
        <v>19</v>
      </c>
      <c r="T4" s="2" t="s">
        <v>257</v>
      </c>
    </row>
    <row r="5" spans="2:20" ht="15" thickBot="1">
      <c r="B5" s="2" t="s">
        <v>15</v>
      </c>
      <c r="C5" s="4">
        <v>1</v>
      </c>
      <c r="D5" s="2" t="s">
        <v>16</v>
      </c>
      <c r="G5" s="2" t="s">
        <v>31</v>
      </c>
      <c r="H5" s="4">
        <v>1.3</v>
      </c>
      <c r="I5" s="2" t="s">
        <v>32</v>
      </c>
      <c r="T5" s="2" t="s">
        <v>258</v>
      </c>
    </row>
    <row r="6" spans="2:20" ht="15" thickBot="1">
      <c r="B6" s="2" t="s">
        <v>48</v>
      </c>
      <c r="C6" s="4">
        <v>1</v>
      </c>
      <c r="D6" s="2" t="s">
        <v>17</v>
      </c>
    </row>
    <row r="7" spans="2:20" ht="15" thickBot="1">
      <c r="B7" s="2" t="s">
        <v>1</v>
      </c>
      <c r="C7" s="3">
        <f>-C5/C2</f>
        <v>-1</v>
      </c>
      <c r="D7" s="2" t="s">
        <v>39</v>
      </c>
    </row>
    <row r="8" spans="2:20" ht="15" thickBot="1">
      <c r="B8" s="2" t="s">
        <v>51</v>
      </c>
      <c r="C8" s="4">
        <v>1</v>
      </c>
      <c r="D8" s="2" t="s">
        <v>52</v>
      </c>
    </row>
    <row r="9" spans="2:20" ht="15" thickBot="1">
      <c r="G9" s="6" t="s">
        <v>57</v>
      </c>
    </row>
    <row r="10" spans="2:20" ht="15" thickBot="1">
      <c r="E10" s="6" t="s">
        <v>30</v>
      </c>
      <c r="G10" s="6" t="s">
        <v>48</v>
      </c>
      <c r="H10" s="4">
        <v>5.7</v>
      </c>
      <c r="I10" s="2" t="s">
        <v>17</v>
      </c>
    </row>
    <row r="11" spans="2:20" ht="15" thickBot="1">
      <c r="B11" s="7" t="s">
        <v>6</v>
      </c>
      <c r="C11" s="7" t="s">
        <v>50</v>
      </c>
      <c r="D11" s="7" t="s">
        <v>3</v>
      </c>
      <c r="E11" s="7" t="s">
        <v>3</v>
      </c>
      <c r="G11" s="6" t="s">
        <v>50</v>
      </c>
      <c r="H11" s="4">
        <v>7.8</v>
      </c>
      <c r="I11" s="2" t="s">
        <v>17</v>
      </c>
    </row>
    <row r="12" spans="2:20">
      <c r="B12" s="2">
        <v>0</v>
      </c>
      <c r="C12" s="2">
        <f t="shared" ref="C12:C37" si="0">$C$8*SIN($B12)</f>
        <v>0</v>
      </c>
      <c r="D12" s="2">
        <f t="shared" ref="D12:D37" si="1">$C$7*C12+(1-$C$7)*($C$4/($C$3+$C$4))*$C$6</f>
        <v>1</v>
      </c>
      <c r="E12" s="2">
        <f t="shared" ref="E12:E37" si="2">IF(D12&gt;($H$3-$H$5),($H$3-$H$5),IF(D12&lt;($H$4+$H$5),($H$4+$H$5),D12))</f>
        <v>1</v>
      </c>
      <c r="G12" s="6" t="s">
        <v>34</v>
      </c>
      <c r="H12" s="3">
        <f>IF($C$7*H11+(1-$C$7)*($C$4/($C$3+$C$4))*$H$10&gt;($H$3-$H$5),($H$3-$H$5),IF($C$7*H11+(1-$C$7)*($C$4/($C$3+$C$4))*$H$10&lt;($H$4+$H$5),($H$4+$H$5),$C$7*H11+(1-$C$7)*($C$4/($C$3+$C$4))*$H$10))</f>
        <v>-2.0999999999999996</v>
      </c>
      <c r="I12" s="2" t="s">
        <v>17</v>
      </c>
    </row>
    <row r="13" spans="2:20">
      <c r="B13" s="2">
        <v>0.1</v>
      </c>
      <c r="C13" s="2">
        <f t="shared" si="0"/>
        <v>9.9833416646828155E-2</v>
      </c>
      <c r="D13" s="2">
        <f t="shared" si="1"/>
        <v>0.90016658335317179</v>
      </c>
      <c r="E13" s="2">
        <f t="shared" si="2"/>
        <v>0.90016658335317179</v>
      </c>
    </row>
    <row r="14" spans="2:20">
      <c r="B14" s="2">
        <v>0.2</v>
      </c>
      <c r="C14" s="2">
        <f t="shared" si="0"/>
        <v>0.19866933079506122</v>
      </c>
      <c r="D14" s="2">
        <f t="shared" si="1"/>
        <v>0.80133066920493878</v>
      </c>
      <c r="E14" s="2">
        <f t="shared" si="2"/>
        <v>0.80133066920493878</v>
      </c>
    </row>
    <row r="15" spans="2:20">
      <c r="B15" s="2">
        <v>1.2</v>
      </c>
      <c r="C15" s="2">
        <f t="shared" si="0"/>
        <v>0.93203908596722629</v>
      </c>
      <c r="D15" s="2">
        <f t="shared" si="1"/>
        <v>6.7960914032773712E-2</v>
      </c>
      <c r="E15" s="2">
        <f t="shared" si="2"/>
        <v>6.7960914032773712E-2</v>
      </c>
    </row>
    <row r="16" spans="2:20">
      <c r="B16" s="2">
        <v>2.2000000000000002</v>
      </c>
      <c r="C16" s="2">
        <f t="shared" si="0"/>
        <v>0.80849640381959009</v>
      </c>
      <c r="D16" s="2">
        <f t="shared" si="1"/>
        <v>0.19150359618040991</v>
      </c>
      <c r="E16" s="2">
        <f t="shared" si="2"/>
        <v>0.19150359618040991</v>
      </c>
    </row>
    <row r="17" spans="2:10">
      <c r="B17" s="2">
        <v>3.2</v>
      </c>
      <c r="C17" s="2">
        <f t="shared" si="0"/>
        <v>-5.8374143427580086E-2</v>
      </c>
      <c r="D17" s="2">
        <f t="shared" si="1"/>
        <v>1.0583741434275802</v>
      </c>
      <c r="E17" s="2">
        <f t="shared" si="2"/>
        <v>1.0583741434275802</v>
      </c>
    </row>
    <row r="18" spans="2:10">
      <c r="B18" s="2">
        <v>4.2</v>
      </c>
      <c r="C18" s="2">
        <f t="shared" si="0"/>
        <v>-0.87157577241358819</v>
      </c>
      <c r="D18" s="2">
        <f t="shared" si="1"/>
        <v>1.8715757724135882</v>
      </c>
      <c r="E18" s="2">
        <f t="shared" si="2"/>
        <v>1.8715757724135882</v>
      </c>
    </row>
    <row r="19" spans="2:10">
      <c r="B19" s="2">
        <v>5.2</v>
      </c>
      <c r="C19" s="2">
        <f t="shared" si="0"/>
        <v>-0.88345465572015314</v>
      </c>
      <c r="D19" s="2">
        <f t="shared" si="1"/>
        <v>1.8834546557201532</v>
      </c>
      <c r="E19" s="2">
        <f t="shared" si="2"/>
        <v>1.8834546557201532</v>
      </c>
    </row>
    <row r="20" spans="2:10">
      <c r="B20" s="2">
        <v>6.2</v>
      </c>
      <c r="C20" s="2">
        <f t="shared" si="0"/>
        <v>-8.3089402817496397E-2</v>
      </c>
      <c r="D20" s="2">
        <f t="shared" si="1"/>
        <v>1.0830894028174964</v>
      </c>
      <c r="E20" s="2">
        <f t="shared" si="2"/>
        <v>1.0830894028174964</v>
      </c>
    </row>
    <row r="21" spans="2:10">
      <c r="B21" s="2">
        <v>7.2</v>
      </c>
      <c r="C21" s="2">
        <f t="shared" si="0"/>
        <v>0.79366786384915311</v>
      </c>
      <c r="D21" s="2">
        <f t="shared" si="1"/>
        <v>0.20633213615084689</v>
      </c>
      <c r="E21" s="2">
        <f t="shared" si="2"/>
        <v>0.20633213615084689</v>
      </c>
    </row>
    <row r="22" spans="2:10">
      <c r="B22" s="2">
        <v>8.1999999999999993</v>
      </c>
      <c r="C22" s="2">
        <f t="shared" si="0"/>
        <v>0.94073055667977312</v>
      </c>
      <c r="D22" s="2">
        <f t="shared" si="1"/>
        <v>5.9269443320226878E-2</v>
      </c>
      <c r="E22" s="2">
        <f t="shared" si="2"/>
        <v>5.9269443320226878E-2</v>
      </c>
    </row>
    <row r="23" spans="2:10">
      <c r="B23" s="2">
        <v>9.1999999999999993</v>
      </c>
      <c r="C23" s="2">
        <f t="shared" si="0"/>
        <v>0.22288991410024764</v>
      </c>
      <c r="D23" s="2">
        <f t="shared" si="1"/>
        <v>0.77711008589975239</v>
      </c>
      <c r="E23" s="2">
        <f t="shared" si="2"/>
        <v>0.77711008589975239</v>
      </c>
    </row>
    <row r="24" spans="2:10">
      <c r="B24" s="2">
        <v>10.199999999999999</v>
      </c>
      <c r="C24" s="2">
        <f t="shared" si="0"/>
        <v>-0.69987468759354232</v>
      </c>
      <c r="D24" s="2">
        <f t="shared" si="1"/>
        <v>1.6998746875935424</v>
      </c>
      <c r="E24" s="2">
        <f t="shared" si="2"/>
        <v>1.6998746875935424</v>
      </c>
    </row>
    <row r="25" spans="2:10">
      <c r="B25" s="2">
        <v>11.2</v>
      </c>
      <c r="C25" s="2">
        <f t="shared" si="0"/>
        <v>-0.9791777291513174</v>
      </c>
      <c r="D25" s="2">
        <f t="shared" si="1"/>
        <v>1.9791777291513175</v>
      </c>
      <c r="E25" s="2">
        <f t="shared" si="2"/>
        <v>1.9791777291513175</v>
      </c>
    </row>
    <row r="26" spans="2:10">
      <c r="B26" s="2">
        <v>12.2</v>
      </c>
      <c r="C26" s="2">
        <f t="shared" si="0"/>
        <v>-0.35822928223682871</v>
      </c>
      <c r="D26" s="2">
        <f t="shared" si="1"/>
        <v>1.3582292822368287</v>
      </c>
      <c r="E26" s="2">
        <f t="shared" si="2"/>
        <v>1.3582292822368287</v>
      </c>
    </row>
    <row r="27" spans="2:10">
      <c r="B27" s="2">
        <v>13.2</v>
      </c>
      <c r="C27" s="2">
        <f t="shared" si="0"/>
        <v>0.59207351470722303</v>
      </c>
      <c r="D27" s="2">
        <f t="shared" si="1"/>
        <v>0.40792648529277697</v>
      </c>
      <c r="E27" s="2">
        <f t="shared" si="2"/>
        <v>0.40792648529277697</v>
      </c>
    </row>
    <row r="28" spans="2:10">
      <c r="B28" s="2">
        <v>14.2</v>
      </c>
      <c r="C28" s="2">
        <f t="shared" si="0"/>
        <v>0.99802665271636171</v>
      </c>
      <c r="D28" s="2">
        <f t="shared" si="1"/>
        <v>1.9733472836382937E-3</v>
      </c>
      <c r="E28" s="2">
        <f t="shared" si="2"/>
        <v>1.9733472836382937E-3</v>
      </c>
    </row>
    <row r="29" spans="2:10">
      <c r="B29" s="2">
        <v>15.2</v>
      </c>
      <c r="C29" s="2">
        <f t="shared" si="0"/>
        <v>0.48639868885379967</v>
      </c>
      <c r="D29" s="2">
        <f t="shared" si="1"/>
        <v>0.51360131114620033</v>
      </c>
      <c r="E29" s="2">
        <f t="shared" si="2"/>
        <v>0.51360131114620033</v>
      </c>
      <c r="G29" s="6" t="s">
        <v>65</v>
      </c>
    </row>
    <row r="30" spans="2:10">
      <c r="B30" s="2">
        <v>16.2</v>
      </c>
      <c r="C30" s="2">
        <f t="shared" si="0"/>
        <v>-0.47242198639846616</v>
      </c>
      <c r="D30" s="2">
        <f t="shared" si="1"/>
        <v>1.4724219863984662</v>
      </c>
      <c r="E30" s="2">
        <f t="shared" si="2"/>
        <v>1.4724219863984662</v>
      </c>
      <c r="G30" s="12" t="s">
        <v>64</v>
      </c>
      <c r="H30" s="12">
        <f>H3</f>
        <v>12</v>
      </c>
      <c r="I30" s="12" t="s">
        <v>17</v>
      </c>
      <c r="J30" s="13" t="str">
        <f>TRIM(G30)&amp;"   "&amp;IF(H30&gt;0,"+","")&amp;TRIM(H30)&amp;" "&amp;TRIM(I30)</f>
        <v>V+:   +12 V</v>
      </c>
    </row>
    <row r="31" spans="2:10">
      <c r="B31" s="2">
        <v>17.2</v>
      </c>
      <c r="C31" s="2">
        <f t="shared" si="0"/>
        <v>-0.99690006604159609</v>
      </c>
      <c r="D31" s="2">
        <f t="shared" si="1"/>
        <v>1.9969000660415961</v>
      </c>
      <c r="E31" s="2">
        <f t="shared" si="2"/>
        <v>1.9969000660415961</v>
      </c>
      <c r="G31" s="12" t="s">
        <v>66</v>
      </c>
      <c r="H31" s="12">
        <f>H4</f>
        <v>-12</v>
      </c>
      <c r="I31" s="12" t="s">
        <v>17</v>
      </c>
      <c r="J31" s="13" t="str">
        <f t="shared" ref="J31:J33" si="3">TRIM(G31)&amp;"   "&amp;IF(H31&gt;0,"+","")&amp;TRIM(H31)&amp;" "&amp;TRIM(I31)</f>
        <v>V-:   -12 V</v>
      </c>
    </row>
    <row r="32" spans="2:10">
      <c r="B32" s="2">
        <v>18.2</v>
      </c>
      <c r="C32" s="2">
        <f t="shared" si="0"/>
        <v>-0.60483282240628411</v>
      </c>
      <c r="D32" s="2">
        <f t="shared" si="1"/>
        <v>1.604832822406284</v>
      </c>
      <c r="E32" s="2">
        <f t="shared" si="2"/>
        <v>1.604832822406284</v>
      </c>
      <c r="G32" s="12" t="s">
        <v>70</v>
      </c>
      <c r="H32" s="12">
        <f>H11</f>
        <v>7.8</v>
      </c>
      <c r="I32" s="12" t="s">
        <v>17</v>
      </c>
      <c r="J32" s="13" t="str">
        <f t="shared" si="3"/>
        <v>Vin,1:   +7.8 V</v>
      </c>
    </row>
    <row r="33" spans="2:10">
      <c r="B33" s="2">
        <v>19.2</v>
      </c>
      <c r="C33" s="2">
        <f t="shared" si="0"/>
        <v>0.34331492881989539</v>
      </c>
      <c r="D33" s="2">
        <f t="shared" si="1"/>
        <v>0.65668507118010466</v>
      </c>
      <c r="E33" s="2">
        <f t="shared" si="2"/>
        <v>0.65668507118010466</v>
      </c>
      <c r="G33" s="12" t="s">
        <v>71</v>
      </c>
      <c r="H33" s="12">
        <f>H10</f>
        <v>5.7</v>
      </c>
      <c r="I33" s="12" t="s">
        <v>17</v>
      </c>
      <c r="J33" s="13" t="str">
        <f t="shared" si="3"/>
        <v>Vin,2:   +5.7 V</v>
      </c>
    </row>
    <row r="34" spans="2:10">
      <c r="B34" s="2">
        <v>20.2</v>
      </c>
      <c r="C34" s="2">
        <f t="shared" si="0"/>
        <v>0.97582051776697554</v>
      </c>
      <c r="D34" s="2">
        <f t="shared" si="1"/>
        <v>2.4179482233024463E-2</v>
      </c>
      <c r="E34" s="2">
        <f t="shared" si="2"/>
        <v>2.4179482233024463E-2</v>
      </c>
      <c r="G34" s="12" t="s">
        <v>67</v>
      </c>
      <c r="H34" s="12">
        <f>C2</f>
        <v>1</v>
      </c>
      <c r="I34" s="12" t="s">
        <v>16</v>
      </c>
      <c r="J34" s="13" t="str">
        <f>TRIM(G34)&amp;"   "&amp;TRIM(H34)&amp;" "&amp;TRIM(I34)</f>
        <v>R1:   1 K</v>
      </c>
    </row>
    <row r="35" spans="2:10">
      <c r="B35" s="2">
        <v>21.2</v>
      </c>
      <c r="C35" s="2">
        <f t="shared" si="0"/>
        <v>0.71116122290598238</v>
      </c>
      <c r="D35" s="2">
        <f t="shared" si="1"/>
        <v>0.28883877709401762</v>
      </c>
      <c r="E35" s="2">
        <f t="shared" si="2"/>
        <v>0.28883877709401762</v>
      </c>
      <c r="G35" s="12" t="s">
        <v>72</v>
      </c>
      <c r="H35" s="12">
        <f>C3</f>
        <v>1</v>
      </c>
      <c r="I35" s="12" t="s">
        <v>16</v>
      </c>
      <c r="J35" s="13" t="str">
        <f>TRIM(G35)&amp;"   "&amp;TRIM(H35)&amp;" "&amp;TRIM(I35)</f>
        <v>R2:   1 K</v>
      </c>
    </row>
    <row r="36" spans="2:10">
      <c r="B36" s="2">
        <v>22.2</v>
      </c>
      <c r="C36" s="2">
        <f t="shared" si="0"/>
        <v>-0.20733642060675878</v>
      </c>
      <c r="D36" s="2">
        <f t="shared" si="1"/>
        <v>1.2073364206067587</v>
      </c>
      <c r="E36" s="2">
        <f t="shared" si="2"/>
        <v>1.2073364206067587</v>
      </c>
      <c r="G36" s="12" t="s">
        <v>73</v>
      </c>
      <c r="H36" s="12">
        <f>C4</f>
        <v>1</v>
      </c>
      <c r="I36" s="12" t="s">
        <v>16</v>
      </c>
      <c r="J36" s="13" t="str">
        <f>TRIM(G36)&amp;"   "&amp;TRIM(H36)&amp;" "&amp;TRIM(I36)</f>
        <v>R3:   1 K</v>
      </c>
    </row>
    <row r="37" spans="2:10">
      <c r="B37" s="2">
        <v>23.2</v>
      </c>
      <c r="C37" s="2">
        <f t="shared" si="0"/>
        <v>-0.93520991519453889</v>
      </c>
      <c r="D37" s="2">
        <f t="shared" si="1"/>
        <v>1.9352099151945388</v>
      </c>
      <c r="E37" s="2">
        <f t="shared" si="2"/>
        <v>1.9352099151945388</v>
      </c>
      <c r="G37" s="12" t="s">
        <v>68</v>
      </c>
      <c r="H37" s="12">
        <f>C5</f>
        <v>1</v>
      </c>
      <c r="I37" s="12" t="s">
        <v>16</v>
      </c>
      <c r="J37" s="13" t="str">
        <f>TRIM(G37)&amp;"   "&amp;TRIM(H37)&amp;" "&amp;TRIM(I37)</f>
        <v>RF:   1 K</v>
      </c>
    </row>
    <row r="40" spans="2:10">
      <c r="B40" s="2" t="s">
        <v>49</v>
      </c>
    </row>
    <row r="41" spans="2:10">
      <c r="B41" s="7" t="s">
        <v>6</v>
      </c>
      <c r="C41" s="7" t="s">
        <v>7</v>
      </c>
    </row>
    <row r="42" spans="2:10">
      <c r="B42" s="2">
        <f>MIN($B$12:$B$37)</f>
        <v>0</v>
      </c>
      <c r="C42" s="2">
        <f>C6</f>
        <v>1</v>
      </c>
    </row>
    <row r="43" spans="2:10">
      <c r="B43" s="2">
        <f>MAX($B$12:$B$37)</f>
        <v>23.2</v>
      </c>
      <c r="C43" s="2">
        <f>C42</f>
        <v>1</v>
      </c>
    </row>
  </sheetData>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7C77D-8125-4732-A4CA-13A60D721A8C}">
  <sheetPr codeName="Sheet12"/>
  <dimension ref="B1:J43"/>
  <sheetViews>
    <sheetView zoomScaleNormal="100" workbookViewId="0">
      <selection activeCell="C2" sqref="C2"/>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5" thickBot="1">
      <c r="B1" s="1" t="s">
        <v>53</v>
      </c>
    </row>
    <row r="2" spans="2:9" ht="15" thickBot="1">
      <c r="B2" s="2" t="s">
        <v>12</v>
      </c>
      <c r="C2" s="4">
        <v>1</v>
      </c>
      <c r="D2" s="2" t="s">
        <v>16</v>
      </c>
      <c r="G2" s="6" t="s">
        <v>36</v>
      </c>
    </row>
    <row r="3" spans="2:9" ht="15" thickBot="1">
      <c r="B3" s="2" t="s">
        <v>13</v>
      </c>
      <c r="C3" s="4">
        <v>1</v>
      </c>
      <c r="D3" s="2" t="s">
        <v>16</v>
      </c>
      <c r="G3" s="2" t="s">
        <v>9</v>
      </c>
      <c r="H3" s="4">
        <v>9</v>
      </c>
      <c r="I3" s="2" t="s">
        <v>18</v>
      </c>
    </row>
    <row r="4" spans="2:9" ht="15" thickBot="1">
      <c r="B4" s="2" t="s">
        <v>15</v>
      </c>
      <c r="C4" s="4">
        <v>3</v>
      </c>
      <c r="D4" s="2" t="s">
        <v>16</v>
      </c>
      <c r="G4" s="2" t="s">
        <v>10</v>
      </c>
      <c r="H4" s="5">
        <v>-9</v>
      </c>
      <c r="I4" s="2" t="s">
        <v>19</v>
      </c>
    </row>
    <row r="5" spans="2:9" ht="15" thickBot="1">
      <c r="B5" s="2" t="s">
        <v>48</v>
      </c>
      <c r="C5" s="4">
        <v>2</v>
      </c>
      <c r="D5" s="2" t="s">
        <v>17</v>
      </c>
      <c r="G5" s="2" t="s">
        <v>31</v>
      </c>
      <c r="H5" s="4">
        <v>0.9</v>
      </c>
      <c r="I5" s="2" t="s">
        <v>32</v>
      </c>
    </row>
    <row r="6" spans="2:9" ht="15" thickBot="1">
      <c r="B6" s="2" t="s">
        <v>1</v>
      </c>
      <c r="C6" s="3">
        <f>-C4/C2</f>
        <v>-3</v>
      </c>
      <c r="D6" s="2" t="s">
        <v>39</v>
      </c>
    </row>
    <row r="7" spans="2:9" ht="15" thickBot="1">
      <c r="B7" s="2" t="s">
        <v>62</v>
      </c>
      <c r="C7" s="4">
        <v>1</v>
      </c>
      <c r="D7" s="2" t="s">
        <v>52</v>
      </c>
    </row>
    <row r="10" spans="2:9" ht="15" thickBot="1">
      <c r="E10" s="6" t="s">
        <v>30</v>
      </c>
      <c r="G10" s="6" t="s">
        <v>57</v>
      </c>
    </row>
    <row r="11" spans="2:9" ht="15" thickBot="1">
      <c r="B11" s="7" t="s">
        <v>6</v>
      </c>
      <c r="C11" s="7" t="s">
        <v>50</v>
      </c>
      <c r="D11" s="7" t="s">
        <v>3</v>
      </c>
      <c r="E11" s="7" t="s">
        <v>3</v>
      </c>
      <c r="G11" s="6" t="s">
        <v>58</v>
      </c>
      <c r="H11" s="4">
        <v>1.25</v>
      </c>
      <c r="I11" s="2" t="s">
        <v>17</v>
      </c>
    </row>
    <row r="12" spans="2:9" ht="15" thickBot="1">
      <c r="B12" s="2">
        <v>0</v>
      </c>
      <c r="C12" s="2">
        <f t="shared" ref="C12:C37" si="0">$C$7*SIN($B12)</f>
        <v>0</v>
      </c>
      <c r="D12" s="2">
        <f>-$C$4*(C12/$C$2+$C$5/$C$3)</f>
        <v>-6</v>
      </c>
      <c r="E12" s="2">
        <f t="shared" ref="E12:E37" si="1">IF(D12&gt;($H$3-$H$5),($H$3-$H$5),IF(D12&lt;($H$4+$H$5),($H$4+$H$5),D12))</f>
        <v>-6</v>
      </c>
      <c r="G12" s="6" t="s">
        <v>59</v>
      </c>
      <c r="H12" s="4">
        <v>1.25</v>
      </c>
      <c r="I12" s="2" t="s">
        <v>17</v>
      </c>
    </row>
    <row r="13" spans="2:9">
      <c r="B13" s="2">
        <v>0.1</v>
      </c>
      <c r="C13" s="2">
        <f t="shared" si="0"/>
        <v>9.9833416646828155E-2</v>
      </c>
      <c r="D13" s="2">
        <f t="shared" ref="D13:D37" si="2">-$C$4*(C13/$C$2+$C$5/$C$3)</f>
        <v>-6.2995002499404844</v>
      </c>
      <c r="E13" s="2">
        <f t="shared" si="1"/>
        <v>-6.2995002499404844</v>
      </c>
      <c r="G13" s="6" t="s">
        <v>34</v>
      </c>
      <c r="H13" s="3">
        <f>IF(-$C$4*(H11/$C$2+$H$12/$C$3)&gt;($H$3-$H$5),($H$3-$H$5),IF(-$C$4*(H11/$C$2+$H$12/$C$3)&lt;($H$4+$H$5),($H$4+$H$5),-$C$4*(H11/$C$2+$H$12/$C$3)))</f>
        <v>-7.5</v>
      </c>
      <c r="I13" s="2" t="s">
        <v>17</v>
      </c>
    </row>
    <row r="14" spans="2:9">
      <c r="B14" s="2">
        <v>0.2</v>
      </c>
      <c r="C14" s="2">
        <f t="shared" si="0"/>
        <v>0.19866933079506122</v>
      </c>
      <c r="D14" s="2">
        <f t="shared" si="2"/>
        <v>-6.596007992385184</v>
      </c>
      <c r="E14" s="2">
        <f t="shared" si="1"/>
        <v>-6.596007992385184</v>
      </c>
    </row>
    <row r="15" spans="2:9">
      <c r="B15" s="2">
        <v>1.2</v>
      </c>
      <c r="C15" s="2">
        <f t="shared" si="0"/>
        <v>0.93203908596722629</v>
      </c>
      <c r="D15" s="2">
        <f t="shared" si="2"/>
        <v>-8.7961172579016793</v>
      </c>
      <c r="E15" s="2">
        <f t="shared" si="1"/>
        <v>-8.1</v>
      </c>
    </row>
    <row r="16" spans="2:9">
      <c r="B16" s="2">
        <v>2.2000000000000002</v>
      </c>
      <c r="C16" s="2">
        <f t="shared" si="0"/>
        <v>0.80849640381959009</v>
      </c>
      <c r="D16" s="2">
        <f t="shared" si="2"/>
        <v>-8.4254892114587712</v>
      </c>
      <c r="E16" s="2">
        <f t="shared" si="1"/>
        <v>-8.1</v>
      </c>
    </row>
    <row r="17" spans="2:10">
      <c r="B17" s="2">
        <v>3.2</v>
      </c>
      <c r="C17" s="2">
        <f t="shared" si="0"/>
        <v>-5.8374143427580086E-2</v>
      </c>
      <c r="D17" s="2">
        <f t="shared" si="2"/>
        <v>-5.824877569717259</v>
      </c>
      <c r="E17" s="2">
        <f t="shared" si="1"/>
        <v>-5.824877569717259</v>
      </c>
    </row>
    <row r="18" spans="2:10">
      <c r="B18" s="2">
        <v>4.2</v>
      </c>
      <c r="C18" s="2">
        <f t="shared" si="0"/>
        <v>-0.87157577241358819</v>
      </c>
      <c r="D18" s="2">
        <f t="shared" si="2"/>
        <v>-3.3852726827592354</v>
      </c>
      <c r="E18" s="2">
        <f t="shared" si="1"/>
        <v>-3.3852726827592354</v>
      </c>
    </row>
    <row r="19" spans="2:10">
      <c r="B19" s="2">
        <v>5.2</v>
      </c>
      <c r="C19" s="2">
        <f t="shared" si="0"/>
        <v>-0.88345465572015314</v>
      </c>
      <c r="D19" s="2">
        <f t="shared" si="2"/>
        <v>-3.3496360328395403</v>
      </c>
      <c r="E19" s="2">
        <f t="shared" si="1"/>
        <v>-3.3496360328395403</v>
      </c>
    </row>
    <row r="20" spans="2:10">
      <c r="B20" s="2">
        <v>6.2</v>
      </c>
      <c r="C20" s="2">
        <f t="shared" si="0"/>
        <v>-8.3089402817496397E-2</v>
      </c>
      <c r="D20" s="2">
        <f t="shared" si="2"/>
        <v>-5.7507317915475102</v>
      </c>
      <c r="E20" s="2">
        <f t="shared" si="1"/>
        <v>-5.7507317915475102</v>
      </c>
    </row>
    <row r="21" spans="2:10">
      <c r="B21" s="2">
        <v>7.2</v>
      </c>
      <c r="C21" s="2">
        <f t="shared" si="0"/>
        <v>0.79366786384915311</v>
      </c>
      <c r="D21" s="2">
        <f t="shared" si="2"/>
        <v>-8.3810035915474597</v>
      </c>
      <c r="E21" s="2">
        <f t="shared" si="1"/>
        <v>-8.1</v>
      </c>
    </row>
    <row r="22" spans="2:10">
      <c r="B22" s="2">
        <v>8.1999999999999993</v>
      </c>
      <c r="C22" s="2">
        <f t="shared" si="0"/>
        <v>0.94073055667977312</v>
      </c>
      <c r="D22" s="2">
        <f t="shared" si="2"/>
        <v>-8.8221916700393201</v>
      </c>
      <c r="E22" s="2">
        <f t="shared" si="1"/>
        <v>-8.1</v>
      </c>
    </row>
    <row r="23" spans="2:10">
      <c r="B23" s="2">
        <v>9.1999999999999993</v>
      </c>
      <c r="C23" s="2">
        <f t="shared" si="0"/>
        <v>0.22288991410024764</v>
      </c>
      <c r="D23" s="2">
        <f t="shared" si="2"/>
        <v>-6.6686697423007431</v>
      </c>
      <c r="E23" s="2">
        <f t="shared" si="1"/>
        <v>-6.6686697423007431</v>
      </c>
    </row>
    <row r="24" spans="2:10">
      <c r="B24" s="2">
        <v>10.199999999999999</v>
      </c>
      <c r="C24" s="2">
        <f t="shared" si="0"/>
        <v>-0.69987468759354232</v>
      </c>
      <c r="D24" s="2">
        <f t="shared" si="2"/>
        <v>-3.9003759372193727</v>
      </c>
      <c r="E24" s="2">
        <f t="shared" si="1"/>
        <v>-3.9003759372193727</v>
      </c>
    </row>
    <row r="25" spans="2:10">
      <c r="B25" s="2">
        <v>11.2</v>
      </c>
      <c r="C25" s="2">
        <f t="shared" si="0"/>
        <v>-0.9791777291513174</v>
      </c>
      <c r="D25" s="2">
        <f t="shared" si="2"/>
        <v>-3.0624668125460475</v>
      </c>
      <c r="E25" s="2">
        <f t="shared" si="1"/>
        <v>-3.0624668125460475</v>
      </c>
    </row>
    <row r="26" spans="2:10">
      <c r="B26" s="2">
        <v>12.2</v>
      </c>
      <c r="C26" s="2">
        <f t="shared" si="0"/>
        <v>-0.35822928223682871</v>
      </c>
      <c r="D26" s="2">
        <f t="shared" si="2"/>
        <v>-4.9253121532895143</v>
      </c>
      <c r="E26" s="2">
        <f t="shared" si="1"/>
        <v>-4.9253121532895143</v>
      </c>
    </row>
    <row r="27" spans="2:10">
      <c r="B27" s="2">
        <v>13.2</v>
      </c>
      <c r="C27" s="2">
        <f t="shared" si="0"/>
        <v>0.59207351470722303</v>
      </c>
      <c r="D27" s="2">
        <f t="shared" si="2"/>
        <v>-7.776220544121669</v>
      </c>
      <c r="E27" s="2">
        <f t="shared" si="1"/>
        <v>-7.776220544121669</v>
      </c>
    </row>
    <row r="28" spans="2:10">
      <c r="B28" s="2">
        <v>14.2</v>
      </c>
      <c r="C28" s="2">
        <f t="shared" si="0"/>
        <v>0.99802665271636171</v>
      </c>
      <c r="D28" s="2">
        <f t="shared" si="2"/>
        <v>-8.9940799581490847</v>
      </c>
      <c r="E28" s="2">
        <f t="shared" si="1"/>
        <v>-8.1</v>
      </c>
    </row>
    <row r="29" spans="2:10">
      <c r="B29" s="2">
        <v>15.2</v>
      </c>
      <c r="C29" s="2">
        <f t="shared" si="0"/>
        <v>0.48639868885379967</v>
      </c>
      <c r="D29" s="2">
        <f t="shared" si="2"/>
        <v>-7.4591960665613986</v>
      </c>
      <c r="E29" s="2">
        <f t="shared" si="1"/>
        <v>-7.4591960665613986</v>
      </c>
      <c r="G29" s="6" t="s">
        <v>65</v>
      </c>
    </row>
    <row r="30" spans="2:10">
      <c r="B30" s="2">
        <v>16.2</v>
      </c>
      <c r="C30" s="2">
        <f t="shared" si="0"/>
        <v>-0.47242198639846616</v>
      </c>
      <c r="D30" s="2">
        <f t="shared" si="2"/>
        <v>-4.5827340408046009</v>
      </c>
      <c r="E30" s="2">
        <f t="shared" si="1"/>
        <v>-4.5827340408046009</v>
      </c>
      <c r="G30" s="12" t="s">
        <v>64</v>
      </c>
      <c r="H30" s="12">
        <f>H3</f>
        <v>9</v>
      </c>
      <c r="I30" s="12" t="s">
        <v>17</v>
      </c>
      <c r="J30" s="13" t="str">
        <f>TRIM(G30)&amp;"   "&amp;IF(H30&gt;0,"+","")&amp;TRIM(H30)&amp;" "&amp;TRIM(I30)</f>
        <v>V+:   +9 V</v>
      </c>
    </row>
    <row r="31" spans="2:10">
      <c r="B31" s="2">
        <v>17.2</v>
      </c>
      <c r="C31" s="2">
        <f t="shared" si="0"/>
        <v>-0.99690006604159609</v>
      </c>
      <c r="D31" s="2">
        <f t="shared" si="2"/>
        <v>-3.009299801875212</v>
      </c>
      <c r="E31" s="2">
        <f t="shared" si="1"/>
        <v>-3.009299801875212</v>
      </c>
      <c r="G31" s="12" t="s">
        <v>66</v>
      </c>
      <c r="H31" s="12">
        <f>H4</f>
        <v>-9</v>
      </c>
      <c r="I31" s="12" t="s">
        <v>17</v>
      </c>
      <c r="J31" s="13" t="str">
        <f t="shared" ref="J31:J33" si="3">TRIM(G31)&amp;"   "&amp;IF(H31&gt;0,"+","")&amp;TRIM(H31)&amp;" "&amp;TRIM(I31)</f>
        <v>V-:   -9 V</v>
      </c>
    </row>
    <row r="32" spans="2:10">
      <c r="B32" s="2">
        <v>18.2</v>
      </c>
      <c r="C32" s="2">
        <f t="shared" si="0"/>
        <v>-0.60483282240628411</v>
      </c>
      <c r="D32" s="2">
        <f t="shared" si="2"/>
        <v>-4.1855015327811476</v>
      </c>
      <c r="E32" s="2">
        <f t="shared" si="1"/>
        <v>-4.1855015327811476</v>
      </c>
      <c r="G32" s="12" t="s">
        <v>58</v>
      </c>
      <c r="H32" s="12">
        <f>H11</f>
        <v>1.25</v>
      </c>
      <c r="I32" s="12" t="s">
        <v>17</v>
      </c>
      <c r="J32" s="13" t="str">
        <f t="shared" si="3"/>
        <v>V1:   +1.25 V</v>
      </c>
    </row>
    <row r="33" spans="2:10">
      <c r="B33" s="2">
        <v>19.2</v>
      </c>
      <c r="C33" s="2">
        <f t="shared" si="0"/>
        <v>0.34331492881989539</v>
      </c>
      <c r="D33" s="2">
        <f t="shared" si="2"/>
        <v>-7.0299447864596871</v>
      </c>
      <c r="E33" s="2">
        <f t="shared" si="1"/>
        <v>-7.0299447864596871</v>
      </c>
      <c r="G33" s="12" t="s">
        <v>59</v>
      </c>
      <c r="H33" s="12">
        <f>H12</f>
        <v>1.25</v>
      </c>
      <c r="I33" s="12" t="s">
        <v>17</v>
      </c>
      <c r="J33" s="13" t="str">
        <f t="shared" si="3"/>
        <v>V2:   +1.25 V</v>
      </c>
    </row>
    <row r="34" spans="2:10">
      <c r="B34" s="2">
        <v>20.2</v>
      </c>
      <c r="C34" s="2">
        <f t="shared" si="0"/>
        <v>0.97582051776697554</v>
      </c>
      <c r="D34" s="2">
        <f t="shared" si="2"/>
        <v>-8.9274615533009261</v>
      </c>
      <c r="E34" s="2">
        <f t="shared" si="1"/>
        <v>-8.1</v>
      </c>
      <c r="G34" s="12" t="s">
        <v>67</v>
      </c>
      <c r="H34" s="12">
        <f>C2</f>
        <v>1</v>
      </c>
      <c r="I34" s="12" t="s">
        <v>16</v>
      </c>
      <c r="J34" s="13" t="str">
        <f>TRIM(G34)&amp;"   "&amp;TRIM(H34)&amp;" "&amp;TRIM(I34)</f>
        <v>R1:   1 K</v>
      </c>
    </row>
    <row r="35" spans="2:10">
      <c r="B35" s="2">
        <v>21.2</v>
      </c>
      <c r="C35" s="2">
        <f t="shared" si="0"/>
        <v>0.71116122290598238</v>
      </c>
      <c r="D35" s="2">
        <f t="shared" si="2"/>
        <v>-8.1334836687179468</v>
      </c>
      <c r="E35" s="2">
        <f t="shared" si="1"/>
        <v>-8.1</v>
      </c>
      <c r="G35" s="12" t="s">
        <v>72</v>
      </c>
      <c r="H35" s="12">
        <f>C3</f>
        <v>1</v>
      </c>
      <c r="I35" s="12" t="s">
        <v>16</v>
      </c>
      <c r="J35" s="13" t="str">
        <f>TRIM(G35)&amp;"   "&amp;TRIM(H35)&amp;" "&amp;TRIM(I35)</f>
        <v>R2:   1 K</v>
      </c>
    </row>
    <row r="36" spans="2:10">
      <c r="B36" s="2">
        <v>22.2</v>
      </c>
      <c r="C36" s="2">
        <f t="shared" si="0"/>
        <v>-0.20733642060675878</v>
      </c>
      <c r="D36" s="2">
        <f t="shared" si="2"/>
        <v>-5.3779907381797241</v>
      </c>
      <c r="E36" s="2">
        <f t="shared" si="1"/>
        <v>-5.3779907381797241</v>
      </c>
      <c r="G36" s="12" t="s">
        <v>68</v>
      </c>
      <c r="H36" s="12">
        <f>C4</f>
        <v>3</v>
      </c>
      <c r="I36" s="12" t="s">
        <v>16</v>
      </c>
      <c r="J36" s="13" t="str">
        <f>TRIM(G36)&amp;"   "&amp;TRIM(H36)&amp;" "&amp;TRIM(I36)</f>
        <v>RF:   3 K</v>
      </c>
    </row>
    <row r="37" spans="2:10">
      <c r="B37" s="2">
        <v>23.2</v>
      </c>
      <c r="C37" s="2">
        <f t="shared" si="0"/>
        <v>-0.93520991519453889</v>
      </c>
      <c r="D37" s="2">
        <f t="shared" si="2"/>
        <v>-3.1943702544163837</v>
      </c>
      <c r="E37" s="2">
        <f t="shared" si="1"/>
        <v>-3.1943702544163837</v>
      </c>
      <c r="G37" s="12"/>
      <c r="H37" s="12"/>
      <c r="I37" s="12"/>
    </row>
    <row r="40" spans="2:10">
      <c r="B40" s="2" t="s">
        <v>49</v>
      </c>
    </row>
    <row r="41" spans="2:10">
      <c r="B41" s="7" t="s">
        <v>6</v>
      </c>
      <c r="C41" s="7" t="s">
        <v>48</v>
      </c>
    </row>
    <row r="42" spans="2:10">
      <c r="B42" s="2">
        <f>MIN($B$12:$B$37)</f>
        <v>0</v>
      </c>
      <c r="C42" s="2">
        <f>C5</f>
        <v>2</v>
      </c>
    </row>
    <row r="43" spans="2:10">
      <c r="B43" s="2">
        <f>MAX($B$12:$B$37)</f>
        <v>23.2</v>
      </c>
      <c r="C43" s="2">
        <f>C42</f>
        <v>2</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37D08-A436-4F56-A911-BD7EEB1A0529}">
  <dimension ref="B1:J43"/>
  <sheetViews>
    <sheetView zoomScaleNormal="100" workbookViewId="0">
      <selection activeCell="C2" sqref="C2"/>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5" thickBot="1">
      <c r="B1" s="1" t="s">
        <v>237</v>
      </c>
    </row>
    <row r="2" spans="2:9" ht="15" thickBot="1">
      <c r="B2" s="2" t="s">
        <v>12</v>
      </c>
      <c r="C2" s="4">
        <v>1</v>
      </c>
      <c r="D2" s="2" t="s">
        <v>16</v>
      </c>
      <c r="G2" s="6" t="s">
        <v>36</v>
      </c>
    </row>
    <row r="3" spans="2:9" ht="15" thickBot="1">
      <c r="B3" s="2" t="s">
        <v>13</v>
      </c>
      <c r="C3" s="4">
        <v>1</v>
      </c>
      <c r="D3" s="2" t="s">
        <v>16</v>
      </c>
      <c r="G3" s="2" t="s">
        <v>9</v>
      </c>
      <c r="H3" s="4">
        <v>5</v>
      </c>
      <c r="I3" s="2" t="s">
        <v>18</v>
      </c>
    </row>
    <row r="4" spans="2:9" ht="15" thickBot="1">
      <c r="B4" s="2" t="s">
        <v>14</v>
      </c>
      <c r="C4" s="4">
        <v>1</v>
      </c>
      <c r="D4" s="2" t="s">
        <v>16</v>
      </c>
      <c r="G4" s="2" t="s">
        <v>10</v>
      </c>
      <c r="H4" s="5">
        <v>-5</v>
      </c>
      <c r="I4" s="2" t="s">
        <v>19</v>
      </c>
    </row>
    <row r="5" spans="2:9" ht="15" thickBot="1">
      <c r="B5" s="2" t="s">
        <v>15</v>
      </c>
      <c r="C5" s="4">
        <v>1</v>
      </c>
      <c r="D5" s="2" t="s">
        <v>16</v>
      </c>
      <c r="G5" s="2" t="s">
        <v>31</v>
      </c>
      <c r="H5" s="4">
        <v>1.3</v>
      </c>
      <c r="I5" s="2" t="s">
        <v>32</v>
      </c>
    </row>
    <row r="6" spans="2:9" ht="15" thickBot="1">
      <c r="B6" s="2" t="s">
        <v>48</v>
      </c>
      <c r="C6" s="4">
        <v>0.2</v>
      </c>
      <c r="D6" s="2" t="s">
        <v>17</v>
      </c>
    </row>
    <row r="7" spans="2:9" ht="15" thickBot="1">
      <c r="B7" s="2" t="s">
        <v>78</v>
      </c>
      <c r="C7" s="4">
        <v>0.4</v>
      </c>
      <c r="D7" s="2" t="s">
        <v>17</v>
      </c>
    </row>
    <row r="8" spans="2:9" ht="15" thickBot="1">
      <c r="B8" s="2" t="s">
        <v>1</v>
      </c>
      <c r="C8" s="3">
        <f>-C5/C2</f>
        <v>-1</v>
      </c>
      <c r="D8" s="2" t="s">
        <v>39</v>
      </c>
    </row>
    <row r="9" spans="2:9" ht="15" thickBot="1">
      <c r="B9" s="2" t="s">
        <v>62</v>
      </c>
      <c r="C9" s="4">
        <v>1</v>
      </c>
      <c r="D9" s="2" t="s">
        <v>52</v>
      </c>
    </row>
    <row r="10" spans="2:9" ht="15" thickBot="1">
      <c r="E10" s="6" t="s">
        <v>30</v>
      </c>
      <c r="G10" s="6" t="s">
        <v>57</v>
      </c>
    </row>
    <row r="11" spans="2:9" ht="15" thickBot="1">
      <c r="B11" s="7" t="s">
        <v>6</v>
      </c>
      <c r="C11" s="7" t="s">
        <v>50</v>
      </c>
      <c r="D11" s="7" t="s">
        <v>3</v>
      </c>
      <c r="E11" s="7" t="s">
        <v>3</v>
      </c>
      <c r="G11" s="6" t="s">
        <v>58</v>
      </c>
      <c r="H11" s="4">
        <v>1.44</v>
      </c>
      <c r="I11" s="2" t="s">
        <v>17</v>
      </c>
    </row>
    <row r="12" spans="2:9" ht="15" thickBot="1">
      <c r="B12" s="2">
        <v>0</v>
      </c>
      <c r="C12" s="2">
        <f t="shared" ref="C12:C37" si="0">$C$9*SIN($B12)</f>
        <v>0</v>
      </c>
      <c r="D12" s="2">
        <f>-$C$5*(C12/$C$2+$C$6/$C$3+$C$7/$C$4)</f>
        <v>-0.60000000000000009</v>
      </c>
      <c r="E12" s="2">
        <f t="shared" ref="E12:E37" si="1">IF(D12&gt;($H$3-$H$5),($H$3-$H$5),IF(D12&lt;($H$4+$H$5),($H$4+$H$5),D12))</f>
        <v>-0.60000000000000009</v>
      </c>
      <c r="G12" s="6" t="s">
        <v>59</v>
      </c>
      <c r="H12" s="4">
        <v>2.5099999999999998</v>
      </c>
      <c r="I12" s="2" t="s">
        <v>17</v>
      </c>
    </row>
    <row r="13" spans="2:9" ht="15" thickBot="1">
      <c r="B13" s="2">
        <v>0.1</v>
      </c>
      <c r="C13" s="2">
        <f t="shared" si="0"/>
        <v>9.9833416646828155E-2</v>
      </c>
      <c r="D13" s="2">
        <f t="shared" ref="D13:D37" si="2">-$C$5*(C13/$C$2+$C$6/$C$3+$C$7/$C$4)</f>
        <v>-0.69983341664682819</v>
      </c>
      <c r="E13" s="2">
        <f t="shared" si="1"/>
        <v>-0.69983341664682819</v>
      </c>
      <c r="G13" s="6" t="s">
        <v>77</v>
      </c>
      <c r="H13" s="4">
        <v>1.67</v>
      </c>
      <c r="I13" s="2" t="s">
        <v>17</v>
      </c>
    </row>
    <row r="14" spans="2:9">
      <c r="B14" s="2">
        <v>0.2</v>
      </c>
      <c r="C14" s="2">
        <f t="shared" si="0"/>
        <v>0.19866933079506122</v>
      </c>
      <c r="D14" s="2">
        <f t="shared" si="2"/>
        <v>-0.79866933079506119</v>
      </c>
      <c r="E14" s="2">
        <f t="shared" si="1"/>
        <v>-0.79866933079506119</v>
      </c>
      <c r="G14" s="6" t="s">
        <v>34</v>
      </c>
      <c r="H14" s="3">
        <f>IF(-$C$5*(H11/$C$2+$H$12/$C$3+$H$13/$C$4)&gt;($H$3-$H$5),($H$3-$H$5),IF(-$C$5*(H11/$C$2+$H$12/$C$3+$H$13/$C$4)&lt;($H$4+$H$5),($H$4+$H$5),-$C$5*(H11/$C$2+$H$12/$C$3+$H$13/$C$4)))</f>
        <v>-3.7</v>
      </c>
      <c r="I14" s="2" t="s">
        <v>17</v>
      </c>
    </row>
    <row r="15" spans="2:9">
      <c r="B15" s="2">
        <v>1.2</v>
      </c>
      <c r="C15" s="2">
        <f t="shared" si="0"/>
        <v>0.93203908596722629</v>
      </c>
      <c r="D15" s="2">
        <f t="shared" si="2"/>
        <v>-1.5320390859672264</v>
      </c>
      <c r="E15" s="2">
        <f t="shared" si="1"/>
        <v>-1.5320390859672264</v>
      </c>
    </row>
    <row r="16" spans="2:9">
      <c r="B16" s="2">
        <v>2.2000000000000002</v>
      </c>
      <c r="C16" s="2">
        <f t="shared" si="0"/>
        <v>0.80849640381959009</v>
      </c>
      <c r="D16" s="2">
        <f t="shared" si="2"/>
        <v>-1.4084964038195902</v>
      </c>
      <c r="E16" s="2">
        <f t="shared" si="1"/>
        <v>-1.4084964038195902</v>
      </c>
    </row>
    <row r="17" spans="2:10">
      <c r="B17" s="2">
        <v>3.2</v>
      </c>
      <c r="C17" s="2">
        <f t="shared" si="0"/>
        <v>-5.8374143427580086E-2</v>
      </c>
      <c r="D17" s="2">
        <f t="shared" si="2"/>
        <v>-0.54162585657241991</v>
      </c>
      <c r="E17" s="2">
        <f t="shared" si="1"/>
        <v>-0.54162585657241991</v>
      </c>
    </row>
    <row r="18" spans="2:10">
      <c r="B18" s="2">
        <v>4.2</v>
      </c>
      <c r="C18" s="2">
        <f t="shared" si="0"/>
        <v>-0.87157577241358819</v>
      </c>
      <c r="D18" s="2">
        <f t="shared" si="2"/>
        <v>0.27157577241358821</v>
      </c>
      <c r="E18" s="2">
        <f t="shared" si="1"/>
        <v>0.27157577241358821</v>
      </c>
    </row>
    <row r="19" spans="2:10">
      <c r="B19" s="2">
        <v>5.2</v>
      </c>
      <c r="C19" s="2">
        <f t="shared" si="0"/>
        <v>-0.88345465572015314</v>
      </c>
      <c r="D19" s="2">
        <f t="shared" si="2"/>
        <v>0.28345465572015305</v>
      </c>
      <c r="E19" s="2">
        <f t="shared" si="1"/>
        <v>0.28345465572015305</v>
      </c>
    </row>
    <row r="20" spans="2:10">
      <c r="B20" s="2">
        <v>6.2</v>
      </c>
      <c r="C20" s="2">
        <f t="shared" si="0"/>
        <v>-8.3089402817496397E-2</v>
      </c>
      <c r="D20" s="2">
        <f t="shared" si="2"/>
        <v>-0.51691059718250365</v>
      </c>
      <c r="E20" s="2">
        <f t="shared" si="1"/>
        <v>-0.51691059718250365</v>
      </c>
    </row>
    <row r="21" spans="2:10">
      <c r="B21" s="2">
        <v>7.2</v>
      </c>
      <c r="C21" s="2">
        <f t="shared" si="0"/>
        <v>0.79366786384915311</v>
      </c>
      <c r="D21" s="2">
        <f t="shared" si="2"/>
        <v>-1.3936678638491533</v>
      </c>
      <c r="E21" s="2">
        <f t="shared" si="1"/>
        <v>-1.3936678638491533</v>
      </c>
    </row>
    <row r="22" spans="2:10">
      <c r="B22" s="2">
        <v>8.1999999999999993</v>
      </c>
      <c r="C22" s="2">
        <f t="shared" si="0"/>
        <v>0.94073055667977312</v>
      </c>
      <c r="D22" s="2">
        <f t="shared" si="2"/>
        <v>-1.5407305566797733</v>
      </c>
      <c r="E22" s="2">
        <f t="shared" si="1"/>
        <v>-1.5407305566797733</v>
      </c>
    </row>
    <row r="23" spans="2:10">
      <c r="B23" s="2">
        <v>9.1999999999999993</v>
      </c>
      <c r="C23" s="2">
        <f t="shared" si="0"/>
        <v>0.22288991410024764</v>
      </c>
      <c r="D23" s="2">
        <f t="shared" si="2"/>
        <v>-0.8228899141002477</v>
      </c>
      <c r="E23" s="2">
        <f t="shared" si="1"/>
        <v>-0.8228899141002477</v>
      </c>
    </row>
    <row r="24" spans="2:10">
      <c r="B24" s="2">
        <v>10.199999999999999</v>
      </c>
      <c r="C24" s="2">
        <f t="shared" si="0"/>
        <v>-0.69987468759354232</v>
      </c>
      <c r="D24" s="2">
        <f t="shared" si="2"/>
        <v>9.9874687593542288E-2</v>
      </c>
      <c r="E24" s="2">
        <f t="shared" si="1"/>
        <v>9.9874687593542288E-2</v>
      </c>
    </row>
    <row r="25" spans="2:10">
      <c r="B25" s="2">
        <v>11.2</v>
      </c>
      <c r="C25" s="2">
        <f t="shared" si="0"/>
        <v>-0.9791777291513174</v>
      </c>
      <c r="D25" s="2">
        <f t="shared" si="2"/>
        <v>0.37917772915131731</v>
      </c>
      <c r="E25" s="2">
        <f t="shared" si="1"/>
        <v>0.37917772915131731</v>
      </c>
    </row>
    <row r="26" spans="2:10">
      <c r="B26" s="2">
        <v>12.2</v>
      </c>
      <c r="C26" s="2">
        <f t="shared" si="0"/>
        <v>-0.35822928223682871</v>
      </c>
      <c r="D26" s="2">
        <f t="shared" si="2"/>
        <v>-0.24177071776317133</v>
      </c>
      <c r="E26" s="2">
        <f t="shared" si="1"/>
        <v>-0.24177071776317133</v>
      </c>
    </row>
    <row r="27" spans="2:10">
      <c r="B27" s="2">
        <v>13.2</v>
      </c>
      <c r="C27" s="2">
        <f t="shared" si="0"/>
        <v>0.59207351470722303</v>
      </c>
      <c r="D27" s="2">
        <f t="shared" si="2"/>
        <v>-1.1920735147072232</v>
      </c>
      <c r="E27" s="2">
        <f t="shared" si="1"/>
        <v>-1.1920735147072232</v>
      </c>
    </row>
    <row r="28" spans="2:10">
      <c r="B28" s="2">
        <v>14.2</v>
      </c>
      <c r="C28" s="2">
        <f t="shared" si="0"/>
        <v>0.99802665271636171</v>
      </c>
      <c r="D28" s="2">
        <f t="shared" si="2"/>
        <v>-1.5980266527163618</v>
      </c>
      <c r="E28" s="2">
        <f t="shared" si="1"/>
        <v>-1.5980266527163618</v>
      </c>
    </row>
    <row r="29" spans="2:10">
      <c r="B29" s="2">
        <v>15.2</v>
      </c>
      <c r="C29" s="2">
        <f t="shared" si="0"/>
        <v>0.48639868885379967</v>
      </c>
      <c r="D29" s="2">
        <f t="shared" si="2"/>
        <v>-1.0863986888537998</v>
      </c>
      <c r="E29" s="2">
        <f t="shared" si="1"/>
        <v>-1.0863986888537998</v>
      </c>
    </row>
    <row r="30" spans="2:10">
      <c r="B30" s="2">
        <v>16.2</v>
      </c>
      <c r="C30" s="2">
        <f t="shared" si="0"/>
        <v>-0.47242198639846616</v>
      </c>
      <c r="D30" s="2">
        <f t="shared" si="2"/>
        <v>-0.12757801360153387</v>
      </c>
      <c r="E30" s="2">
        <f t="shared" si="1"/>
        <v>-0.12757801360153387</v>
      </c>
      <c r="G30" s="6" t="s">
        <v>65</v>
      </c>
    </row>
    <row r="31" spans="2:10">
      <c r="B31" s="2">
        <v>17.2</v>
      </c>
      <c r="C31" s="2">
        <f t="shared" si="0"/>
        <v>-0.99690006604159609</v>
      </c>
      <c r="D31" s="2">
        <f t="shared" si="2"/>
        <v>0.39690006604159611</v>
      </c>
      <c r="E31" s="2">
        <f t="shared" si="1"/>
        <v>0.39690006604159611</v>
      </c>
      <c r="G31" s="12" t="s">
        <v>64</v>
      </c>
      <c r="H31" s="12">
        <f>H3</f>
        <v>5</v>
      </c>
      <c r="I31" s="12" t="s">
        <v>17</v>
      </c>
      <c r="J31" s="13" t="str">
        <f>TRIM(G31)&amp;"   "&amp;IF(H31&gt;0,"+","")&amp;TRIM(H31)&amp;" "&amp;TRIM(I31)</f>
        <v>V+:   +5 V</v>
      </c>
    </row>
    <row r="32" spans="2:10">
      <c r="B32" s="2">
        <v>18.2</v>
      </c>
      <c r="C32" s="2">
        <f t="shared" si="0"/>
        <v>-0.60483282240628411</v>
      </c>
      <c r="D32" s="2">
        <f t="shared" si="2"/>
        <v>4.8328224062840763E-3</v>
      </c>
      <c r="E32" s="2">
        <f t="shared" si="1"/>
        <v>4.8328224062840763E-3</v>
      </c>
      <c r="G32" s="12" t="s">
        <v>66</v>
      </c>
      <c r="H32" s="12">
        <f>H4</f>
        <v>-5</v>
      </c>
      <c r="I32" s="12" t="s">
        <v>17</v>
      </c>
      <c r="J32" s="13" t="str">
        <f t="shared" ref="J32:J35" si="3">TRIM(G32)&amp;"   "&amp;IF(H32&gt;0,"+","")&amp;TRIM(H32)&amp;" "&amp;TRIM(I32)</f>
        <v>V-:   -5 V</v>
      </c>
    </row>
    <row r="33" spans="2:10">
      <c r="B33" s="2">
        <v>19.2</v>
      </c>
      <c r="C33" s="2">
        <f t="shared" si="0"/>
        <v>0.34331492881989539</v>
      </c>
      <c r="D33" s="2">
        <f t="shared" si="2"/>
        <v>-0.94331492881989543</v>
      </c>
      <c r="E33" s="2">
        <f t="shared" si="1"/>
        <v>-0.94331492881989543</v>
      </c>
      <c r="G33" s="12" t="s">
        <v>58</v>
      </c>
      <c r="H33" s="12">
        <f>H11</f>
        <v>1.44</v>
      </c>
      <c r="I33" s="12" t="s">
        <v>17</v>
      </c>
      <c r="J33" s="13" t="str">
        <f t="shared" si="3"/>
        <v>V1:   +1.44 V</v>
      </c>
    </row>
    <row r="34" spans="2:10">
      <c r="B34" s="2">
        <v>20.2</v>
      </c>
      <c r="C34" s="2">
        <f t="shared" si="0"/>
        <v>0.97582051776697554</v>
      </c>
      <c r="D34" s="2">
        <f t="shared" si="2"/>
        <v>-1.5758205177669757</v>
      </c>
      <c r="E34" s="2">
        <f t="shared" si="1"/>
        <v>-1.5758205177669757</v>
      </c>
      <c r="G34" s="12" t="s">
        <v>59</v>
      </c>
      <c r="H34" s="12">
        <f>H12</f>
        <v>2.5099999999999998</v>
      </c>
      <c r="I34" s="12" t="s">
        <v>17</v>
      </c>
      <c r="J34" s="13" t="str">
        <f t="shared" si="3"/>
        <v>V2:   +2.51 V</v>
      </c>
    </row>
    <row r="35" spans="2:10">
      <c r="B35" s="2">
        <v>21.2</v>
      </c>
      <c r="C35" s="2">
        <f t="shared" si="0"/>
        <v>0.71116122290598238</v>
      </c>
      <c r="D35" s="2">
        <f t="shared" si="2"/>
        <v>-1.3111612229059824</v>
      </c>
      <c r="E35" s="2">
        <f t="shared" si="1"/>
        <v>-1.3111612229059824</v>
      </c>
      <c r="G35" s="12" t="s">
        <v>77</v>
      </c>
      <c r="H35" s="12">
        <f>H13</f>
        <v>1.67</v>
      </c>
      <c r="I35" s="12" t="s">
        <v>17</v>
      </c>
      <c r="J35" s="13" t="str">
        <f t="shared" si="3"/>
        <v>V3:   +1.67 V</v>
      </c>
    </row>
    <row r="36" spans="2:10">
      <c r="B36" s="2">
        <v>22.2</v>
      </c>
      <c r="C36" s="2">
        <f t="shared" si="0"/>
        <v>-0.20733642060675878</v>
      </c>
      <c r="D36" s="2">
        <f t="shared" si="2"/>
        <v>-0.39266357939324126</v>
      </c>
      <c r="E36" s="2">
        <f t="shared" si="1"/>
        <v>-0.39266357939324126</v>
      </c>
      <c r="G36" s="12" t="s">
        <v>67</v>
      </c>
      <c r="H36" s="12">
        <f>C2</f>
        <v>1</v>
      </c>
      <c r="I36" s="12" t="s">
        <v>16</v>
      </c>
      <c r="J36" s="13" t="str">
        <f t="shared" ref="J36:J39" si="4">TRIM(G36)&amp;"   "&amp;TRIM(H36)&amp;" "&amp;TRIM(I36)</f>
        <v>R1:   1 K</v>
      </c>
    </row>
    <row r="37" spans="2:10">
      <c r="B37" s="2">
        <v>23.2</v>
      </c>
      <c r="C37" s="2">
        <f t="shared" si="0"/>
        <v>-0.93520991519453889</v>
      </c>
      <c r="D37" s="2">
        <f t="shared" si="2"/>
        <v>0.3352099151945388</v>
      </c>
      <c r="E37" s="2">
        <f t="shared" si="1"/>
        <v>0.3352099151945388</v>
      </c>
      <c r="G37" s="12" t="s">
        <v>72</v>
      </c>
      <c r="H37" s="12">
        <f>C3</f>
        <v>1</v>
      </c>
      <c r="I37" s="12" t="s">
        <v>16</v>
      </c>
      <c r="J37" s="13" t="str">
        <f t="shared" si="4"/>
        <v>R2:   1 K</v>
      </c>
    </row>
    <row r="38" spans="2:10">
      <c r="G38" s="12" t="s">
        <v>73</v>
      </c>
      <c r="H38" s="12">
        <f>C4</f>
        <v>1</v>
      </c>
      <c r="I38" s="12" t="s">
        <v>16</v>
      </c>
      <c r="J38" s="13" t="str">
        <f t="shared" si="4"/>
        <v>R3:   1 K</v>
      </c>
    </row>
    <row r="39" spans="2:10">
      <c r="G39" s="12" t="s">
        <v>68</v>
      </c>
      <c r="H39" s="12">
        <f>C5</f>
        <v>1</v>
      </c>
      <c r="I39" s="12" t="s">
        <v>16</v>
      </c>
      <c r="J39" s="13" t="str">
        <f t="shared" si="4"/>
        <v>RF:   1 K</v>
      </c>
    </row>
    <row r="40" spans="2:10">
      <c r="B40" s="2" t="s">
        <v>79</v>
      </c>
    </row>
    <row r="41" spans="2:10">
      <c r="B41" s="7" t="s">
        <v>6</v>
      </c>
      <c r="C41" s="7" t="s">
        <v>48</v>
      </c>
      <c r="D41" s="7" t="s">
        <v>78</v>
      </c>
    </row>
    <row r="42" spans="2:10">
      <c r="B42" s="2">
        <f>MIN($B$12:$B$37)</f>
        <v>0</v>
      </c>
      <c r="C42" s="2">
        <f>C6</f>
        <v>0.2</v>
      </c>
      <c r="D42" s="2">
        <f>C7</f>
        <v>0.4</v>
      </c>
    </row>
    <row r="43" spans="2:10">
      <c r="B43" s="2">
        <f>MAX($B$12:$B$37)</f>
        <v>23.2</v>
      </c>
      <c r="C43" s="2">
        <f>C42</f>
        <v>0.2</v>
      </c>
      <c r="D43" s="2">
        <f>D42</f>
        <v>0.4</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8E3AB-25C6-4F97-BDEC-FF2080048D7F}">
  <sheetPr codeName="Sheet13"/>
  <dimension ref="B1:M37"/>
  <sheetViews>
    <sheetView zoomScaleNormal="100" workbookViewId="0">
      <selection activeCell="C2" sqref="C2"/>
    </sheetView>
  </sheetViews>
  <sheetFormatPr defaultColWidth="9.1796875" defaultRowHeight="14.5"/>
  <cols>
    <col min="1" max="1" width="5.1796875" style="2" customWidth="1"/>
    <col min="2" max="10" width="9.1796875" style="2"/>
    <col min="11" max="11" width="11.54296875" style="2" customWidth="1"/>
    <col min="12" max="16384" width="9.1796875" style="2"/>
  </cols>
  <sheetData>
    <row r="1" spans="2:13" ht="46.5" thickBot="1">
      <c r="B1" s="1" t="s">
        <v>54</v>
      </c>
    </row>
    <row r="2" spans="2:13" ht="15" thickBot="1">
      <c r="B2" s="2" t="s">
        <v>109</v>
      </c>
      <c r="C2" s="4">
        <v>0.5</v>
      </c>
      <c r="D2" s="2" t="s">
        <v>17</v>
      </c>
      <c r="E2" s="2" t="s">
        <v>12</v>
      </c>
      <c r="F2" s="8">
        <v>1</v>
      </c>
      <c r="G2" s="2" t="s">
        <v>16</v>
      </c>
      <c r="K2" s="6" t="s">
        <v>36</v>
      </c>
    </row>
    <row r="3" spans="2:13" ht="15" thickBot="1">
      <c r="B3" s="2" t="s">
        <v>0</v>
      </c>
      <c r="C3" s="3">
        <f>(1+F5/F4)*(F2/(F2+F3))*C2</f>
        <v>1.65</v>
      </c>
      <c r="E3" s="2" t="s">
        <v>13</v>
      </c>
      <c r="F3" s="4">
        <v>1</v>
      </c>
      <c r="G3" s="2" t="s">
        <v>16</v>
      </c>
      <c r="K3" s="2" t="s">
        <v>9</v>
      </c>
      <c r="L3" s="4">
        <v>5</v>
      </c>
      <c r="M3" s="2" t="s">
        <v>18</v>
      </c>
    </row>
    <row r="4" spans="2:13" ht="15" thickBot="1">
      <c r="B4" s="2" t="s">
        <v>1</v>
      </c>
      <c r="C4" s="3">
        <f>(1+F5/F4)*(F3/(F2+F3))</f>
        <v>3.3</v>
      </c>
      <c r="E4" s="2" t="s">
        <v>14</v>
      </c>
      <c r="F4" s="4">
        <v>1</v>
      </c>
      <c r="G4" s="2" t="s">
        <v>16</v>
      </c>
      <c r="K4" s="2" t="s">
        <v>10</v>
      </c>
      <c r="L4" s="5">
        <v>-5</v>
      </c>
      <c r="M4" s="2" t="s">
        <v>19</v>
      </c>
    </row>
    <row r="5" spans="2:13" ht="15" thickBot="1">
      <c r="B5" s="2" t="s">
        <v>4</v>
      </c>
      <c r="C5" s="4">
        <v>1</v>
      </c>
      <c r="D5" s="2" t="s">
        <v>17</v>
      </c>
      <c r="E5" s="2" t="s">
        <v>15</v>
      </c>
      <c r="F5" s="5">
        <v>5.6</v>
      </c>
      <c r="G5" s="2" t="s">
        <v>16</v>
      </c>
      <c r="K5" s="2" t="s">
        <v>31</v>
      </c>
      <c r="L5" s="4">
        <v>1.3</v>
      </c>
      <c r="M5" s="2" t="s">
        <v>32</v>
      </c>
    </row>
    <row r="9" spans="2:13">
      <c r="E9" s="6" t="s">
        <v>30</v>
      </c>
    </row>
    <row r="10" spans="2:13" ht="15" thickBot="1">
      <c r="B10" s="7" t="s">
        <v>6</v>
      </c>
      <c r="C10" s="7" t="s">
        <v>2</v>
      </c>
      <c r="D10" s="7" t="s">
        <v>3</v>
      </c>
      <c r="E10" s="7" t="s">
        <v>3</v>
      </c>
      <c r="G10" s="6" t="s">
        <v>33</v>
      </c>
    </row>
    <row r="11" spans="2:13" ht="15" thickBot="1">
      <c r="B11" s="2">
        <v>0</v>
      </c>
      <c r="C11" s="2">
        <f>$C$5*SIN($B11)</f>
        <v>0</v>
      </c>
      <c r="D11" s="2">
        <f>(1+($F$5/$F$4))*($C11*($F$3/($F$2+$F$3))+$C$2*($F$2/($F$2+$F$3)))</f>
        <v>1.65</v>
      </c>
      <c r="E11" s="2">
        <f>IF(D11&gt;($L$3-$L$5),($L$3-$L$5),IF(D11&lt;($L$4+$L$5),($L$4+$L$5),D11))</f>
        <v>1.65</v>
      </c>
      <c r="G11" s="6" t="s">
        <v>108</v>
      </c>
      <c r="H11" s="4">
        <v>0.5</v>
      </c>
      <c r="I11" s="2" t="s">
        <v>17</v>
      </c>
    </row>
    <row r="12" spans="2:13">
      <c r="B12" s="2">
        <v>0.1</v>
      </c>
      <c r="C12" s="2">
        <f t="shared" ref="C12:C36" si="0">$C$5*SIN($B12)</f>
        <v>9.9833416646828155E-2</v>
      </c>
      <c r="D12" s="2">
        <f t="shared" ref="D12:D36" si="1">(1+($F$5/$F$4))*($C12*($F$3/($F$2+$F$3))+$C$2*($F$2/($F$2+$F$3)))</f>
        <v>1.9794502749345331</v>
      </c>
      <c r="E12" s="2">
        <f>IF(D12&gt;($L$3-$L$5),($L$3-$L$5),IF(D12&lt;($L$4+$L$5),($L$4+$L$5),D12))</f>
        <v>1.9794502749345331</v>
      </c>
      <c r="G12" s="6" t="s">
        <v>34</v>
      </c>
      <c r="H12" s="3">
        <f>IF((1+($F$5/$F$4))*($H11*($F$3/($F$2+$F$3))+$C$2*($F$2/($F$2+$F$3)))&gt;($L$3-$L$5),($L$3-$L$5),IF((1+($F$5/$F$4))*($H11*($F$3/($F$2+$F$3))+$C$2*($F$2/($F$2+$F$3)))&lt;($L$4+$L$5),($L$4+$L$5),(1+($F$5/$F$4))*($H11*($F$3/($F$2+$F$3))+$C$2*($F$2/($F$2+$F$3)))))</f>
        <v>3.3</v>
      </c>
      <c r="I12" s="2" t="s">
        <v>17</v>
      </c>
    </row>
    <row r="13" spans="2:13">
      <c r="B13" s="2">
        <v>0.2</v>
      </c>
      <c r="C13" s="2">
        <f t="shared" si="0"/>
        <v>0.19866933079506122</v>
      </c>
      <c r="D13" s="2">
        <f t="shared" si="1"/>
        <v>2.305608791623702</v>
      </c>
      <c r="E13" s="2">
        <f t="shared" ref="E13:E36" si="2">IF(D13&gt;($L$3-$L$5),($L$3-$L$5),IF(D13&lt;($L$4+$L$5),($L$4+$L$5),D13))</f>
        <v>2.305608791623702</v>
      </c>
    </row>
    <row r="14" spans="2:13">
      <c r="B14" s="2">
        <v>1.2</v>
      </c>
      <c r="C14" s="2">
        <f t="shared" si="0"/>
        <v>0.93203908596722629</v>
      </c>
      <c r="D14" s="2">
        <f t="shared" si="1"/>
        <v>4.7257289836918464</v>
      </c>
      <c r="E14" s="2">
        <f t="shared" si="2"/>
        <v>3.7</v>
      </c>
    </row>
    <row r="15" spans="2:13">
      <c r="B15" s="2">
        <v>2.2000000000000002</v>
      </c>
      <c r="C15" s="2">
        <f t="shared" si="0"/>
        <v>0.80849640381959009</v>
      </c>
      <c r="D15" s="2">
        <f t="shared" si="1"/>
        <v>4.3180381326046469</v>
      </c>
      <c r="E15" s="2">
        <f t="shared" si="2"/>
        <v>3.7</v>
      </c>
    </row>
    <row r="16" spans="2:13">
      <c r="B16" s="2">
        <v>3.2</v>
      </c>
      <c r="C16" s="2">
        <f t="shared" si="0"/>
        <v>-5.8374143427580086E-2</v>
      </c>
      <c r="D16" s="2">
        <f t="shared" si="1"/>
        <v>1.4573653266889857</v>
      </c>
      <c r="E16" s="2">
        <f t="shared" si="2"/>
        <v>1.4573653266889857</v>
      </c>
    </row>
    <row r="17" spans="2:10">
      <c r="B17" s="2">
        <v>4.2</v>
      </c>
      <c r="C17" s="2">
        <f t="shared" si="0"/>
        <v>-0.87157577241358819</v>
      </c>
      <c r="D17" s="2">
        <f t="shared" si="1"/>
        <v>-1.226200048964841</v>
      </c>
      <c r="E17" s="2">
        <f t="shared" si="2"/>
        <v>-1.226200048964841</v>
      </c>
    </row>
    <row r="18" spans="2:10">
      <c r="B18" s="2">
        <v>5.2</v>
      </c>
      <c r="C18" s="2">
        <f t="shared" si="0"/>
        <v>-0.88345465572015314</v>
      </c>
      <c r="D18" s="2">
        <f t="shared" si="1"/>
        <v>-1.2654003638765052</v>
      </c>
      <c r="E18" s="2">
        <f t="shared" si="2"/>
        <v>-1.2654003638765052</v>
      </c>
    </row>
    <row r="19" spans="2:10">
      <c r="B19" s="2">
        <v>6.2</v>
      </c>
      <c r="C19" s="2">
        <f t="shared" si="0"/>
        <v>-8.3089402817496397E-2</v>
      </c>
      <c r="D19" s="2">
        <f t="shared" si="1"/>
        <v>1.3758049707022619</v>
      </c>
      <c r="E19" s="2">
        <f t="shared" si="2"/>
        <v>1.3758049707022619</v>
      </c>
    </row>
    <row r="20" spans="2:10">
      <c r="B20" s="2">
        <v>7.2</v>
      </c>
      <c r="C20" s="2">
        <f t="shared" si="0"/>
        <v>0.79366786384915311</v>
      </c>
      <c r="D20" s="2">
        <f t="shared" si="1"/>
        <v>4.2691039507022053</v>
      </c>
      <c r="E20" s="2">
        <f t="shared" si="2"/>
        <v>3.7</v>
      </c>
    </row>
    <row r="21" spans="2:10">
      <c r="B21" s="2">
        <v>8.1999999999999993</v>
      </c>
      <c r="C21" s="2">
        <f t="shared" si="0"/>
        <v>0.94073055667977312</v>
      </c>
      <c r="D21" s="2">
        <f t="shared" si="1"/>
        <v>4.7544108370432516</v>
      </c>
      <c r="E21" s="2">
        <f t="shared" si="2"/>
        <v>3.7</v>
      </c>
    </row>
    <row r="22" spans="2:10">
      <c r="B22" s="2">
        <v>9.1999999999999993</v>
      </c>
      <c r="C22" s="2">
        <f t="shared" si="0"/>
        <v>0.22288991410024764</v>
      </c>
      <c r="D22" s="2">
        <f t="shared" si="1"/>
        <v>2.385536716530817</v>
      </c>
      <c r="E22" s="2">
        <f t="shared" si="2"/>
        <v>2.385536716530817</v>
      </c>
    </row>
    <row r="23" spans="2:10">
      <c r="B23" s="2">
        <v>10.199999999999999</v>
      </c>
      <c r="C23" s="2">
        <f t="shared" si="0"/>
        <v>-0.69987468759354232</v>
      </c>
      <c r="D23" s="2">
        <f t="shared" si="1"/>
        <v>-0.65958646905868967</v>
      </c>
      <c r="E23" s="2">
        <f t="shared" si="2"/>
        <v>-0.65958646905868967</v>
      </c>
    </row>
    <row r="24" spans="2:10">
      <c r="B24" s="2">
        <v>11.2</v>
      </c>
      <c r="C24" s="2">
        <f t="shared" si="0"/>
        <v>-0.9791777291513174</v>
      </c>
      <c r="D24" s="2">
        <f t="shared" si="1"/>
        <v>-1.5812865061993473</v>
      </c>
      <c r="E24" s="2">
        <f t="shared" si="2"/>
        <v>-1.5812865061993473</v>
      </c>
    </row>
    <row r="25" spans="2:10">
      <c r="B25" s="2">
        <v>12.2</v>
      </c>
      <c r="C25" s="2">
        <f t="shared" si="0"/>
        <v>-0.35822928223682871</v>
      </c>
      <c r="D25" s="2">
        <f t="shared" si="1"/>
        <v>0.46784336861846526</v>
      </c>
      <c r="E25" s="2">
        <f t="shared" si="2"/>
        <v>0.46784336861846526</v>
      </c>
    </row>
    <row r="26" spans="2:10">
      <c r="B26" s="2">
        <v>13.2</v>
      </c>
      <c r="C26" s="2">
        <f t="shared" si="0"/>
        <v>0.59207351470722303</v>
      </c>
      <c r="D26" s="2">
        <f t="shared" si="1"/>
        <v>3.603842598533836</v>
      </c>
      <c r="E26" s="2">
        <f t="shared" si="2"/>
        <v>3.603842598533836</v>
      </c>
    </row>
    <row r="27" spans="2:10">
      <c r="B27" s="2">
        <v>14.2</v>
      </c>
      <c r="C27" s="2">
        <f t="shared" si="0"/>
        <v>0.99802665271636171</v>
      </c>
      <c r="D27" s="2">
        <f t="shared" si="1"/>
        <v>4.9434879539639933</v>
      </c>
      <c r="E27" s="2">
        <f t="shared" si="2"/>
        <v>3.7</v>
      </c>
    </row>
    <row r="28" spans="2:10">
      <c r="B28" s="2">
        <v>15.2</v>
      </c>
      <c r="C28" s="2">
        <f t="shared" si="0"/>
        <v>0.48639868885379967</v>
      </c>
      <c r="D28" s="2">
        <f t="shared" si="1"/>
        <v>3.2551156732175386</v>
      </c>
      <c r="E28" s="2">
        <f t="shared" si="2"/>
        <v>3.2551156732175386</v>
      </c>
    </row>
    <row r="29" spans="2:10">
      <c r="B29" s="2">
        <v>16.2</v>
      </c>
      <c r="C29" s="2">
        <f t="shared" si="0"/>
        <v>-0.47242198639846616</v>
      </c>
      <c r="D29" s="2">
        <f t="shared" si="1"/>
        <v>9.1007444885061656E-2</v>
      </c>
      <c r="E29" s="2">
        <f t="shared" si="2"/>
        <v>9.1007444885061656E-2</v>
      </c>
      <c r="G29" s="6" t="s">
        <v>65</v>
      </c>
    </row>
    <row r="30" spans="2:10">
      <c r="B30" s="2">
        <v>17.2</v>
      </c>
      <c r="C30" s="2">
        <f t="shared" si="0"/>
        <v>-0.99690006604159609</v>
      </c>
      <c r="D30" s="2">
        <f t="shared" si="1"/>
        <v>-1.6397702179372671</v>
      </c>
      <c r="E30" s="2">
        <f t="shared" si="2"/>
        <v>-1.6397702179372671</v>
      </c>
      <c r="G30" s="12" t="s">
        <v>64</v>
      </c>
      <c r="H30" s="12">
        <f>L3</f>
        <v>5</v>
      </c>
      <c r="I30" s="12" t="s">
        <v>17</v>
      </c>
      <c r="J30" s="13" t="str">
        <f>TRIM(G30)&amp;"   "&amp;IF(H30&gt;0,"+","")&amp;TRIM(H30)&amp;" "&amp;TRIM(I30)</f>
        <v>V+:   +5 V</v>
      </c>
    </row>
    <row r="31" spans="2:10">
      <c r="B31" s="2">
        <v>18.2</v>
      </c>
      <c r="C31" s="2">
        <f t="shared" si="0"/>
        <v>-0.60483282240628411</v>
      </c>
      <c r="D31" s="2">
        <f t="shared" si="1"/>
        <v>-0.34594831394073755</v>
      </c>
      <c r="E31" s="2">
        <f t="shared" si="2"/>
        <v>-0.34594831394073755</v>
      </c>
      <c r="G31" s="12" t="s">
        <v>66</v>
      </c>
      <c r="H31" s="12">
        <f>L4</f>
        <v>-5</v>
      </c>
      <c r="I31" s="12" t="s">
        <v>17</v>
      </c>
      <c r="J31" s="13" t="str">
        <f t="shared" ref="J31:J33" si="3">TRIM(G31)&amp;"   "&amp;IF(H31&gt;0,"+","")&amp;TRIM(H31)&amp;" "&amp;TRIM(I31)</f>
        <v>V-:   -5 V</v>
      </c>
    </row>
    <row r="32" spans="2:10">
      <c r="B32" s="2">
        <v>19.2</v>
      </c>
      <c r="C32" s="2">
        <f t="shared" si="0"/>
        <v>0.34331492881989539</v>
      </c>
      <c r="D32" s="2">
        <f t="shared" si="1"/>
        <v>2.7829392651056546</v>
      </c>
      <c r="E32" s="2">
        <f t="shared" si="2"/>
        <v>2.7829392651056546</v>
      </c>
      <c r="G32" s="12" t="s">
        <v>29</v>
      </c>
      <c r="H32" s="12">
        <f>H11</f>
        <v>0.5</v>
      </c>
      <c r="I32" s="12" t="s">
        <v>17</v>
      </c>
      <c r="J32" s="13" t="str">
        <f t="shared" si="3"/>
        <v>Vin:   +0.5 V</v>
      </c>
    </row>
    <row r="33" spans="2:10">
      <c r="B33" s="2">
        <v>20.2</v>
      </c>
      <c r="C33" s="2">
        <f t="shared" si="0"/>
        <v>0.97582051776697554</v>
      </c>
      <c r="D33" s="2">
        <f t="shared" si="1"/>
        <v>4.8702077086310194</v>
      </c>
      <c r="E33" s="2">
        <f t="shared" si="2"/>
        <v>3.7</v>
      </c>
      <c r="G33" s="12" t="s">
        <v>69</v>
      </c>
      <c r="H33" s="12">
        <f>C2</f>
        <v>0.5</v>
      </c>
      <c r="I33" s="12" t="s">
        <v>17</v>
      </c>
      <c r="J33" s="13" t="str">
        <f t="shared" si="3"/>
        <v>Vb:   +0.5 V</v>
      </c>
    </row>
    <row r="34" spans="2:10">
      <c r="B34" s="2">
        <v>21.2</v>
      </c>
      <c r="C34" s="2">
        <f t="shared" si="0"/>
        <v>0.71116122290598238</v>
      </c>
      <c r="D34" s="2">
        <f t="shared" si="1"/>
        <v>3.9968320355897413</v>
      </c>
      <c r="E34" s="2">
        <f t="shared" si="2"/>
        <v>3.7</v>
      </c>
      <c r="G34" s="12" t="s">
        <v>67</v>
      </c>
      <c r="H34" s="12">
        <f>F2</f>
        <v>1</v>
      </c>
      <c r="I34" s="12" t="s">
        <v>16</v>
      </c>
      <c r="J34" s="13" t="str">
        <f t="shared" ref="J34:J37" si="4">TRIM(G34)&amp;"   "&amp;TRIM(H34)&amp;" "&amp;TRIM(I34)</f>
        <v>R1:   1 K</v>
      </c>
    </row>
    <row r="35" spans="2:10">
      <c r="B35" s="2">
        <v>22.2</v>
      </c>
      <c r="C35" s="2">
        <f t="shared" si="0"/>
        <v>-0.20733642060675878</v>
      </c>
      <c r="D35" s="2">
        <f t="shared" si="1"/>
        <v>0.96578981199769598</v>
      </c>
      <c r="E35" s="2">
        <f t="shared" si="2"/>
        <v>0.96578981199769598</v>
      </c>
      <c r="G35" s="12" t="s">
        <v>72</v>
      </c>
      <c r="H35" s="12">
        <f>F3</f>
        <v>1</v>
      </c>
      <c r="I35" s="12" t="s">
        <v>16</v>
      </c>
      <c r="J35" s="13" t="str">
        <f t="shared" si="4"/>
        <v>R2:   1 K</v>
      </c>
    </row>
    <row r="36" spans="2:10">
      <c r="B36" s="2">
        <v>23.2</v>
      </c>
      <c r="C36" s="2">
        <f t="shared" si="0"/>
        <v>-0.93520991519453889</v>
      </c>
      <c r="D36" s="2">
        <f t="shared" si="1"/>
        <v>-1.4361927201419782</v>
      </c>
      <c r="E36" s="2">
        <f t="shared" si="2"/>
        <v>-1.4361927201419782</v>
      </c>
      <c r="G36" s="12" t="s">
        <v>73</v>
      </c>
      <c r="H36" s="12">
        <f>F4</f>
        <v>1</v>
      </c>
      <c r="I36" s="12" t="s">
        <v>16</v>
      </c>
      <c r="J36" s="13" t="str">
        <f t="shared" si="4"/>
        <v>R3:   1 K</v>
      </c>
    </row>
    <row r="37" spans="2:10">
      <c r="G37" s="12" t="s">
        <v>68</v>
      </c>
      <c r="H37" s="12">
        <f>F5</f>
        <v>5.6</v>
      </c>
      <c r="I37" s="12" t="s">
        <v>16</v>
      </c>
      <c r="J37" s="13" t="str">
        <f t="shared" si="4"/>
        <v>RF:   5.6 K</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1DF5A-BB19-481A-BF20-0F3354AE0057}">
  <dimension ref="B1:M37"/>
  <sheetViews>
    <sheetView zoomScaleNormal="100" workbookViewId="0">
      <selection activeCell="I2" sqref="I2"/>
    </sheetView>
  </sheetViews>
  <sheetFormatPr defaultColWidth="9.1796875" defaultRowHeight="14.5"/>
  <cols>
    <col min="1" max="1" width="5.1796875" style="2" customWidth="1"/>
    <col min="2" max="10" width="9.1796875" style="2"/>
    <col min="11" max="11" width="11.54296875" style="2" customWidth="1"/>
    <col min="12" max="16384" width="9.1796875" style="2"/>
  </cols>
  <sheetData>
    <row r="1" spans="2:13" ht="46.5" thickBot="1">
      <c r="B1" s="1" t="s">
        <v>54</v>
      </c>
    </row>
    <row r="2" spans="2:13" ht="15" thickBot="1">
      <c r="B2" s="2" t="s">
        <v>11</v>
      </c>
      <c r="C2" s="3">
        <f>I7*(F2+F3)/(F2*(1+(F5/F4)))</f>
        <v>0.5</v>
      </c>
      <c r="D2" s="2" t="s">
        <v>17</v>
      </c>
      <c r="E2" s="2" t="s">
        <v>12</v>
      </c>
      <c r="F2" s="3">
        <v>1</v>
      </c>
      <c r="G2" s="2" t="s">
        <v>16</v>
      </c>
      <c r="H2" s="2" t="s">
        <v>24</v>
      </c>
      <c r="I2" s="8">
        <v>-0.5</v>
      </c>
      <c r="K2" s="6" t="s">
        <v>36</v>
      </c>
    </row>
    <row r="3" spans="2:13" ht="15" thickBot="1">
      <c r="B3" s="2" t="s">
        <v>0</v>
      </c>
      <c r="C3" s="3">
        <f>(1+F5/F4)*(F2/(F2+F3))*C2</f>
        <v>1.65</v>
      </c>
      <c r="E3" s="2" t="s">
        <v>13</v>
      </c>
      <c r="F3" s="3">
        <v>1</v>
      </c>
      <c r="G3" s="2" t="s">
        <v>16</v>
      </c>
      <c r="H3" s="2" t="s">
        <v>25</v>
      </c>
      <c r="I3" s="4">
        <v>0.5</v>
      </c>
      <c r="K3" s="2" t="s">
        <v>9</v>
      </c>
      <c r="L3" s="4">
        <v>5</v>
      </c>
      <c r="M3" s="2" t="s">
        <v>18</v>
      </c>
    </row>
    <row r="4" spans="2:13" ht="15" thickBot="1">
      <c r="B4" s="2" t="s">
        <v>1</v>
      </c>
      <c r="C4" s="3">
        <f>(1+F5/F4)*(F3/(F2+F3))</f>
        <v>3.3</v>
      </c>
      <c r="E4" s="2" t="s">
        <v>14</v>
      </c>
      <c r="F4" s="3">
        <v>1</v>
      </c>
      <c r="G4" s="2" t="s">
        <v>16</v>
      </c>
      <c r="H4" s="2" t="s">
        <v>26</v>
      </c>
      <c r="I4" s="4">
        <v>0</v>
      </c>
      <c r="K4" s="2" t="s">
        <v>10</v>
      </c>
      <c r="L4" s="5">
        <v>0</v>
      </c>
      <c r="M4" s="2" t="s">
        <v>19</v>
      </c>
    </row>
    <row r="5" spans="2:13" ht="15" thickBot="1">
      <c r="B5" s="2" t="s">
        <v>4</v>
      </c>
      <c r="C5" s="3">
        <f>I3</f>
        <v>0.5</v>
      </c>
      <c r="D5" s="2" t="s">
        <v>17</v>
      </c>
      <c r="E5" s="2" t="s">
        <v>15</v>
      </c>
      <c r="F5" s="3">
        <f>I6*(F2+F3)/F3-1</f>
        <v>5.6</v>
      </c>
      <c r="G5" s="2" t="s">
        <v>16</v>
      </c>
      <c r="H5" s="2" t="s">
        <v>27</v>
      </c>
      <c r="I5" s="5">
        <v>3.3</v>
      </c>
      <c r="K5" s="2" t="s">
        <v>31</v>
      </c>
      <c r="L5" s="4">
        <v>1.2</v>
      </c>
      <c r="M5" s="2" t="s">
        <v>32</v>
      </c>
    </row>
    <row r="6" spans="2:13">
      <c r="H6" s="2" t="s">
        <v>28</v>
      </c>
      <c r="I6" s="9">
        <f>(I5-I4)/(I3-I2)</f>
        <v>3.3</v>
      </c>
    </row>
    <row r="7" spans="2:13">
      <c r="E7" s="2" t="s">
        <v>28</v>
      </c>
      <c r="F7" s="2">
        <f>(1+(F5/F4))*(F3/(F2+F3))</f>
        <v>3.3</v>
      </c>
      <c r="H7" s="2" t="s">
        <v>0</v>
      </c>
      <c r="I7" s="9">
        <f>(I5+I4)/2</f>
        <v>1.65</v>
      </c>
      <c r="J7" s="2" t="s">
        <v>17</v>
      </c>
    </row>
    <row r="9" spans="2:13">
      <c r="E9" s="6" t="s">
        <v>30</v>
      </c>
    </row>
    <row r="10" spans="2:13" ht="15" thickBot="1">
      <c r="B10" s="7" t="s">
        <v>6</v>
      </c>
      <c r="C10" s="7" t="s">
        <v>2</v>
      </c>
      <c r="D10" s="7" t="s">
        <v>3</v>
      </c>
      <c r="E10" s="7" t="s">
        <v>3</v>
      </c>
      <c r="G10" s="6" t="s">
        <v>33</v>
      </c>
    </row>
    <row r="11" spans="2:13" ht="15" thickBot="1">
      <c r="B11" s="2">
        <v>0</v>
      </c>
      <c r="C11" s="2">
        <f>AVERAGE($I$2:$I$3)+SIN($B11)*($I$3-$I$2)/2</f>
        <v>0</v>
      </c>
      <c r="D11" s="2">
        <f t="shared" ref="D11:D36" si="0">(1+($F$5/$F$4))*($C11*($F$3/($F$2+$F$3))+$C$2*($F$2/($F$2+$F$3)))</f>
        <v>1.65</v>
      </c>
      <c r="E11" s="2">
        <f>IF(D11&gt;($L$3-$L$5),($L$3-$L$5),IF(D11&lt;($L$4+$L$5),($L$4+$L$5),D11))</f>
        <v>1.65</v>
      </c>
      <c r="G11" s="6" t="s">
        <v>29</v>
      </c>
      <c r="H11" s="4">
        <v>-0.4</v>
      </c>
      <c r="I11" s="2" t="s">
        <v>17</v>
      </c>
    </row>
    <row r="12" spans="2:13">
      <c r="B12" s="2">
        <v>0.1</v>
      </c>
      <c r="C12" s="2">
        <f t="shared" ref="C12:C36" si="1">AVERAGE($I$2:$I$3)+SIN($B12)*($I$3-$I$2)/2</f>
        <v>4.9916708323414077E-2</v>
      </c>
      <c r="D12" s="2">
        <f t="shared" si="0"/>
        <v>1.8147251374672664</v>
      </c>
      <c r="E12" s="2">
        <f>IF(D12&gt;($L$3-$L$5),($L$3-$L$5),IF(D12&lt;($L$4+$L$5),($L$4+$L$5),D12))</f>
        <v>1.8147251374672664</v>
      </c>
      <c r="G12" s="6" t="s">
        <v>34</v>
      </c>
      <c r="H12" s="3">
        <f>IF((1+($F$5/$F$4))*($H11*($F$3/($F$2+$F$3))+$C$2*($F$2/($F$2+$F$3)))&gt;($L$3-$L$5),($L$3-$L$5),IF((1+($F$5/$F$4))*($H11*($F$3/($F$2+$F$3))+$C$2*($F$2/($F$2+$F$3)))&lt;($L$4+$L$5),($L$4+$L$5),(1+($F$5/$F$4))*($H11*($F$3/($F$2+$F$3))+$C$2*($F$2/($F$2+$F$3)))))</f>
        <v>1.2</v>
      </c>
      <c r="I12" s="2" t="s">
        <v>17</v>
      </c>
    </row>
    <row r="13" spans="2:13">
      <c r="B13" s="2">
        <v>0.2</v>
      </c>
      <c r="C13" s="2">
        <f t="shared" si="1"/>
        <v>9.9334665397530608E-2</v>
      </c>
      <c r="D13" s="2">
        <f t="shared" si="0"/>
        <v>1.9778043958118512</v>
      </c>
      <c r="E13" s="2">
        <f t="shared" ref="E13:E36" si="2">IF(D13&gt;($L$3-$L$5),($L$3-$L$5),IF(D13&lt;($L$4+$L$5),($L$4+$L$5),D13))</f>
        <v>1.9778043958118512</v>
      </c>
    </row>
    <row r="14" spans="2:13">
      <c r="B14" s="2">
        <v>1.2</v>
      </c>
      <c r="C14" s="2">
        <f t="shared" si="1"/>
        <v>0.46601954298361314</v>
      </c>
      <c r="D14" s="2">
        <f t="shared" si="0"/>
        <v>3.1878644918459234</v>
      </c>
      <c r="E14" s="2">
        <f t="shared" si="2"/>
        <v>3.1878644918459234</v>
      </c>
    </row>
    <row r="15" spans="2:13">
      <c r="B15" s="2">
        <v>2.2000000000000002</v>
      </c>
      <c r="C15" s="2">
        <f t="shared" si="1"/>
        <v>0.40424820190979505</v>
      </c>
      <c r="D15" s="2">
        <f t="shared" si="0"/>
        <v>2.9840190663023236</v>
      </c>
      <c r="E15" s="2">
        <f t="shared" si="2"/>
        <v>2.9840190663023236</v>
      </c>
    </row>
    <row r="16" spans="2:13">
      <c r="B16" s="2">
        <v>3.2</v>
      </c>
      <c r="C16" s="2">
        <f t="shared" si="1"/>
        <v>-2.9187071713790043E-2</v>
      </c>
      <c r="D16" s="2">
        <f t="shared" si="0"/>
        <v>1.5536826633444929</v>
      </c>
      <c r="E16" s="2">
        <f t="shared" si="2"/>
        <v>1.5536826633444929</v>
      </c>
    </row>
    <row r="17" spans="2:10">
      <c r="B17" s="2">
        <v>4.2</v>
      </c>
      <c r="C17" s="2">
        <f t="shared" si="1"/>
        <v>-0.4357878862067941</v>
      </c>
      <c r="D17" s="2">
        <f t="shared" si="0"/>
        <v>0.21189997551757947</v>
      </c>
      <c r="E17" s="2">
        <f t="shared" si="2"/>
        <v>1.2</v>
      </c>
    </row>
    <row r="18" spans="2:10">
      <c r="B18" s="2">
        <v>5.2</v>
      </c>
      <c r="C18" s="2">
        <f t="shared" si="1"/>
        <v>-0.44172732786007657</v>
      </c>
      <c r="D18" s="2">
        <f t="shared" si="0"/>
        <v>0.19229981806174731</v>
      </c>
      <c r="E18" s="2">
        <f t="shared" si="2"/>
        <v>1.2</v>
      </c>
    </row>
    <row r="19" spans="2:10">
      <c r="B19" s="2">
        <v>6.2</v>
      </c>
      <c r="C19" s="2">
        <f t="shared" si="1"/>
        <v>-4.1544701408748198E-2</v>
      </c>
      <c r="D19" s="2">
        <f t="shared" si="0"/>
        <v>1.5129024853511308</v>
      </c>
      <c r="E19" s="2">
        <f t="shared" si="2"/>
        <v>1.5129024853511308</v>
      </c>
    </row>
    <row r="20" spans="2:10">
      <c r="B20" s="2">
        <v>7.2</v>
      </c>
      <c r="C20" s="2">
        <f t="shared" si="1"/>
        <v>0.39683393192457656</v>
      </c>
      <c r="D20" s="2">
        <f t="shared" si="0"/>
        <v>2.9595519753511028</v>
      </c>
      <c r="E20" s="2">
        <f t="shared" si="2"/>
        <v>2.9595519753511028</v>
      </c>
    </row>
    <row r="21" spans="2:10">
      <c r="B21" s="2">
        <v>8.1999999999999993</v>
      </c>
      <c r="C21" s="2">
        <f t="shared" si="1"/>
        <v>0.47036527833988656</v>
      </c>
      <c r="D21" s="2">
        <f t="shared" si="0"/>
        <v>3.2022054185216255</v>
      </c>
      <c r="E21" s="2">
        <f t="shared" si="2"/>
        <v>3.2022054185216255</v>
      </c>
    </row>
    <row r="22" spans="2:10">
      <c r="B22" s="2">
        <v>9.1999999999999993</v>
      </c>
      <c r="C22" s="2">
        <f t="shared" si="1"/>
        <v>0.11144495705012382</v>
      </c>
      <c r="D22" s="2">
        <f t="shared" si="0"/>
        <v>2.0177683582654082</v>
      </c>
      <c r="E22" s="2">
        <f t="shared" si="2"/>
        <v>2.0177683582654082</v>
      </c>
    </row>
    <row r="23" spans="2:10">
      <c r="B23" s="2">
        <v>10.199999999999999</v>
      </c>
      <c r="C23" s="2">
        <f t="shared" si="1"/>
        <v>-0.34993734379677116</v>
      </c>
      <c r="D23" s="2">
        <f t="shared" si="0"/>
        <v>0.49520676547065512</v>
      </c>
      <c r="E23" s="2">
        <f t="shared" si="2"/>
        <v>1.2</v>
      </c>
    </row>
    <row r="24" spans="2:10">
      <c r="B24" s="2">
        <v>11.2</v>
      </c>
      <c r="C24" s="2">
        <f t="shared" si="1"/>
        <v>-0.4895888645756587</v>
      </c>
      <c r="D24" s="2">
        <f t="shared" si="0"/>
        <v>3.4356746900326286E-2</v>
      </c>
      <c r="E24" s="2">
        <f t="shared" si="2"/>
        <v>1.2</v>
      </c>
    </row>
    <row r="25" spans="2:10">
      <c r="B25" s="2">
        <v>12.2</v>
      </c>
      <c r="C25" s="2">
        <f t="shared" si="1"/>
        <v>-0.17911464111841435</v>
      </c>
      <c r="D25" s="2">
        <f t="shared" si="0"/>
        <v>1.0589216843092326</v>
      </c>
      <c r="E25" s="2">
        <f t="shared" si="2"/>
        <v>1.2</v>
      </c>
    </row>
    <row r="26" spans="2:10">
      <c r="B26" s="2">
        <v>13.2</v>
      </c>
      <c r="C26" s="2">
        <f t="shared" si="1"/>
        <v>0.29603675735361151</v>
      </c>
      <c r="D26" s="2">
        <f t="shared" si="0"/>
        <v>2.6269212992669182</v>
      </c>
      <c r="E26" s="2">
        <f t="shared" si="2"/>
        <v>2.6269212992669182</v>
      </c>
    </row>
    <row r="27" spans="2:10">
      <c r="B27" s="2">
        <v>14.2</v>
      </c>
      <c r="C27" s="2">
        <f t="shared" si="1"/>
        <v>0.49901332635818085</v>
      </c>
      <c r="D27" s="2">
        <f t="shared" si="0"/>
        <v>3.2967439769819968</v>
      </c>
      <c r="E27" s="2">
        <f t="shared" si="2"/>
        <v>3.2967439769819968</v>
      </c>
    </row>
    <row r="28" spans="2:10">
      <c r="B28" s="2">
        <v>15.2</v>
      </c>
      <c r="C28" s="2">
        <f t="shared" si="1"/>
        <v>0.24319934442689983</v>
      </c>
      <c r="D28" s="2">
        <f t="shared" si="0"/>
        <v>2.4525578366087695</v>
      </c>
      <c r="E28" s="2">
        <f t="shared" si="2"/>
        <v>2.4525578366087695</v>
      </c>
    </row>
    <row r="29" spans="2:10">
      <c r="B29" s="2">
        <v>16.2</v>
      </c>
      <c r="C29" s="2">
        <f t="shared" si="1"/>
        <v>-0.23621099319923308</v>
      </c>
      <c r="D29" s="2">
        <f t="shared" si="0"/>
        <v>0.87050372244253071</v>
      </c>
      <c r="E29" s="2">
        <f t="shared" si="2"/>
        <v>1.2</v>
      </c>
      <c r="G29" s="6" t="s">
        <v>65</v>
      </c>
    </row>
    <row r="30" spans="2:10">
      <c r="B30" s="2">
        <v>17.2</v>
      </c>
      <c r="C30" s="2">
        <f t="shared" si="1"/>
        <v>-0.49845003302079804</v>
      </c>
      <c r="D30" s="2">
        <f t="shared" si="0"/>
        <v>5.1148910313664527E-3</v>
      </c>
      <c r="E30" s="2">
        <f t="shared" si="2"/>
        <v>1.2</v>
      </c>
      <c r="G30" s="12" t="s">
        <v>64</v>
      </c>
      <c r="H30" s="12">
        <f>L3</f>
        <v>5</v>
      </c>
      <c r="I30" s="12" t="s">
        <v>17</v>
      </c>
      <c r="J30" s="13" t="str">
        <f>TRIM(G30)&amp;"   "&amp;IF(H30&gt;0,"+","")&amp;TRIM(H30)&amp;" "&amp;TRIM(I30)</f>
        <v>V+:   +5 V</v>
      </c>
    </row>
    <row r="31" spans="2:10">
      <c r="B31" s="2">
        <v>18.2</v>
      </c>
      <c r="C31" s="2">
        <f t="shared" si="1"/>
        <v>-0.30241641120314205</v>
      </c>
      <c r="D31" s="2">
        <f t="shared" si="0"/>
        <v>0.65202584302963118</v>
      </c>
      <c r="E31" s="2">
        <f t="shared" si="2"/>
        <v>1.2</v>
      </c>
      <c r="G31" s="12" t="s">
        <v>66</v>
      </c>
      <c r="H31" s="12">
        <f>L4</f>
        <v>0</v>
      </c>
      <c r="I31" s="12" t="s">
        <v>17</v>
      </c>
      <c r="J31" s="13" t="str">
        <f t="shared" ref="J31:J33" si="3">TRIM(G31)&amp;"   "&amp;IF(H31&gt;0,"+","")&amp;TRIM(H31)&amp;" "&amp;TRIM(I31)</f>
        <v>V-:   0 V</v>
      </c>
    </row>
    <row r="32" spans="2:10">
      <c r="B32" s="2">
        <v>19.2</v>
      </c>
      <c r="C32" s="2">
        <f t="shared" si="1"/>
        <v>0.1716574644099477</v>
      </c>
      <c r="D32" s="2">
        <f t="shared" si="0"/>
        <v>2.216469632552827</v>
      </c>
      <c r="E32" s="2">
        <f t="shared" si="2"/>
        <v>2.216469632552827</v>
      </c>
      <c r="G32" s="12" t="s">
        <v>29</v>
      </c>
      <c r="H32" s="12">
        <f>H11</f>
        <v>-0.4</v>
      </c>
      <c r="I32" s="12" t="s">
        <v>17</v>
      </c>
      <c r="J32" s="13" t="str">
        <f t="shared" si="3"/>
        <v>Vin:   -0.4 V</v>
      </c>
    </row>
    <row r="33" spans="2:10">
      <c r="B33" s="2">
        <v>20.2</v>
      </c>
      <c r="C33" s="2">
        <f t="shared" si="1"/>
        <v>0.48791025888348777</v>
      </c>
      <c r="D33" s="2">
        <f t="shared" si="0"/>
        <v>3.2601038543155099</v>
      </c>
      <c r="E33" s="2">
        <f t="shared" si="2"/>
        <v>3.2601038543155099</v>
      </c>
      <c r="G33" s="12" t="s">
        <v>69</v>
      </c>
      <c r="H33" s="12">
        <f>C2</f>
        <v>0.5</v>
      </c>
      <c r="I33" s="12" t="s">
        <v>17</v>
      </c>
      <c r="J33" s="13" t="str">
        <f t="shared" si="3"/>
        <v>Vb:   +0.5 V</v>
      </c>
    </row>
    <row r="34" spans="2:10">
      <c r="B34" s="2">
        <v>21.2</v>
      </c>
      <c r="C34" s="2">
        <f t="shared" si="1"/>
        <v>0.35558061145299119</v>
      </c>
      <c r="D34" s="2">
        <f t="shared" si="0"/>
        <v>2.8234160177948704</v>
      </c>
      <c r="E34" s="2">
        <f t="shared" si="2"/>
        <v>2.8234160177948704</v>
      </c>
      <c r="G34" s="12" t="s">
        <v>67</v>
      </c>
      <c r="H34" s="12">
        <f>F2</f>
        <v>1</v>
      </c>
      <c r="I34" s="12" t="s">
        <v>16</v>
      </c>
      <c r="J34" s="13" t="str">
        <f t="shared" ref="J34:J37" si="4">TRIM(G34)&amp;"   "&amp;TRIM(H34)&amp;" "&amp;TRIM(I34)</f>
        <v>R1:   1 K</v>
      </c>
    </row>
    <row r="35" spans="2:10">
      <c r="B35" s="2">
        <v>22.2</v>
      </c>
      <c r="C35" s="2">
        <f t="shared" si="1"/>
        <v>-0.10366821030337939</v>
      </c>
      <c r="D35" s="2">
        <f t="shared" si="0"/>
        <v>1.3078949059988481</v>
      </c>
      <c r="E35" s="2">
        <f t="shared" si="2"/>
        <v>1.3078949059988481</v>
      </c>
      <c r="G35" s="12" t="s">
        <v>72</v>
      </c>
      <c r="H35" s="12">
        <f>F3</f>
        <v>1</v>
      </c>
      <c r="I35" s="12" t="s">
        <v>16</v>
      </c>
      <c r="J35" s="13" t="str">
        <f t="shared" si="4"/>
        <v>R2:   1 K</v>
      </c>
    </row>
    <row r="36" spans="2:10">
      <c r="B36" s="2">
        <v>23.2</v>
      </c>
      <c r="C36" s="2">
        <f t="shared" si="1"/>
        <v>-0.46760495759726944</v>
      </c>
      <c r="D36" s="2">
        <f t="shared" si="0"/>
        <v>0.10690363992901084</v>
      </c>
      <c r="E36" s="2">
        <f t="shared" si="2"/>
        <v>1.2</v>
      </c>
      <c r="G36" s="12" t="s">
        <v>73</v>
      </c>
      <c r="H36" s="12">
        <f>F4</f>
        <v>1</v>
      </c>
      <c r="I36" s="12" t="s">
        <v>16</v>
      </c>
      <c r="J36" s="13" t="str">
        <f t="shared" si="4"/>
        <v>R3:   1 K</v>
      </c>
    </row>
    <row r="37" spans="2:10">
      <c r="G37" s="12" t="s">
        <v>68</v>
      </c>
      <c r="H37" s="12">
        <f>F5</f>
        <v>5.6</v>
      </c>
      <c r="I37" s="12" t="s">
        <v>16</v>
      </c>
      <c r="J37" s="13" t="str">
        <f t="shared" si="4"/>
        <v>RF:   5.6 K</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12BD6-4781-4909-A312-81F9F1C2768D}">
  <sheetPr codeName="Sheet3"/>
  <dimension ref="B1:J35"/>
  <sheetViews>
    <sheetView zoomScale="96" zoomScaleNormal="96" workbookViewId="0">
      <selection activeCell="H3" sqref="H3"/>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
      <c r="B1" s="1" t="s">
        <v>35</v>
      </c>
    </row>
    <row r="2" spans="2:9" ht="15" thickBot="1">
      <c r="B2" s="2" t="s">
        <v>37</v>
      </c>
      <c r="G2" s="6" t="s">
        <v>36</v>
      </c>
    </row>
    <row r="3" spans="2:9" ht="15" thickBot="1">
      <c r="B3" s="2" t="s">
        <v>0</v>
      </c>
      <c r="C3" s="3">
        <v>0</v>
      </c>
      <c r="D3" s="2" t="s">
        <v>17</v>
      </c>
      <c r="G3" s="2" t="s">
        <v>9</v>
      </c>
      <c r="H3" s="4">
        <v>12</v>
      </c>
      <c r="I3" s="2" t="s">
        <v>18</v>
      </c>
    </row>
    <row r="4" spans="2:9" ht="15" thickBot="1">
      <c r="B4" s="2" t="s">
        <v>1</v>
      </c>
      <c r="C4" s="3">
        <v>1</v>
      </c>
      <c r="D4" s="2" t="s">
        <v>39</v>
      </c>
      <c r="G4" s="2" t="s">
        <v>10</v>
      </c>
      <c r="H4" s="5">
        <v>0</v>
      </c>
      <c r="I4" s="2" t="s">
        <v>19</v>
      </c>
    </row>
    <row r="5" spans="2:9" ht="15" thickBot="1">
      <c r="B5" s="2" t="s">
        <v>25</v>
      </c>
      <c r="C5" s="4">
        <v>6</v>
      </c>
      <c r="D5" s="2" t="s">
        <v>38</v>
      </c>
      <c r="G5" s="2" t="s">
        <v>5</v>
      </c>
      <c r="H5" s="4">
        <v>-0.1</v>
      </c>
      <c r="I5" s="2" t="s">
        <v>23</v>
      </c>
    </row>
    <row r="6" spans="2:9" ht="15" thickBot="1">
      <c r="G6" s="2" t="s">
        <v>31</v>
      </c>
      <c r="H6" s="4">
        <v>1.3</v>
      </c>
      <c r="I6" s="2" t="s">
        <v>32</v>
      </c>
    </row>
    <row r="8" spans="2:9" ht="15" thickBot="1">
      <c r="E8" s="6" t="s">
        <v>30</v>
      </c>
      <c r="G8" s="6" t="s">
        <v>33</v>
      </c>
    </row>
    <row r="9" spans="2:9" ht="15" thickBot="1">
      <c r="B9" s="7" t="s">
        <v>6</v>
      </c>
      <c r="C9" s="7" t="s">
        <v>7</v>
      </c>
      <c r="D9" s="7" t="s">
        <v>3</v>
      </c>
      <c r="E9" s="7" t="s">
        <v>3</v>
      </c>
      <c r="G9" s="6" t="s">
        <v>29</v>
      </c>
      <c r="H9" s="4">
        <v>0.2</v>
      </c>
      <c r="I9" s="2" t="s">
        <v>17</v>
      </c>
    </row>
    <row r="10" spans="2:9">
      <c r="B10" s="2">
        <v>0</v>
      </c>
      <c r="C10" s="2">
        <f t="shared" ref="C10:C35" si="0">$C$5*SIN($B10)</f>
        <v>0</v>
      </c>
      <c r="D10" s="2">
        <f t="shared" ref="D10:D35" si="1">$C$5*SIN($B10+$H$5)</f>
        <v>-0.59900049988096893</v>
      </c>
      <c r="E10" s="2">
        <f>IF(D10&gt;($H$3-$H$6),($H$3-$H$6),IF(D10&lt;($H$4+$H$6),($H$4+$H$6),D10))</f>
        <v>1.3</v>
      </c>
      <c r="G10" s="6" t="s">
        <v>34</v>
      </c>
      <c r="H10" s="3">
        <f>IF(H9&gt;($H$3-$H$6),($H$3-$H$6),IF(H9&lt;($H$4+$H$6),($H$4+$H$6),H9))</f>
        <v>1.3</v>
      </c>
      <c r="I10" s="2" t="s">
        <v>17</v>
      </c>
    </row>
    <row r="11" spans="2:9">
      <c r="B11" s="2">
        <v>0.1</v>
      </c>
      <c r="C11" s="2">
        <f t="shared" si="0"/>
        <v>0.59900049988096893</v>
      </c>
      <c r="D11" s="2">
        <f t="shared" si="1"/>
        <v>0</v>
      </c>
      <c r="E11" s="2">
        <f t="shared" ref="E11:E35" si="2">IF(D11&gt;($H$3-$H$6),($H$3-$H$6),IF(D11&lt;($H$4+$H$6),($H$4+$H$6),D11))</f>
        <v>1.3</v>
      </c>
    </row>
    <row r="12" spans="2:9">
      <c r="B12" s="2">
        <v>0.2</v>
      </c>
      <c r="C12" s="2">
        <f t="shared" si="0"/>
        <v>1.1920159847703673</v>
      </c>
      <c r="D12" s="2">
        <f t="shared" si="1"/>
        <v>0.59900049988096893</v>
      </c>
      <c r="E12" s="2">
        <f t="shared" si="2"/>
        <v>1.3</v>
      </c>
    </row>
    <row r="13" spans="2:9">
      <c r="B13" s="2">
        <v>1.2</v>
      </c>
      <c r="C13" s="2">
        <f t="shared" si="0"/>
        <v>5.5922345158033577</v>
      </c>
      <c r="D13" s="2">
        <f t="shared" si="1"/>
        <v>5.3472441603686116</v>
      </c>
      <c r="E13" s="2">
        <f t="shared" si="2"/>
        <v>5.3472441603686116</v>
      </c>
    </row>
    <row r="14" spans="2:9">
      <c r="B14" s="2">
        <v>2.2000000000000002</v>
      </c>
      <c r="C14" s="2">
        <f t="shared" si="0"/>
        <v>4.8509784229175406</v>
      </c>
      <c r="D14" s="2">
        <f t="shared" si="1"/>
        <v>5.179256199893242</v>
      </c>
      <c r="E14" s="2">
        <f t="shared" si="2"/>
        <v>5.179256199893242</v>
      </c>
    </row>
    <row r="15" spans="2:9">
      <c r="B15" s="2">
        <v>3.2</v>
      </c>
      <c r="C15" s="2">
        <f t="shared" si="0"/>
        <v>-0.35024486056548054</v>
      </c>
      <c r="D15" s="2">
        <f t="shared" si="1"/>
        <v>0.24948397459974295</v>
      </c>
      <c r="E15" s="2">
        <f t="shared" si="2"/>
        <v>1.3</v>
      </c>
    </row>
    <row r="16" spans="2:9">
      <c r="B16" s="2">
        <v>4.2</v>
      </c>
      <c r="C16" s="2">
        <f t="shared" si="0"/>
        <v>-5.2294546344815291</v>
      </c>
      <c r="D16" s="2">
        <f t="shared" si="1"/>
        <v>-4.9096626663864651</v>
      </c>
      <c r="E16" s="2">
        <f t="shared" si="2"/>
        <v>1.3</v>
      </c>
    </row>
    <row r="17" spans="2:10">
      <c r="B17" s="2">
        <v>5.2</v>
      </c>
      <c r="C17" s="2">
        <f t="shared" si="0"/>
        <v>-5.3007279343209186</v>
      </c>
      <c r="D17" s="2">
        <f t="shared" si="1"/>
        <v>-5.5548880939663929</v>
      </c>
      <c r="E17" s="2">
        <f t="shared" si="2"/>
        <v>1.3</v>
      </c>
    </row>
    <row r="18" spans="2:10">
      <c r="B18" s="2">
        <v>6.2</v>
      </c>
      <c r="C18" s="2">
        <f t="shared" si="0"/>
        <v>-0.49853641690497841</v>
      </c>
      <c r="D18" s="2">
        <f t="shared" si="1"/>
        <v>-1.0929750256325701</v>
      </c>
      <c r="E18" s="2">
        <f t="shared" si="2"/>
        <v>1.3</v>
      </c>
    </row>
    <row r="19" spans="2:10">
      <c r="B19" s="2">
        <v>7.2</v>
      </c>
      <c r="C19" s="2">
        <f t="shared" si="0"/>
        <v>4.7620071830949184</v>
      </c>
      <c r="D19" s="2">
        <f t="shared" si="1"/>
        <v>4.3738142407552587</v>
      </c>
      <c r="E19" s="2">
        <f t="shared" si="2"/>
        <v>4.3738142407552587</v>
      </c>
    </row>
    <row r="20" spans="2:10">
      <c r="B20" s="2">
        <v>8.1999999999999993</v>
      </c>
      <c r="C20" s="2">
        <f t="shared" si="0"/>
        <v>5.6443833400786385</v>
      </c>
      <c r="D20" s="2">
        <f t="shared" si="1"/>
        <v>5.8193388650705176</v>
      </c>
      <c r="E20" s="2">
        <f t="shared" si="2"/>
        <v>5.8193388650705176</v>
      </c>
    </row>
    <row r="21" spans="2:10">
      <c r="B21" s="2">
        <v>9.1999999999999993</v>
      </c>
      <c r="C21" s="2">
        <f t="shared" si="0"/>
        <v>1.3373394846014859</v>
      </c>
      <c r="D21" s="2">
        <f t="shared" si="1"/>
        <v>1.9145901740961127</v>
      </c>
      <c r="E21" s="2">
        <f t="shared" si="2"/>
        <v>1.9145901740961127</v>
      </c>
    </row>
    <row r="22" spans="2:10">
      <c r="B22" s="2">
        <v>10.199999999999999</v>
      </c>
      <c r="C22" s="2">
        <f t="shared" si="0"/>
        <v>-4.1992481255612537</v>
      </c>
      <c r="D22" s="2">
        <f t="shared" si="1"/>
        <v>-3.7504238933572926</v>
      </c>
      <c r="E22" s="2">
        <f t="shared" si="2"/>
        <v>1.3</v>
      </c>
    </row>
    <row r="23" spans="2:10">
      <c r="B23" s="2">
        <v>11.2</v>
      </c>
      <c r="C23" s="2">
        <f t="shared" si="0"/>
        <v>-5.8750663749079042</v>
      </c>
      <c r="D23" s="2">
        <f t="shared" si="1"/>
        <v>-5.967315529223935</v>
      </c>
      <c r="E23" s="2">
        <f t="shared" si="2"/>
        <v>1.3</v>
      </c>
    </row>
    <row r="24" spans="2:10">
      <c r="B24" s="2">
        <v>12.2</v>
      </c>
      <c r="C24" s="2">
        <f t="shared" si="0"/>
        <v>-2.1493756934209722</v>
      </c>
      <c r="D24" s="2">
        <f t="shared" si="1"/>
        <v>-2.6978847872076086</v>
      </c>
      <c r="E24" s="2">
        <f t="shared" si="2"/>
        <v>1.3</v>
      </c>
    </row>
    <row r="25" spans="2:10">
      <c r="B25" s="2">
        <v>13.2</v>
      </c>
      <c r="C25" s="2">
        <f t="shared" si="0"/>
        <v>3.5524410882433379</v>
      </c>
      <c r="D25" s="2">
        <f t="shared" si="1"/>
        <v>3.0519687862342422</v>
      </c>
      <c r="E25" s="2">
        <f t="shared" si="2"/>
        <v>3.0519687862342422</v>
      </c>
    </row>
    <row r="26" spans="2:10">
      <c r="B26" s="2">
        <v>14.2</v>
      </c>
      <c r="C26" s="2">
        <f t="shared" si="0"/>
        <v>5.9881599162981702</v>
      </c>
      <c r="D26" s="2">
        <f t="shared" si="1"/>
        <v>5.9958563324875058</v>
      </c>
      <c r="E26" s="2">
        <f t="shared" si="2"/>
        <v>5.9958563324875058</v>
      </c>
    </row>
    <row r="27" spans="2:10">
      <c r="B27" s="2">
        <v>15.2</v>
      </c>
      <c r="C27" s="2">
        <f t="shared" si="0"/>
        <v>2.918392133122798</v>
      </c>
      <c r="D27" s="2">
        <f t="shared" si="1"/>
        <v>3.4271812179599319</v>
      </c>
      <c r="E27" s="2">
        <f t="shared" si="2"/>
        <v>3.4271812179599319</v>
      </c>
    </row>
    <row r="28" spans="2:10">
      <c r="B28" s="2">
        <v>16.2</v>
      </c>
      <c r="C28" s="2">
        <f t="shared" si="0"/>
        <v>-2.8345319183907969</v>
      </c>
      <c r="D28" s="2">
        <f t="shared" si="1"/>
        <v>-2.292428503104035</v>
      </c>
      <c r="E28" s="2">
        <f t="shared" si="2"/>
        <v>1.3</v>
      </c>
    </row>
    <row r="29" spans="2:10">
      <c r="B29" s="2">
        <v>17.2</v>
      </c>
      <c r="C29" s="2">
        <f t="shared" si="0"/>
        <v>-5.9814003962495761</v>
      </c>
      <c r="D29" s="2">
        <f t="shared" si="1"/>
        <v>-5.9043900304898562</v>
      </c>
      <c r="E29" s="2">
        <f t="shared" si="2"/>
        <v>1.3</v>
      </c>
      <c r="G29" s="6" t="s">
        <v>65</v>
      </c>
    </row>
    <row r="30" spans="2:10">
      <c r="B30" s="2">
        <v>18.2</v>
      </c>
      <c r="C30" s="2">
        <f t="shared" si="0"/>
        <v>-3.6289969344377049</v>
      </c>
      <c r="D30" s="2">
        <f t="shared" si="1"/>
        <v>-4.0878825933330152</v>
      </c>
      <c r="E30" s="2">
        <f t="shared" si="2"/>
        <v>1.3</v>
      </c>
      <c r="G30" s="12" t="s">
        <v>64</v>
      </c>
      <c r="H30" s="12">
        <f>H3</f>
        <v>12</v>
      </c>
      <c r="I30" s="12" t="s">
        <v>17</v>
      </c>
      <c r="J30" s="13" t="str">
        <f>TRIM(G30)&amp;"   "&amp;IF(H30&gt;0,"+","")&amp;TRIM(H30)&amp;" "&amp;TRIM(I30)</f>
        <v>V+:   +12 V</v>
      </c>
    </row>
    <row r="31" spans="2:10">
      <c r="B31" s="2">
        <v>19.2</v>
      </c>
      <c r="C31" s="2">
        <f t="shared" si="0"/>
        <v>2.0598895729193725</v>
      </c>
      <c r="D31" s="2">
        <f t="shared" si="1"/>
        <v>1.4870052478977382</v>
      </c>
      <c r="E31" s="2">
        <f t="shared" si="2"/>
        <v>1.4870052478977382</v>
      </c>
      <c r="G31" s="12" t="s">
        <v>66</v>
      </c>
      <c r="H31" s="12">
        <f>H4</f>
        <v>0</v>
      </c>
      <c r="I31" s="12" t="s">
        <v>17</v>
      </c>
      <c r="J31" s="13" t="str">
        <f t="shared" ref="J31:J32" si="3">TRIM(G31)&amp;"   "&amp;IF(H31&gt;0,"+","")&amp;TRIM(H31)&amp;" "&amp;TRIM(I31)</f>
        <v>V-:   0 V</v>
      </c>
    </row>
    <row r="32" spans="2:10">
      <c r="B32" s="2">
        <v>20.2</v>
      </c>
      <c r="C32" s="2">
        <f t="shared" si="0"/>
        <v>5.854923106601853</v>
      </c>
      <c r="D32" s="2">
        <f t="shared" si="1"/>
        <v>5.6947473218873608</v>
      </c>
      <c r="E32" s="2">
        <f t="shared" si="2"/>
        <v>5.6947473218873608</v>
      </c>
      <c r="G32" s="12" t="s">
        <v>29</v>
      </c>
      <c r="H32" s="12">
        <f>H9</f>
        <v>0.2</v>
      </c>
      <c r="I32" s="12" t="s">
        <v>17</v>
      </c>
      <c r="J32" s="13" t="str">
        <f t="shared" si="3"/>
        <v>Vin:   +0.2 V</v>
      </c>
    </row>
    <row r="33" spans="2:9">
      <c r="B33" s="2">
        <v>21.2</v>
      </c>
      <c r="C33" s="2">
        <f t="shared" si="0"/>
        <v>4.2669673374358945</v>
      </c>
      <c r="D33" s="2">
        <f t="shared" si="1"/>
        <v>4.6667649708065699</v>
      </c>
      <c r="E33" s="2">
        <f t="shared" si="2"/>
        <v>4.6667649708065699</v>
      </c>
    </row>
    <row r="34" spans="2:9">
      <c r="B34" s="2">
        <v>22.2</v>
      </c>
      <c r="C34" s="2">
        <f t="shared" si="0"/>
        <v>-1.2440185236405528</v>
      </c>
      <c r="D34" s="2">
        <f t="shared" si="1"/>
        <v>-0.65181957254445733</v>
      </c>
      <c r="E34" s="2">
        <f t="shared" si="2"/>
        <v>1.3</v>
      </c>
      <c r="G34" s="12"/>
      <c r="H34" s="12"/>
      <c r="I34" s="12"/>
    </row>
    <row r="35" spans="2:9">
      <c r="B35" s="2">
        <v>23.2</v>
      </c>
      <c r="C35" s="2">
        <f t="shared" si="0"/>
        <v>-5.6112594911672335</v>
      </c>
      <c r="D35" s="2">
        <f t="shared" si="1"/>
        <v>-5.3711242069180809</v>
      </c>
      <c r="E35" s="2">
        <f t="shared" si="2"/>
        <v>1.3</v>
      </c>
    </row>
  </sheetData>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06BCB-4EDD-4DF8-A8B7-AA7CCEBA7F09}">
  <dimension ref="B1:J35"/>
  <sheetViews>
    <sheetView zoomScaleNormal="100" workbookViewId="0">
      <selection activeCell="C2" sqref="C2"/>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5" thickBot="1">
      <c r="B1" s="1" t="s">
        <v>205</v>
      </c>
    </row>
    <row r="2" spans="2:9" ht="15" thickBot="1">
      <c r="B2" s="2" t="s">
        <v>200</v>
      </c>
      <c r="C2" s="4">
        <v>2</v>
      </c>
      <c r="D2" s="2" t="s">
        <v>204</v>
      </c>
      <c r="G2" s="6" t="s">
        <v>36</v>
      </c>
    </row>
    <row r="3" spans="2:9" ht="15" thickBot="1">
      <c r="B3" s="2" t="s">
        <v>15</v>
      </c>
      <c r="C3" s="4">
        <v>2000</v>
      </c>
      <c r="D3" s="2" t="s">
        <v>16</v>
      </c>
      <c r="G3" s="2" t="s">
        <v>9</v>
      </c>
      <c r="H3" s="4">
        <v>10</v>
      </c>
      <c r="I3" s="2" t="s">
        <v>18</v>
      </c>
    </row>
    <row r="4" spans="2:9" ht="15" thickBot="1">
      <c r="G4" s="2" t="s">
        <v>10</v>
      </c>
      <c r="H4" s="5">
        <v>0</v>
      </c>
      <c r="I4" s="2" t="s">
        <v>19</v>
      </c>
    </row>
    <row r="5" spans="2:9" ht="15" thickBot="1">
      <c r="G5" s="2" t="s">
        <v>31</v>
      </c>
      <c r="H5" s="4">
        <v>0</v>
      </c>
      <c r="I5" s="2" t="s">
        <v>32</v>
      </c>
    </row>
    <row r="6" spans="2:9">
      <c r="C6" s="3"/>
    </row>
    <row r="8" spans="2:9" ht="15" thickBot="1">
      <c r="E8" s="6" t="s">
        <v>30</v>
      </c>
      <c r="G8" s="6" t="s">
        <v>33</v>
      </c>
    </row>
    <row r="9" spans="2:9" ht="15" thickBot="1">
      <c r="B9" s="7" t="s">
        <v>6</v>
      </c>
      <c r="C9" s="7" t="s">
        <v>203</v>
      </c>
      <c r="D9" s="7" t="s">
        <v>3</v>
      </c>
      <c r="E9" s="7" t="s">
        <v>3</v>
      </c>
      <c r="G9" s="6" t="s">
        <v>199</v>
      </c>
      <c r="H9" s="4">
        <v>2</v>
      </c>
      <c r="I9" s="2" t="s">
        <v>201</v>
      </c>
    </row>
    <row r="10" spans="2:9">
      <c r="B10" s="2">
        <v>0</v>
      </c>
      <c r="C10" s="2">
        <f t="shared" ref="C10:C35" si="0">($C$2/2)*(1+SIN($B10))</f>
        <v>1</v>
      </c>
      <c r="D10" s="2">
        <f>$C$3*(C10/1000)</f>
        <v>2</v>
      </c>
      <c r="E10" s="2">
        <f t="shared" ref="E10:E35" si="1">IF(D10&gt;($H$3-$H$5),($H$3-$H$5),IF(D10&lt;($H$4+$H$5),($H$4+$H$5),D10))</f>
        <v>2</v>
      </c>
      <c r="G10" s="6" t="s">
        <v>34</v>
      </c>
      <c r="H10" s="3">
        <f>IF(C3*(H9/1000)&gt;($H$3-$H$5),($H$3-$H$5),IF(C3*(H9/1000)&lt;($H$4+$H$5),($H$4+$H$5),C3*(H9/1000)))</f>
        <v>4</v>
      </c>
      <c r="I10" s="2" t="s">
        <v>17</v>
      </c>
    </row>
    <row r="11" spans="2:9">
      <c r="B11" s="2">
        <v>0.1</v>
      </c>
      <c r="C11" s="2">
        <f t="shared" si="0"/>
        <v>1.0998334166468282</v>
      </c>
      <c r="D11" s="2">
        <f>$C$3*(C11/1000)</f>
        <v>2.1996668332936564</v>
      </c>
      <c r="E11" s="2">
        <f t="shared" si="1"/>
        <v>2.1996668332936564</v>
      </c>
    </row>
    <row r="12" spans="2:9">
      <c r="B12" s="2">
        <v>0.2</v>
      </c>
      <c r="C12" s="2">
        <f t="shared" si="0"/>
        <v>1.1986693307950613</v>
      </c>
      <c r="D12" s="2">
        <f t="shared" ref="D12:D35" si="2">$C$3*(C12/1000)</f>
        <v>2.3973386615901227</v>
      </c>
      <c r="E12" s="2">
        <f t="shared" si="1"/>
        <v>2.3973386615901227</v>
      </c>
    </row>
    <row r="13" spans="2:9">
      <c r="B13" s="2">
        <v>1.2</v>
      </c>
      <c r="C13" s="2">
        <f t="shared" si="0"/>
        <v>1.9320390859672263</v>
      </c>
      <c r="D13" s="2">
        <f t="shared" si="2"/>
        <v>3.8640781719344526</v>
      </c>
      <c r="E13" s="2">
        <f t="shared" si="1"/>
        <v>3.8640781719344526</v>
      </c>
    </row>
    <row r="14" spans="2:9">
      <c r="B14" s="2">
        <v>2.2000000000000002</v>
      </c>
      <c r="C14" s="2">
        <f t="shared" si="0"/>
        <v>1.8084964038195901</v>
      </c>
      <c r="D14" s="2">
        <f t="shared" si="2"/>
        <v>3.6169928076391802</v>
      </c>
      <c r="E14" s="2">
        <f t="shared" si="1"/>
        <v>3.6169928076391802</v>
      </c>
    </row>
    <row r="15" spans="2:9">
      <c r="B15" s="2">
        <v>3.2</v>
      </c>
      <c r="C15" s="2">
        <f t="shared" si="0"/>
        <v>0.94162585657241993</v>
      </c>
      <c r="D15" s="2">
        <f t="shared" si="2"/>
        <v>1.8832517131448399</v>
      </c>
      <c r="E15" s="2">
        <f t="shared" si="1"/>
        <v>1.8832517131448399</v>
      </c>
    </row>
    <row r="16" spans="2:9">
      <c r="B16" s="2">
        <v>4.2</v>
      </c>
      <c r="C16" s="2">
        <f t="shared" si="0"/>
        <v>0.12842422758641181</v>
      </c>
      <c r="D16" s="2">
        <f t="shared" si="2"/>
        <v>0.25684845517282362</v>
      </c>
      <c r="E16" s="2">
        <f t="shared" si="1"/>
        <v>0.25684845517282362</v>
      </c>
    </row>
    <row r="17" spans="2:10">
      <c r="B17" s="2">
        <v>5.2</v>
      </c>
      <c r="C17" s="2">
        <f t="shared" si="0"/>
        <v>0.11654534427984686</v>
      </c>
      <c r="D17" s="2">
        <f t="shared" si="2"/>
        <v>0.23309068855969373</v>
      </c>
      <c r="E17" s="2">
        <f t="shared" si="1"/>
        <v>0.23309068855969373</v>
      </c>
    </row>
    <row r="18" spans="2:10">
      <c r="B18" s="2">
        <v>6.2</v>
      </c>
      <c r="C18" s="2">
        <f t="shared" si="0"/>
        <v>0.91691059718250356</v>
      </c>
      <c r="D18" s="2">
        <f t="shared" si="2"/>
        <v>1.8338211943650071</v>
      </c>
      <c r="E18" s="2">
        <f t="shared" si="1"/>
        <v>1.8338211943650071</v>
      </c>
    </row>
    <row r="19" spans="2:10">
      <c r="B19" s="2">
        <v>7.2</v>
      </c>
      <c r="C19" s="2">
        <f t="shared" si="0"/>
        <v>1.7936678638491532</v>
      </c>
      <c r="D19" s="2">
        <f t="shared" si="2"/>
        <v>3.5873357276983064</v>
      </c>
      <c r="E19" s="2">
        <f t="shared" si="1"/>
        <v>3.5873357276983064</v>
      </c>
    </row>
    <row r="20" spans="2:10">
      <c r="B20" s="2">
        <v>8.1999999999999993</v>
      </c>
      <c r="C20" s="2">
        <f t="shared" si="0"/>
        <v>1.9407305566797732</v>
      </c>
      <c r="D20" s="2">
        <f t="shared" si="2"/>
        <v>3.8814611133595465</v>
      </c>
      <c r="E20" s="2">
        <f t="shared" si="1"/>
        <v>3.8814611133595465</v>
      </c>
    </row>
    <row r="21" spans="2:10">
      <c r="B21" s="2">
        <v>9.1999999999999993</v>
      </c>
      <c r="C21" s="2">
        <f t="shared" si="0"/>
        <v>1.2228899141002476</v>
      </c>
      <c r="D21" s="2">
        <f t="shared" si="2"/>
        <v>2.4457798282004952</v>
      </c>
      <c r="E21" s="2">
        <f t="shared" si="1"/>
        <v>2.4457798282004952</v>
      </c>
    </row>
    <row r="22" spans="2:10">
      <c r="B22" s="2">
        <v>10.199999999999999</v>
      </c>
      <c r="C22" s="2">
        <f t="shared" si="0"/>
        <v>0.30012531240645768</v>
      </c>
      <c r="D22" s="2">
        <f t="shared" si="2"/>
        <v>0.60025062481291536</v>
      </c>
      <c r="E22" s="2">
        <f t="shared" si="1"/>
        <v>0.60025062481291536</v>
      </c>
    </row>
    <row r="23" spans="2:10">
      <c r="B23" s="2">
        <v>11.2</v>
      </c>
      <c r="C23" s="2">
        <f t="shared" si="0"/>
        <v>2.08222708486826E-2</v>
      </c>
      <c r="D23" s="2">
        <f t="shared" si="2"/>
        <v>4.1644541697365201E-2</v>
      </c>
      <c r="E23" s="2">
        <f t="shared" si="1"/>
        <v>4.1644541697365201E-2</v>
      </c>
    </row>
    <row r="24" spans="2:10">
      <c r="B24" s="2">
        <v>12.2</v>
      </c>
      <c r="C24" s="2">
        <f t="shared" si="0"/>
        <v>0.64177071776317129</v>
      </c>
      <c r="D24" s="2">
        <f t="shared" si="2"/>
        <v>1.2835414355263426</v>
      </c>
      <c r="E24" s="2">
        <f t="shared" si="1"/>
        <v>1.2835414355263426</v>
      </c>
    </row>
    <row r="25" spans="2:10">
      <c r="B25" s="2">
        <v>13.2</v>
      </c>
      <c r="C25" s="2">
        <f t="shared" si="0"/>
        <v>1.5920735147072231</v>
      </c>
      <c r="D25" s="2">
        <f t="shared" si="2"/>
        <v>3.1841470294144463</v>
      </c>
      <c r="E25" s="2">
        <f t="shared" si="1"/>
        <v>3.1841470294144463</v>
      </c>
    </row>
    <row r="26" spans="2:10">
      <c r="B26" s="2">
        <v>14.2</v>
      </c>
      <c r="C26" s="2">
        <f t="shared" si="0"/>
        <v>1.9980266527163617</v>
      </c>
      <c r="D26" s="2">
        <f t="shared" si="2"/>
        <v>3.9960533054327239</v>
      </c>
      <c r="E26" s="2">
        <f t="shared" si="1"/>
        <v>3.9960533054327239</v>
      </c>
    </row>
    <row r="27" spans="2:10">
      <c r="B27" s="2">
        <v>15.2</v>
      </c>
      <c r="C27" s="2">
        <f t="shared" si="0"/>
        <v>1.4863986888537997</v>
      </c>
      <c r="D27" s="2">
        <f t="shared" si="2"/>
        <v>2.9727973777075993</v>
      </c>
      <c r="E27" s="2">
        <f t="shared" si="1"/>
        <v>2.9727973777075993</v>
      </c>
    </row>
    <row r="28" spans="2:10">
      <c r="B28" s="2">
        <v>16.2</v>
      </c>
      <c r="C28" s="2">
        <f t="shared" si="0"/>
        <v>0.52757801360153378</v>
      </c>
      <c r="D28" s="2">
        <f t="shared" si="2"/>
        <v>1.0551560272030676</v>
      </c>
      <c r="E28" s="2">
        <f t="shared" si="1"/>
        <v>1.0551560272030676</v>
      </c>
    </row>
    <row r="29" spans="2:10">
      <c r="B29" s="2">
        <v>17.2</v>
      </c>
      <c r="C29" s="2">
        <f t="shared" si="0"/>
        <v>3.0999339584039109E-3</v>
      </c>
      <c r="D29" s="2">
        <f t="shared" si="2"/>
        <v>6.1998679168078219E-3</v>
      </c>
      <c r="E29" s="2">
        <f t="shared" si="1"/>
        <v>6.1998679168078219E-3</v>
      </c>
      <c r="G29" s="6" t="s">
        <v>65</v>
      </c>
    </row>
    <row r="30" spans="2:10">
      <c r="B30" s="2">
        <v>18.2</v>
      </c>
      <c r="C30" s="2">
        <f t="shared" si="0"/>
        <v>0.39516717759371589</v>
      </c>
      <c r="D30" s="2">
        <f t="shared" si="2"/>
        <v>0.79033435518743178</v>
      </c>
      <c r="E30" s="2">
        <f t="shared" si="1"/>
        <v>0.79033435518743178</v>
      </c>
      <c r="G30" s="12" t="s">
        <v>64</v>
      </c>
      <c r="H30" s="12">
        <f>H3</f>
        <v>10</v>
      </c>
      <c r="I30" s="12" t="s">
        <v>17</v>
      </c>
      <c r="J30" s="13" t="str">
        <f>TRIM(G30)&amp;"   "&amp;IF(H30&gt;0,"+","")&amp;TRIM(H30)&amp;" "&amp;TRIM(I30)</f>
        <v>V+:   +10 V</v>
      </c>
    </row>
    <row r="31" spans="2:10">
      <c r="B31" s="2">
        <v>19.2</v>
      </c>
      <c r="C31" s="2">
        <f t="shared" si="0"/>
        <v>1.3433149288198953</v>
      </c>
      <c r="D31" s="2">
        <f t="shared" si="2"/>
        <v>2.6866298576397907</v>
      </c>
      <c r="E31" s="2">
        <f t="shared" si="1"/>
        <v>2.6866298576397907</v>
      </c>
      <c r="G31" s="12" t="s">
        <v>66</v>
      </c>
      <c r="H31" s="12">
        <f>H4</f>
        <v>0</v>
      </c>
      <c r="I31" s="12" t="s">
        <v>17</v>
      </c>
      <c r="J31" s="13" t="str">
        <f t="shared" ref="J31:J32" si="3">TRIM(G31)&amp;"   "&amp;IF(H31&gt;0,"+","")&amp;TRIM(H31)&amp;" "&amp;TRIM(I31)</f>
        <v>V-:   0 V</v>
      </c>
    </row>
    <row r="32" spans="2:10">
      <c r="B32" s="2">
        <v>20.2</v>
      </c>
      <c r="C32" s="2">
        <f t="shared" si="0"/>
        <v>1.9758205177669756</v>
      </c>
      <c r="D32" s="2">
        <f t="shared" si="2"/>
        <v>3.9516410355339513</v>
      </c>
      <c r="E32" s="2">
        <f t="shared" si="1"/>
        <v>3.9516410355339513</v>
      </c>
      <c r="G32" s="12" t="s">
        <v>202</v>
      </c>
      <c r="H32" s="12">
        <f>H9</f>
        <v>2</v>
      </c>
      <c r="I32" s="12" t="s">
        <v>201</v>
      </c>
      <c r="J32" s="13" t="str">
        <f t="shared" si="3"/>
        <v>Iin:   +2 µA</v>
      </c>
    </row>
    <row r="33" spans="2:10">
      <c r="B33" s="2">
        <v>21.2</v>
      </c>
      <c r="C33" s="2">
        <f t="shared" si="0"/>
        <v>1.7111612229059823</v>
      </c>
      <c r="D33" s="2">
        <f t="shared" si="2"/>
        <v>3.4223224458119645</v>
      </c>
      <c r="E33" s="2">
        <f t="shared" si="1"/>
        <v>3.4223224458119645</v>
      </c>
      <c r="G33" s="12" t="s">
        <v>68</v>
      </c>
      <c r="H33" s="12">
        <f>C3</f>
        <v>2000</v>
      </c>
      <c r="I33" s="12" t="s">
        <v>16</v>
      </c>
      <c r="J33" s="13" t="str">
        <f>TRIM(G33)&amp;"   "&amp;TRIM(H33)&amp;" "&amp;TRIM(I33)</f>
        <v>RF:   2000 K</v>
      </c>
    </row>
    <row r="34" spans="2:10">
      <c r="B34" s="2">
        <v>22.2</v>
      </c>
      <c r="C34" s="2">
        <f t="shared" si="0"/>
        <v>0.79266357939324128</v>
      </c>
      <c r="D34" s="2">
        <f t="shared" si="2"/>
        <v>1.5853271587864826</v>
      </c>
      <c r="E34" s="2">
        <f t="shared" si="1"/>
        <v>1.5853271587864826</v>
      </c>
    </row>
    <row r="35" spans="2:10">
      <c r="B35" s="2">
        <v>23.2</v>
      </c>
      <c r="C35" s="2">
        <f t="shared" si="0"/>
        <v>6.4790084805461112E-2</v>
      </c>
      <c r="D35" s="2">
        <f t="shared" si="2"/>
        <v>0.12958016961092222</v>
      </c>
      <c r="E35" s="2">
        <f t="shared" si="1"/>
        <v>0.12958016961092222</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9979F-0260-4407-A5B5-B78939C21AA2}">
  <dimension ref="B1:J35"/>
  <sheetViews>
    <sheetView zoomScaleNormal="100" workbookViewId="0">
      <selection activeCell="C2" sqref="C2"/>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5" thickBot="1">
      <c r="B1" s="1" t="s">
        <v>209</v>
      </c>
    </row>
    <row r="2" spans="2:9" ht="15" thickBot="1">
      <c r="B2" s="2" t="s">
        <v>200</v>
      </c>
      <c r="C2" s="4">
        <v>10</v>
      </c>
      <c r="D2" s="2" t="s">
        <v>204</v>
      </c>
      <c r="G2" s="6" t="s">
        <v>36</v>
      </c>
    </row>
    <row r="3" spans="2:9" ht="15" thickBot="1">
      <c r="B3" s="2" t="s">
        <v>15</v>
      </c>
      <c r="C3" s="4">
        <v>75</v>
      </c>
      <c r="D3" s="2" t="s">
        <v>16</v>
      </c>
      <c r="G3" s="2" t="s">
        <v>9</v>
      </c>
      <c r="H3" s="4">
        <v>9</v>
      </c>
      <c r="I3" s="2" t="s">
        <v>18</v>
      </c>
    </row>
    <row r="4" spans="2:9" ht="15" thickBot="1">
      <c r="B4" s="2" t="s">
        <v>11</v>
      </c>
      <c r="C4" s="4">
        <v>4.5</v>
      </c>
      <c r="D4" s="2" t="s">
        <v>17</v>
      </c>
      <c r="G4" s="2" t="s">
        <v>10</v>
      </c>
      <c r="H4" s="5">
        <v>0</v>
      </c>
      <c r="I4" s="2" t="s">
        <v>19</v>
      </c>
    </row>
    <row r="5" spans="2:9" ht="15" thickBot="1">
      <c r="G5" s="2" t="s">
        <v>31</v>
      </c>
      <c r="H5" s="4">
        <v>1.3</v>
      </c>
      <c r="I5" s="2" t="s">
        <v>32</v>
      </c>
    </row>
    <row r="6" spans="2:9">
      <c r="C6" s="3"/>
    </row>
    <row r="8" spans="2:9" ht="15" thickBot="1">
      <c r="E8" s="6" t="s">
        <v>30</v>
      </c>
      <c r="G8" s="6" t="s">
        <v>33</v>
      </c>
    </row>
    <row r="9" spans="2:9" ht="15" thickBot="1">
      <c r="B9" s="7" t="s">
        <v>6</v>
      </c>
      <c r="C9" s="7" t="s">
        <v>203</v>
      </c>
      <c r="D9" s="7" t="s">
        <v>3</v>
      </c>
      <c r="E9" s="7" t="s">
        <v>3</v>
      </c>
      <c r="G9" s="6" t="s">
        <v>199</v>
      </c>
      <c r="H9" s="4">
        <v>5</v>
      </c>
      <c r="I9" s="2" t="s">
        <v>201</v>
      </c>
    </row>
    <row r="10" spans="2:9">
      <c r="B10" s="2">
        <v>0</v>
      </c>
      <c r="C10" s="2">
        <f t="shared" ref="C10:C35" si="0">($C$2/2)*(1+SIN($B10))</f>
        <v>5</v>
      </c>
      <c r="D10" s="2">
        <f t="shared" ref="D10:D35" si="1">$C$3*(C10/1000)+$C$4</f>
        <v>4.875</v>
      </c>
      <c r="E10" s="2">
        <f t="shared" ref="E10:E35" si="2">IF(D10&gt;($H$3-$H$5),($H$3-$H$5),IF(D10&lt;($H$4+$H$5),($H$4+$H$5),D10))</f>
        <v>4.875</v>
      </c>
      <c r="G10" s="6" t="s">
        <v>34</v>
      </c>
      <c r="H10" s="3">
        <f>IF(C3*(H9/1000)+C4&gt;($H$3-$H$5),($H$3-$H$5),IF(C3*(H9/1000)+C4&lt;($H$4+$H$5),($H$4+$H$5),C3*(H9/1000)+C4))</f>
        <v>4.875</v>
      </c>
      <c r="I10" s="2" t="s">
        <v>17</v>
      </c>
    </row>
    <row r="11" spans="2:9">
      <c r="B11" s="2">
        <v>0.1</v>
      </c>
      <c r="C11" s="2">
        <f t="shared" si="0"/>
        <v>5.4991670832341413</v>
      </c>
      <c r="D11" s="2">
        <f t="shared" si="1"/>
        <v>4.9124375312425608</v>
      </c>
      <c r="E11" s="2">
        <f t="shared" si="2"/>
        <v>4.9124375312425608</v>
      </c>
    </row>
    <row r="12" spans="2:9">
      <c r="B12" s="2">
        <v>0.2</v>
      </c>
      <c r="C12" s="2">
        <f t="shared" si="0"/>
        <v>5.9933466539753066</v>
      </c>
      <c r="D12" s="2">
        <f t="shared" si="1"/>
        <v>4.9495009990481478</v>
      </c>
      <c r="E12" s="2">
        <f t="shared" si="2"/>
        <v>4.9495009990481478</v>
      </c>
    </row>
    <row r="13" spans="2:9">
      <c r="B13" s="2">
        <v>1.2</v>
      </c>
      <c r="C13" s="2">
        <f t="shared" si="0"/>
        <v>9.660195429836131</v>
      </c>
      <c r="D13" s="2">
        <f t="shared" si="1"/>
        <v>5.2245146572377097</v>
      </c>
      <c r="E13" s="2">
        <f t="shared" si="2"/>
        <v>5.2245146572377097</v>
      </c>
    </row>
    <row r="14" spans="2:9">
      <c r="B14" s="2">
        <v>2.2000000000000002</v>
      </c>
      <c r="C14" s="2">
        <f t="shared" si="0"/>
        <v>9.0424820190979496</v>
      </c>
      <c r="D14" s="2">
        <f t="shared" si="1"/>
        <v>5.178186151432346</v>
      </c>
      <c r="E14" s="2">
        <f t="shared" si="2"/>
        <v>5.178186151432346</v>
      </c>
    </row>
    <row r="15" spans="2:9">
      <c r="B15" s="2">
        <v>3.2</v>
      </c>
      <c r="C15" s="2">
        <f t="shared" si="0"/>
        <v>4.7081292828620995</v>
      </c>
      <c r="D15" s="2">
        <f t="shared" si="1"/>
        <v>4.8531096962146574</v>
      </c>
      <c r="E15" s="2">
        <f t="shared" si="2"/>
        <v>4.8531096962146574</v>
      </c>
    </row>
    <row r="16" spans="2:9">
      <c r="B16" s="2">
        <v>4.2</v>
      </c>
      <c r="C16" s="2">
        <f t="shared" si="0"/>
        <v>0.64212113793205905</v>
      </c>
      <c r="D16" s="2">
        <f t="shared" si="1"/>
        <v>4.5481590853449045</v>
      </c>
      <c r="E16" s="2">
        <f t="shared" si="2"/>
        <v>4.5481590853449045</v>
      </c>
    </row>
    <row r="17" spans="2:10">
      <c r="B17" s="2">
        <v>5.2</v>
      </c>
      <c r="C17" s="2">
        <f t="shared" si="0"/>
        <v>0.58272672139923432</v>
      </c>
      <c r="D17" s="2">
        <f t="shared" si="1"/>
        <v>4.5437045041049426</v>
      </c>
      <c r="E17" s="2">
        <f t="shared" si="2"/>
        <v>4.5437045041049426</v>
      </c>
    </row>
    <row r="18" spans="2:10">
      <c r="B18" s="2">
        <v>6.2</v>
      </c>
      <c r="C18" s="2">
        <f t="shared" si="0"/>
        <v>4.5845529859125183</v>
      </c>
      <c r="D18" s="2">
        <f t="shared" si="1"/>
        <v>4.8438414739434386</v>
      </c>
      <c r="E18" s="2">
        <f t="shared" si="2"/>
        <v>4.8438414739434386</v>
      </c>
    </row>
    <row r="19" spans="2:10">
      <c r="B19" s="2">
        <v>7.2</v>
      </c>
      <c r="C19" s="2">
        <f t="shared" si="0"/>
        <v>8.9683393192457661</v>
      </c>
      <c r="D19" s="2">
        <f t="shared" si="1"/>
        <v>5.1726254489434327</v>
      </c>
      <c r="E19" s="2">
        <f t="shared" si="2"/>
        <v>5.1726254489434327</v>
      </c>
    </row>
    <row r="20" spans="2:10">
      <c r="B20" s="2">
        <v>8.1999999999999993</v>
      </c>
      <c r="C20" s="2">
        <f t="shared" si="0"/>
        <v>9.7036527833988657</v>
      </c>
      <c r="D20" s="2">
        <f t="shared" si="1"/>
        <v>5.2277739587549146</v>
      </c>
      <c r="E20" s="2">
        <f t="shared" si="2"/>
        <v>5.2277739587549146</v>
      </c>
    </row>
    <row r="21" spans="2:10">
      <c r="B21" s="2">
        <v>9.1999999999999993</v>
      </c>
      <c r="C21" s="2">
        <f t="shared" si="0"/>
        <v>6.1144495705012378</v>
      </c>
      <c r="D21" s="2">
        <f t="shared" si="1"/>
        <v>4.9585837177875929</v>
      </c>
      <c r="E21" s="2">
        <f t="shared" si="2"/>
        <v>4.9585837177875929</v>
      </c>
    </row>
    <row r="22" spans="2:10">
      <c r="B22" s="2">
        <v>10.199999999999999</v>
      </c>
      <c r="C22" s="2">
        <f t="shared" si="0"/>
        <v>1.5006265620322883</v>
      </c>
      <c r="D22" s="2">
        <f t="shared" si="1"/>
        <v>4.6125469921524216</v>
      </c>
      <c r="E22" s="2">
        <f t="shared" si="2"/>
        <v>4.6125469921524216</v>
      </c>
    </row>
    <row r="23" spans="2:10">
      <c r="B23" s="2">
        <v>11.2</v>
      </c>
      <c r="C23" s="2">
        <f t="shared" si="0"/>
        <v>0.104111354243413</v>
      </c>
      <c r="D23" s="2">
        <f t="shared" si="1"/>
        <v>4.5078083515682561</v>
      </c>
      <c r="E23" s="2">
        <f t="shared" si="2"/>
        <v>4.5078083515682561</v>
      </c>
    </row>
    <row r="24" spans="2:10">
      <c r="B24" s="2">
        <v>12.2</v>
      </c>
      <c r="C24" s="2">
        <f t="shared" si="0"/>
        <v>3.2088535888158565</v>
      </c>
      <c r="D24" s="2">
        <f t="shared" si="1"/>
        <v>4.7406640191611888</v>
      </c>
      <c r="E24" s="2">
        <f t="shared" si="2"/>
        <v>4.7406640191611888</v>
      </c>
    </row>
    <row r="25" spans="2:10">
      <c r="B25" s="2">
        <v>13.2</v>
      </c>
      <c r="C25" s="2">
        <f t="shared" si="0"/>
        <v>7.9603675735361161</v>
      </c>
      <c r="D25" s="2">
        <f t="shared" si="1"/>
        <v>5.0970275680152088</v>
      </c>
      <c r="E25" s="2">
        <f t="shared" si="2"/>
        <v>5.0970275680152088</v>
      </c>
    </row>
    <row r="26" spans="2:10">
      <c r="B26" s="2">
        <v>14.2</v>
      </c>
      <c r="C26" s="2">
        <f t="shared" si="0"/>
        <v>9.990133263581809</v>
      </c>
      <c r="D26" s="2">
        <f t="shared" si="1"/>
        <v>5.2492599947686358</v>
      </c>
      <c r="E26" s="2">
        <f t="shared" si="2"/>
        <v>5.2492599947686358</v>
      </c>
    </row>
    <row r="27" spans="2:10">
      <c r="B27" s="2">
        <v>15.2</v>
      </c>
      <c r="C27" s="2">
        <f t="shared" si="0"/>
        <v>7.4319934442689988</v>
      </c>
      <c r="D27" s="2">
        <f t="shared" si="1"/>
        <v>5.0573995083201746</v>
      </c>
      <c r="E27" s="2">
        <f t="shared" si="2"/>
        <v>5.0573995083201746</v>
      </c>
    </row>
    <row r="28" spans="2:10">
      <c r="B28" s="2">
        <v>16.2</v>
      </c>
      <c r="C28" s="2">
        <f t="shared" si="0"/>
        <v>2.6378900680076689</v>
      </c>
      <c r="D28" s="2">
        <f t="shared" si="1"/>
        <v>4.6978417551005753</v>
      </c>
      <c r="E28" s="2">
        <f t="shared" si="2"/>
        <v>4.6978417551005753</v>
      </c>
    </row>
    <row r="29" spans="2:10">
      <c r="B29" s="2">
        <v>17.2</v>
      </c>
      <c r="C29" s="2">
        <f t="shared" si="0"/>
        <v>1.5499669792019555E-2</v>
      </c>
      <c r="D29" s="2">
        <f t="shared" si="1"/>
        <v>4.5011624752344011</v>
      </c>
      <c r="E29" s="2">
        <f t="shared" si="2"/>
        <v>4.5011624752344011</v>
      </c>
      <c r="G29" s="6" t="s">
        <v>65</v>
      </c>
    </row>
    <row r="30" spans="2:10">
      <c r="B30" s="2">
        <v>18.2</v>
      </c>
      <c r="C30" s="2">
        <f t="shared" si="0"/>
        <v>1.9758358879685796</v>
      </c>
      <c r="D30" s="2">
        <f t="shared" si="1"/>
        <v>4.6481876915976432</v>
      </c>
      <c r="E30" s="2">
        <f t="shared" si="2"/>
        <v>4.6481876915976432</v>
      </c>
      <c r="G30" s="12" t="s">
        <v>64</v>
      </c>
      <c r="H30" s="12">
        <f>H3</f>
        <v>9</v>
      </c>
      <c r="I30" s="12" t="s">
        <v>17</v>
      </c>
      <c r="J30" s="13" t="str">
        <f>TRIM(G30)&amp;"   "&amp;IF(H30&gt;0,"+","")&amp;TRIM(H30)&amp;" "&amp;TRIM(I30)</f>
        <v>V+:   +9 V</v>
      </c>
    </row>
    <row r="31" spans="2:10">
      <c r="B31" s="2">
        <v>19.2</v>
      </c>
      <c r="C31" s="2">
        <f t="shared" si="0"/>
        <v>6.7165746440994765</v>
      </c>
      <c r="D31" s="2">
        <f t="shared" si="1"/>
        <v>5.0037430983074609</v>
      </c>
      <c r="E31" s="2">
        <f t="shared" si="2"/>
        <v>5.0037430983074609</v>
      </c>
      <c r="G31" s="12" t="s">
        <v>66</v>
      </c>
      <c r="H31" s="12">
        <f>H4</f>
        <v>0</v>
      </c>
      <c r="I31" s="12" t="s">
        <v>17</v>
      </c>
      <c r="J31" s="13" t="str">
        <f t="shared" ref="J31:J32" si="3">TRIM(G31)&amp;"   "&amp;IF(H31&gt;0,"+","")&amp;TRIM(H31)&amp;" "&amp;TRIM(I31)</f>
        <v>V-:   0 V</v>
      </c>
    </row>
    <row r="32" spans="2:10">
      <c r="B32" s="2">
        <v>20.2</v>
      </c>
      <c r="C32" s="2">
        <f t="shared" si="0"/>
        <v>9.8791025888348791</v>
      </c>
      <c r="D32" s="2">
        <f t="shared" si="1"/>
        <v>5.2409326941626162</v>
      </c>
      <c r="E32" s="2">
        <f t="shared" si="2"/>
        <v>5.2409326941626162</v>
      </c>
      <c r="G32" s="12" t="s">
        <v>202</v>
      </c>
      <c r="H32" s="12">
        <f>H9</f>
        <v>5</v>
      </c>
      <c r="I32" s="12" t="s">
        <v>201</v>
      </c>
      <c r="J32" s="13" t="str">
        <f t="shared" si="3"/>
        <v>Iin:   +5 µA</v>
      </c>
    </row>
    <row r="33" spans="2:10">
      <c r="B33" s="2">
        <v>21.2</v>
      </c>
      <c r="C33" s="2">
        <f t="shared" si="0"/>
        <v>8.5558061145299114</v>
      </c>
      <c r="D33" s="2">
        <f t="shared" si="1"/>
        <v>5.1416854585897429</v>
      </c>
      <c r="E33" s="2">
        <f t="shared" si="2"/>
        <v>5.1416854585897429</v>
      </c>
      <c r="G33" s="12" t="s">
        <v>68</v>
      </c>
      <c r="H33" s="12">
        <f>C3</f>
        <v>75</v>
      </c>
      <c r="I33" s="12" t="s">
        <v>16</v>
      </c>
      <c r="J33" s="13" t="str">
        <f>TRIM(G33)&amp;"   "&amp;TRIM(H33)&amp;" "&amp;TRIM(I33)</f>
        <v>RF:   75 K</v>
      </c>
    </row>
    <row r="34" spans="2:10">
      <c r="B34" s="2">
        <v>22.2</v>
      </c>
      <c r="C34" s="2">
        <f t="shared" si="0"/>
        <v>3.9633178969662062</v>
      </c>
      <c r="D34" s="2">
        <f t="shared" si="1"/>
        <v>4.7972488422724657</v>
      </c>
      <c r="E34" s="2">
        <f t="shared" si="2"/>
        <v>4.7972488422724657</v>
      </c>
    </row>
    <row r="35" spans="2:10">
      <c r="B35" s="2">
        <v>23.2</v>
      </c>
      <c r="C35" s="2">
        <f t="shared" si="0"/>
        <v>0.32395042402730556</v>
      </c>
      <c r="D35" s="2">
        <f t="shared" si="1"/>
        <v>4.524296281802048</v>
      </c>
      <c r="E35" s="2">
        <f t="shared" si="2"/>
        <v>4.524296281802048</v>
      </c>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A3108-A4E3-4A65-AD8E-3CC18449D39A}">
  <dimension ref="B1:L14"/>
  <sheetViews>
    <sheetView zoomScale="70" zoomScaleNormal="70" workbookViewId="0">
      <selection activeCell="B2" sqref="B2"/>
    </sheetView>
  </sheetViews>
  <sheetFormatPr defaultColWidth="9.1796875" defaultRowHeight="114" customHeight="1"/>
  <cols>
    <col min="1" max="1" width="5.7265625" style="18" customWidth="1"/>
    <col min="2" max="2" width="16.7265625" style="18" customWidth="1"/>
    <col min="3" max="3" width="36.453125" style="18" customWidth="1"/>
    <col min="4" max="4" width="10.54296875" style="18" customWidth="1"/>
    <col min="5" max="5" width="11.26953125" style="18" customWidth="1"/>
    <col min="6" max="9" width="9.1796875" style="18"/>
    <col min="10" max="10" width="47.453125" style="18" customWidth="1"/>
    <col min="11" max="11" width="21.453125" style="18" customWidth="1"/>
    <col min="12" max="12" width="36.1796875" style="18" customWidth="1"/>
    <col min="13" max="15" width="9.1796875" style="18"/>
    <col min="16" max="16" width="11.54296875" style="18" bestFit="1" customWidth="1"/>
    <col min="17" max="16384" width="9.1796875" style="18"/>
  </cols>
  <sheetData>
    <row r="1" spans="2:12" ht="14.5"/>
    <row r="2" spans="2:12" ht="61.5" customHeight="1">
      <c r="B2" s="22" t="s">
        <v>110</v>
      </c>
      <c r="C2" s="20" t="s">
        <v>112</v>
      </c>
      <c r="D2" s="20" t="s">
        <v>178</v>
      </c>
      <c r="E2" s="20" t="s">
        <v>125</v>
      </c>
      <c r="F2" s="20" t="s">
        <v>115</v>
      </c>
      <c r="G2" s="20" t="s">
        <v>1</v>
      </c>
      <c r="H2" s="20" t="s">
        <v>127</v>
      </c>
      <c r="I2" s="20" t="s">
        <v>133</v>
      </c>
      <c r="J2" s="20" t="s">
        <v>135</v>
      </c>
      <c r="K2" s="20" t="s">
        <v>119</v>
      </c>
      <c r="L2" s="20" t="s">
        <v>118</v>
      </c>
    </row>
    <row r="3" spans="2:12" ht="101.5">
      <c r="B3" s="23" t="s">
        <v>189</v>
      </c>
      <c r="C3" s="19" t="s">
        <v>190</v>
      </c>
      <c r="D3" s="24">
        <v>1</v>
      </c>
      <c r="E3" s="19" t="s">
        <v>191</v>
      </c>
      <c r="F3" s="21" t="s">
        <v>192</v>
      </c>
      <c r="G3" s="19" t="s">
        <v>122</v>
      </c>
      <c r="H3" s="19" t="s">
        <v>193</v>
      </c>
      <c r="I3" s="19" t="s">
        <v>194</v>
      </c>
      <c r="J3" s="19" t="s">
        <v>195</v>
      </c>
      <c r="K3" s="19" t="s">
        <v>196</v>
      </c>
      <c r="L3" s="19"/>
    </row>
    <row r="4" spans="2:12" ht="91.5" customHeight="1">
      <c r="B4" s="23" t="s">
        <v>111</v>
      </c>
      <c r="C4" s="19" t="s">
        <v>113</v>
      </c>
      <c r="D4" s="24">
        <v>2</v>
      </c>
      <c r="E4" s="19" t="s">
        <v>114</v>
      </c>
      <c r="F4" s="21" t="s">
        <v>167</v>
      </c>
      <c r="G4" s="19" t="s">
        <v>116</v>
      </c>
      <c r="H4" s="19" t="s">
        <v>139</v>
      </c>
      <c r="I4" s="19" t="s">
        <v>140</v>
      </c>
      <c r="J4" s="19" t="s">
        <v>117</v>
      </c>
      <c r="K4" s="19" t="s">
        <v>120</v>
      </c>
      <c r="L4" s="19"/>
    </row>
    <row r="5" spans="2:12" ht="88.5" customHeight="1">
      <c r="B5" s="23" t="s">
        <v>121</v>
      </c>
      <c r="C5" s="19" t="s">
        <v>129</v>
      </c>
      <c r="D5" s="24">
        <v>2</v>
      </c>
      <c r="E5" s="19" t="s">
        <v>124</v>
      </c>
      <c r="F5" s="19" t="s">
        <v>123</v>
      </c>
      <c r="G5" s="19" t="s">
        <v>122</v>
      </c>
      <c r="H5" s="19" t="s">
        <v>126</v>
      </c>
      <c r="I5" s="19" t="s">
        <v>218</v>
      </c>
      <c r="J5" s="19" t="s">
        <v>130</v>
      </c>
      <c r="K5" s="19" t="s">
        <v>128</v>
      </c>
      <c r="L5" s="19"/>
    </row>
    <row r="6" spans="2:12" ht="114" customHeight="1">
      <c r="B6" s="23" t="s">
        <v>145</v>
      </c>
      <c r="C6" s="19" t="s">
        <v>144</v>
      </c>
      <c r="D6" s="24">
        <v>4</v>
      </c>
      <c r="E6" s="19" t="s">
        <v>146</v>
      </c>
      <c r="F6" s="19" t="s">
        <v>166</v>
      </c>
      <c r="G6" s="19" t="s">
        <v>122</v>
      </c>
      <c r="H6" s="19" t="s">
        <v>126</v>
      </c>
      <c r="I6" s="19" t="s">
        <v>218</v>
      </c>
      <c r="J6" s="19" t="s">
        <v>148</v>
      </c>
      <c r="K6" s="19" t="s">
        <v>147</v>
      </c>
      <c r="L6" s="19"/>
    </row>
    <row r="7" spans="2:12" ht="114" customHeight="1">
      <c r="B7" s="23" t="s">
        <v>212</v>
      </c>
      <c r="C7" s="19" t="s">
        <v>210</v>
      </c>
      <c r="D7" s="24">
        <v>1</v>
      </c>
      <c r="E7" s="19" t="s">
        <v>211</v>
      </c>
      <c r="F7" s="19" t="s">
        <v>217</v>
      </c>
      <c r="G7" s="19" t="s">
        <v>213</v>
      </c>
      <c r="H7" s="19" t="s">
        <v>214</v>
      </c>
      <c r="I7" s="19" t="s">
        <v>218</v>
      </c>
      <c r="J7" s="19" t="s">
        <v>215</v>
      </c>
      <c r="K7" s="19" t="s">
        <v>216</v>
      </c>
      <c r="L7" s="19"/>
    </row>
    <row r="8" spans="2:12" ht="114" customHeight="1">
      <c r="B8" s="23" t="s">
        <v>138</v>
      </c>
      <c r="C8" s="19" t="s">
        <v>132</v>
      </c>
      <c r="D8" s="24">
        <v>1</v>
      </c>
      <c r="E8" s="19" t="s">
        <v>141</v>
      </c>
      <c r="F8" s="19" t="s">
        <v>142</v>
      </c>
      <c r="G8" s="19" t="s">
        <v>122</v>
      </c>
      <c r="H8" s="19" t="s">
        <v>179</v>
      </c>
      <c r="I8" s="19" t="s">
        <v>134</v>
      </c>
      <c r="J8" s="19" t="s">
        <v>136</v>
      </c>
      <c r="K8" s="19" t="s">
        <v>143</v>
      </c>
      <c r="L8" s="19"/>
    </row>
    <row r="9" spans="2:12" ht="81" customHeight="1">
      <c r="B9" s="23" t="s">
        <v>131</v>
      </c>
      <c r="C9" s="19" t="s">
        <v>132</v>
      </c>
      <c r="D9" s="24">
        <v>2</v>
      </c>
      <c r="E9" s="19" t="s">
        <v>141</v>
      </c>
      <c r="F9" s="19" t="s">
        <v>142</v>
      </c>
      <c r="G9" s="19" t="s">
        <v>122</v>
      </c>
      <c r="H9" s="19" t="s">
        <v>179</v>
      </c>
      <c r="I9" s="19" t="s">
        <v>134</v>
      </c>
      <c r="J9" s="19" t="s">
        <v>136</v>
      </c>
      <c r="K9" s="19" t="s">
        <v>143</v>
      </c>
      <c r="L9" s="19"/>
    </row>
    <row r="10" spans="2:12" ht="114" customHeight="1">
      <c r="B10" s="23" t="s">
        <v>137</v>
      </c>
      <c r="C10" s="19" t="s">
        <v>132</v>
      </c>
      <c r="D10" s="24">
        <v>4</v>
      </c>
      <c r="E10" s="19" t="s">
        <v>141</v>
      </c>
      <c r="F10" s="19" t="s">
        <v>142</v>
      </c>
      <c r="G10" s="19" t="s">
        <v>122</v>
      </c>
      <c r="H10" s="19" t="s">
        <v>179</v>
      </c>
      <c r="I10" s="19" t="s">
        <v>134</v>
      </c>
      <c r="J10" s="19" t="s">
        <v>136</v>
      </c>
      <c r="K10" s="19" t="s">
        <v>143</v>
      </c>
      <c r="L10" s="19"/>
    </row>
    <row r="11" spans="2:12" ht="114" customHeight="1">
      <c r="B11" s="23" t="s">
        <v>149</v>
      </c>
      <c r="C11" s="19" t="s">
        <v>150</v>
      </c>
      <c r="D11" s="24">
        <v>1</v>
      </c>
      <c r="E11" s="19" t="s">
        <v>152</v>
      </c>
      <c r="F11" s="19" t="s">
        <v>154</v>
      </c>
      <c r="G11" s="19" t="s">
        <v>151</v>
      </c>
      <c r="H11" s="19" t="s">
        <v>180</v>
      </c>
      <c r="I11" s="19" t="s">
        <v>156</v>
      </c>
      <c r="J11" s="19" t="s">
        <v>155</v>
      </c>
      <c r="K11" s="19" t="s">
        <v>153</v>
      </c>
      <c r="L11" s="19"/>
    </row>
    <row r="12" spans="2:12" ht="78" customHeight="1">
      <c r="B12" s="23" t="s">
        <v>157</v>
      </c>
      <c r="C12" s="19" t="s">
        <v>158</v>
      </c>
      <c r="D12" s="24">
        <v>2</v>
      </c>
      <c r="E12" s="19" t="s">
        <v>160</v>
      </c>
      <c r="F12" s="19" t="s">
        <v>162</v>
      </c>
      <c r="G12" s="19"/>
      <c r="H12" s="19" t="s">
        <v>126</v>
      </c>
      <c r="I12" s="19" t="s">
        <v>159</v>
      </c>
      <c r="J12" s="19" t="s">
        <v>161</v>
      </c>
      <c r="K12" s="19" t="s">
        <v>165</v>
      </c>
      <c r="L12" s="19"/>
    </row>
    <row r="13" spans="2:12" ht="86.25" customHeight="1">
      <c r="B13" s="23" t="s">
        <v>163</v>
      </c>
      <c r="C13" s="19" t="s">
        <v>158</v>
      </c>
      <c r="D13" s="24">
        <v>4</v>
      </c>
      <c r="E13" s="19" t="s">
        <v>160</v>
      </c>
      <c r="F13" s="19" t="s">
        <v>162</v>
      </c>
      <c r="G13" s="19"/>
      <c r="H13" s="19" t="s">
        <v>126</v>
      </c>
      <c r="I13" s="19" t="s">
        <v>159</v>
      </c>
      <c r="J13" s="19" t="s">
        <v>164</v>
      </c>
      <c r="K13" s="19" t="s">
        <v>165</v>
      </c>
      <c r="L13" s="19"/>
    </row>
    <row r="14" spans="2:12" ht="107.25" customHeight="1">
      <c r="B14" s="23" t="s">
        <v>181</v>
      </c>
      <c r="C14" s="19" t="s">
        <v>238</v>
      </c>
      <c r="D14" s="24">
        <v>1</v>
      </c>
      <c r="E14" s="19" t="s">
        <v>185</v>
      </c>
      <c r="F14" s="19" t="s">
        <v>182</v>
      </c>
      <c r="G14" s="19" t="s">
        <v>186</v>
      </c>
      <c r="H14" s="19" t="s">
        <v>183</v>
      </c>
      <c r="I14" s="19" t="s">
        <v>184</v>
      </c>
      <c r="J14" s="19" t="s">
        <v>187</v>
      </c>
      <c r="K14" s="19" t="s">
        <v>188</v>
      </c>
      <c r="L14" s="19"/>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2FB18-ADB6-4338-8CD1-6BAA33A6ABAA}">
  <sheetPr codeName="Sheet14"/>
  <dimension ref="B1:J35"/>
  <sheetViews>
    <sheetView zoomScale="96" zoomScaleNormal="96" workbookViewId="0">
      <selection activeCell="C2" sqref="C2"/>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5" thickBot="1">
      <c r="B1" s="1" t="s">
        <v>234</v>
      </c>
    </row>
    <row r="2" spans="2:9" ht="15" thickBot="1">
      <c r="B2" s="2" t="s">
        <v>12</v>
      </c>
      <c r="C2" s="4">
        <v>5</v>
      </c>
      <c r="D2" s="2" t="s">
        <v>16</v>
      </c>
      <c r="G2" s="6" t="s">
        <v>36</v>
      </c>
    </row>
    <row r="3" spans="2:9" ht="15" thickBot="1">
      <c r="B3" s="2" t="s">
        <v>13</v>
      </c>
      <c r="C3" s="4">
        <v>1</v>
      </c>
      <c r="D3" s="2" t="s">
        <v>16</v>
      </c>
      <c r="G3" s="2" t="s">
        <v>9</v>
      </c>
      <c r="H3" s="4">
        <v>5</v>
      </c>
      <c r="I3" s="2" t="s">
        <v>18</v>
      </c>
    </row>
    <row r="4" spans="2:9" ht="15" thickBot="1">
      <c r="B4" s="2" t="s">
        <v>0</v>
      </c>
      <c r="C4" s="3">
        <v>0</v>
      </c>
      <c r="D4" s="2" t="s">
        <v>17</v>
      </c>
      <c r="G4" s="2" t="s">
        <v>10</v>
      </c>
      <c r="H4" s="5">
        <v>0</v>
      </c>
      <c r="I4" s="2" t="s">
        <v>19</v>
      </c>
    </row>
    <row r="5" spans="2:9" ht="15" thickBot="1">
      <c r="B5" s="2" t="s">
        <v>1</v>
      </c>
      <c r="C5" s="3">
        <f>C3/(C2+C3)</f>
        <v>0.16666666666666666</v>
      </c>
      <c r="D5" s="2" t="s">
        <v>39</v>
      </c>
      <c r="G5" s="2" t="s">
        <v>31</v>
      </c>
      <c r="H5" s="4">
        <v>1.3</v>
      </c>
      <c r="I5" s="2" t="s">
        <v>32</v>
      </c>
    </row>
    <row r="6" spans="2:9" ht="15" thickBot="1">
      <c r="B6" s="2" t="s">
        <v>25</v>
      </c>
      <c r="C6" s="4">
        <v>12</v>
      </c>
      <c r="D6" s="2" t="s">
        <v>38</v>
      </c>
    </row>
    <row r="8" spans="2:9" ht="15" thickBot="1">
      <c r="E8" s="6" t="s">
        <v>30</v>
      </c>
      <c r="G8" s="6" t="s">
        <v>33</v>
      </c>
    </row>
    <row r="9" spans="2:9" ht="15" thickBot="1">
      <c r="B9" s="7" t="s">
        <v>6</v>
      </c>
      <c r="C9" s="7" t="s">
        <v>7</v>
      </c>
      <c r="D9" s="7" t="s">
        <v>3</v>
      </c>
      <c r="E9" s="7" t="s">
        <v>3</v>
      </c>
      <c r="G9" s="6" t="s">
        <v>29</v>
      </c>
      <c r="H9" s="4">
        <v>20</v>
      </c>
      <c r="I9" s="2" t="s">
        <v>17</v>
      </c>
    </row>
    <row r="10" spans="2:9">
      <c r="B10" s="2">
        <v>0</v>
      </c>
      <c r="C10" s="2">
        <f t="shared" ref="C10:C35" si="0">$C$6*SIN($B10)</f>
        <v>0</v>
      </c>
      <c r="D10" s="2">
        <f t="shared" ref="D10:D35" si="1">$C$5*C10</f>
        <v>0</v>
      </c>
      <c r="E10" s="2">
        <f t="shared" ref="E10:E35" si="2">IF(D10&gt;($H$3-$H$5),($H$3-$H$5),IF(D10&lt;($H$4+$H$5),($H$4+$H$5),D10))</f>
        <v>1.3</v>
      </c>
      <c r="G10" s="6" t="s">
        <v>34</v>
      </c>
      <c r="H10" s="3">
        <f>IF(H9*C5&gt;($H$3-$H$5),($H$3-$H$5),IF(H9*C5&lt;($H$4+$H$5),($H$4+$H$5),H9*C5))</f>
        <v>3.333333333333333</v>
      </c>
      <c r="I10" s="2" t="s">
        <v>17</v>
      </c>
    </row>
    <row r="11" spans="2:9">
      <c r="B11" s="2">
        <v>0.1</v>
      </c>
      <c r="C11" s="2">
        <f t="shared" si="0"/>
        <v>1.1980009997619379</v>
      </c>
      <c r="D11" s="2">
        <f t="shared" si="1"/>
        <v>0.19966683329365631</v>
      </c>
      <c r="E11" s="2">
        <f t="shared" si="2"/>
        <v>1.3</v>
      </c>
    </row>
    <row r="12" spans="2:9">
      <c r="B12" s="2">
        <v>0.2</v>
      </c>
      <c r="C12" s="2">
        <f t="shared" si="0"/>
        <v>2.3840319695407346</v>
      </c>
      <c r="D12" s="2">
        <f t="shared" si="1"/>
        <v>0.39733866159012243</v>
      </c>
      <c r="E12" s="2">
        <f t="shared" si="2"/>
        <v>1.3</v>
      </c>
    </row>
    <row r="13" spans="2:9">
      <c r="B13" s="2">
        <v>1.2</v>
      </c>
      <c r="C13" s="2">
        <f t="shared" si="0"/>
        <v>11.184469031606715</v>
      </c>
      <c r="D13" s="2">
        <f t="shared" si="1"/>
        <v>1.8640781719344526</v>
      </c>
      <c r="E13" s="2">
        <f t="shared" si="2"/>
        <v>1.8640781719344526</v>
      </c>
    </row>
    <row r="14" spans="2:9">
      <c r="B14" s="2">
        <v>2.2000000000000002</v>
      </c>
      <c r="C14" s="2">
        <f t="shared" si="0"/>
        <v>9.7019568458350811</v>
      </c>
      <c r="D14" s="2">
        <f t="shared" si="1"/>
        <v>1.6169928076391802</v>
      </c>
      <c r="E14" s="2">
        <f t="shared" si="2"/>
        <v>1.6169928076391802</v>
      </c>
    </row>
    <row r="15" spans="2:9">
      <c r="B15" s="2">
        <v>3.2</v>
      </c>
      <c r="C15" s="2">
        <f t="shared" si="0"/>
        <v>-0.70048972113096108</v>
      </c>
      <c r="D15" s="2">
        <f t="shared" si="1"/>
        <v>-0.11674828685516017</v>
      </c>
      <c r="E15" s="2">
        <f t="shared" si="2"/>
        <v>1.3</v>
      </c>
    </row>
    <row r="16" spans="2:9">
      <c r="B16" s="2">
        <v>4.2</v>
      </c>
      <c r="C16" s="2">
        <f t="shared" si="0"/>
        <v>-10.458909268963058</v>
      </c>
      <c r="D16" s="2">
        <f t="shared" si="1"/>
        <v>-1.7431515448271764</v>
      </c>
      <c r="E16" s="2">
        <f t="shared" si="2"/>
        <v>1.3</v>
      </c>
    </row>
    <row r="17" spans="2:10">
      <c r="B17" s="2">
        <v>5.2</v>
      </c>
      <c r="C17" s="2">
        <f t="shared" si="0"/>
        <v>-10.601455868641837</v>
      </c>
      <c r="D17" s="2">
        <f t="shared" si="1"/>
        <v>-1.7669093114403061</v>
      </c>
      <c r="E17" s="2">
        <f t="shared" si="2"/>
        <v>1.3</v>
      </c>
    </row>
    <row r="18" spans="2:10">
      <c r="B18" s="2">
        <v>6.2</v>
      </c>
      <c r="C18" s="2">
        <f t="shared" si="0"/>
        <v>-0.99707283380995682</v>
      </c>
      <c r="D18" s="2">
        <f t="shared" si="1"/>
        <v>-0.16617880563499279</v>
      </c>
      <c r="E18" s="2">
        <f t="shared" si="2"/>
        <v>1.3</v>
      </c>
    </row>
    <row r="19" spans="2:10">
      <c r="B19" s="2">
        <v>7.2</v>
      </c>
      <c r="C19" s="2">
        <f t="shared" si="0"/>
        <v>9.5240143661898369</v>
      </c>
      <c r="D19" s="2">
        <f t="shared" si="1"/>
        <v>1.587335727698306</v>
      </c>
      <c r="E19" s="2">
        <f t="shared" si="2"/>
        <v>1.587335727698306</v>
      </c>
    </row>
    <row r="20" spans="2:10">
      <c r="B20" s="2">
        <v>8.1999999999999993</v>
      </c>
      <c r="C20" s="2">
        <f t="shared" si="0"/>
        <v>11.288766680157277</v>
      </c>
      <c r="D20" s="2">
        <f t="shared" si="1"/>
        <v>1.881461113359546</v>
      </c>
      <c r="E20" s="2">
        <f t="shared" si="2"/>
        <v>1.881461113359546</v>
      </c>
    </row>
    <row r="21" spans="2:10">
      <c r="B21" s="2">
        <v>9.1999999999999993</v>
      </c>
      <c r="C21" s="2">
        <f t="shared" si="0"/>
        <v>2.6746789692029718</v>
      </c>
      <c r="D21" s="2">
        <f t="shared" si="1"/>
        <v>0.44577982820049528</v>
      </c>
      <c r="E21" s="2">
        <f t="shared" si="2"/>
        <v>1.3</v>
      </c>
    </row>
    <row r="22" spans="2:10">
      <c r="B22" s="2">
        <v>10.199999999999999</v>
      </c>
      <c r="C22" s="2">
        <f t="shared" si="0"/>
        <v>-8.3984962511225074</v>
      </c>
      <c r="D22" s="2">
        <f t="shared" si="1"/>
        <v>-1.3997493751870844</v>
      </c>
      <c r="E22" s="2">
        <f t="shared" si="2"/>
        <v>1.3</v>
      </c>
    </row>
    <row r="23" spans="2:10">
      <c r="B23" s="2">
        <v>11.2</v>
      </c>
      <c r="C23" s="2">
        <f t="shared" si="0"/>
        <v>-11.750132749815808</v>
      </c>
      <c r="D23" s="2">
        <f t="shared" si="1"/>
        <v>-1.9583554583026346</v>
      </c>
      <c r="E23" s="2">
        <f t="shared" si="2"/>
        <v>1.3</v>
      </c>
    </row>
    <row r="24" spans="2:10">
      <c r="B24" s="2">
        <v>12.2</v>
      </c>
      <c r="C24" s="2">
        <f t="shared" si="0"/>
        <v>-4.2987513868419445</v>
      </c>
      <c r="D24" s="2">
        <f t="shared" si="1"/>
        <v>-0.71645856447365741</v>
      </c>
      <c r="E24" s="2">
        <f t="shared" si="2"/>
        <v>1.3</v>
      </c>
    </row>
    <row r="25" spans="2:10">
      <c r="B25" s="2">
        <v>13.2</v>
      </c>
      <c r="C25" s="2">
        <f t="shared" si="0"/>
        <v>7.1048821764866759</v>
      </c>
      <c r="D25" s="2">
        <f t="shared" si="1"/>
        <v>1.1841470294144458</v>
      </c>
      <c r="E25" s="2">
        <f t="shared" si="2"/>
        <v>1.3</v>
      </c>
    </row>
    <row r="26" spans="2:10">
      <c r="B26" s="2">
        <v>14.2</v>
      </c>
      <c r="C26" s="2">
        <f t="shared" si="0"/>
        <v>11.97631983259634</v>
      </c>
      <c r="D26" s="2">
        <f t="shared" si="1"/>
        <v>1.9960533054327234</v>
      </c>
      <c r="E26" s="2">
        <f t="shared" si="2"/>
        <v>1.9960533054327234</v>
      </c>
    </row>
    <row r="27" spans="2:10">
      <c r="B27" s="2">
        <v>15.2</v>
      </c>
      <c r="C27" s="2">
        <f t="shared" si="0"/>
        <v>5.836784266245596</v>
      </c>
      <c r="D27" s="2">
        <f t="shared" si="1"/>
        <v>0.97279737770759933</v>
      </c>
      <c r="E27" s="2">
        <f t="shared" si="2"/>
        <v>1.3</v>
      </c>
    </row>
    <row r="28" spans="2:10">
      <c r="B28" s="2">
        <v>16.2</v>
      </c>
      <c r="C28" s="2">
        <f t="shared" si="0"/>
        <v>-5.6690638367815938</v>
      </c>
      <c r="D28" s="2">
        <f t="shared" si="1"/>
        <v>-0.94484397279693222</v>
      </c>
      <c r="E28" s="2">
        <f t="shared" si="2"/>
        <v>1.3</v>
      </c>
    </row>
    <row r="29" spans="2:10">
      <c r="B29" s="2">
        <v>17.2</v>
      </c>
      <c r="C29" s="2">
        <f t="shared" si="0"/>
        <v>-11.962800792499152</v>
      </c>
      <c r="D29" s="2">
        <f t="shared" si="1"/>
        <v>-1.993800132083192</v>
      </c>
      <c r="E29" s="2">
        <f t="shared" si="2"/>
        <v>1.3</v>
      </c>
      <c r="G29" s="6" t="s">
        <v>65</v>
      </c>
    </row>
    <row r="30" spans="2:10">
      <c r="B30" s="2">
        <v>18.2</v>
      </c>
      <c r="C30" s="2">
        <f t="shared" si="0"/>
        <v>-7.2579938688754098</v>
      </c>
      <c r="D30" s="2">
        <f t="shared" si="1"/>
        <v>-1.2096656448125682</v>
      </c>
      <c r="E30" s="2">
        <f t="shared" si="2"/>
        <v>1.3</v>
      </c>
      <c r="G30" s="12" t="s">
        <v>64</v>
      </c>
      <c r="H30" s="12">
        <f>H3</f>
        <v>5</v>
      </c>
      <c r="I30" s="12" t="s">
        <v>17</v>
      </c>
      <c r="J30" s="13" t="str">
        <f>TRIM(G30)&amp;"   "&amp;IF(H30&gt;0,"+","")&amp;TRIM(H30)&amp;" "&amp;TRIM(I30)</f>
        <v>V+:   +5 V</v>
      </c>
    </row>
    <row r="31" spans="2:10">
      <c r="B31" s="2">
        <v>19.2</v>
      </c>
      <c r="C31" s="2">
        <f t="shared" si="0"/>
        <v>4.1197791458387449</v>
      </c>
      <c r="D31" s="2">
        <f t="shared" si="1"/>
        <v>0.68662985763979079</v>
      </c>
      <c r="E31" s="2">
        <f t="shared" si="2"/>
        <v>1.3</v>
      </c>
      <c r="G31" s="12" t="s">
        <v>66</v>
      </c>
      <c r="H31" s="12">
        <f>H4</f>
        <v>0</v>
      </c>
      <c r="I31" s="12" t="s">
        <v>17</v>
      </c>
      <c r="J31" s="13" t="str">
        <f t="shared" ref="J31:J32" si="3">TRIM(G31)&amp;"   "&amp;IF(H31&gt;0,"+","")&amp;TRIM(H31)&amp;" "&amp;TRIM(I31)</f>
        <v>V-:   0 V</v>
      </c>
    </row>
    <row r="32" spans="2:10">
      <c r="B32" s="2">
        <v>20.2</v>
      </c>
      <c r="C32" s="2">
        <f t="shared" si="0"/>
        <v>11.709846213203706</v>
      </c>
      <c r="D32" s="2">
        <f t="shared" si="1"/>
        <v>1.9516410355339509</v>
      </c>
      <c r="E32" s="2">
        <f t="shared" si="2"/>
        <v>1.9516410355339509</v>
      </c>
      <c r="G32" s="12" t="s">
        <v>29</v>
      </c>
      <c r="H32" s="12">
        <f>H9</f>
        <v>20</v>
      </c>
      <c r="I32" s="12" t="s">
        <v>17</v>
      </c>
      <c r="J32" s="13" t="str">
        <f t="shared" si="3"/>
        <v>Vin:   +20 V</v>
      </c>
    </row>
    <row r="33" spans="2:10">
      <c r="B33" s="2">
        <v>21.2</v>
      </c>
      <c r="C33" s="2">
        <f t="shared" si="0"/>
        <v>8.533934674871789</v>
      </c>
      <c r="D33" s="2">
        <f t="shared" si="1"/>
        <v>1.4223224458119648</v>
      </c>
      <c r="E33" s="2">
        <f t="shared" si="2"/>
        <v>1.4223224458119648</v>
      </c>
      <c r="G33" s="12" t="s">
        <v>67</v>
      </c>
      <c r="H33" s="12">
        <f>C2</f>
        <v>5</v>
      </c>
      <c r="I33" s="12" t="s">
        <v>16</v>
      </c>
      <c r="J33" s="13" t="str">
        <f t="shared" ref="J33:J34" si="4">TRIM(G33)&amp;"   "&amp;TRIM(H33)&amp;" "&amp;TRIM(I33)</f>
        <v>R1:   5 K</v>
      </c>
    </row>
    <row r="34" spans="2:10">
      <c r="B34" s="2">
        <v>22.2</v>
      </c>
      <c r="C34" s="2">
        <f t="shared" si="0"/>
        <v>-2.4880370472811055</v>
      </c>
      <c r="D34" s="2">
        <f t="shared" si="1"/>
        <v>-0.41467284121351755</v>
      </c>
      <c r="E34" s="2">
        <f t="shared" si="2"/>
        <v>1.3</v>
      </c>
      <c r="G34" s="12" t="s">
        <v>72</v>
      </c>
      <c r="H34" s="12">
        <f>C3</f>
        <v>1</v>
      </c>
      <c r="I34" s="12" t="s">
        <v>16</v>
      </c>
      <c r="J34" s="13" t="str">
        <f t="shared" si="4"/>
        <v>R2:   1 K</v>
      </c>
    </row>
    <row r="35" spans="2:10">
      <c r="B35" s="2">
        <v>23.2</v>
      </c>
      <c r="C35" s="2">
        <f t="shared" si="0"/>
        <v>-11.222518982334467</v>
      </c>
      <c r="D35" s="2">
        <f t="shared" si="1"/>
        <v>-1.8704198303890778</v>
      </c>
      <c r="E35" s="2">
        <f t="shared" si="2"/>
        <v>1.3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92EC5-7298-4AE7-B2AC-1DFD794F4D3E}">
  <dimension ref="B1:Z101"/>
  <sheetViews>
    <sheetView zoomScale="96" zoomScaleNormal="96" workbookViewId="0">
      <selection activeCell="C3" sqref="C3"/>
    </sheetView>
  </sheetViews>
  <sheetFormatPr defaultColWidth="9.1796875" defaultRowHeight="14.5"/>
  <cols>
    <col min="1" max="1" width="5.1796875" style="2" customWidth="1"/>
    <col min="2" max="2" width="9.1796875" style="2"/>
    <col min="3" max="4" width="13.1796875" style="2" bestFit="1" customWidth="1"/>
    <col min="5" max="5" width="11.81640625" style="2" customWidth="1"/>
    <col min="6" max="7" width="9.1796875" style="2"/>
    <col min="8" max="8" width="11" style="2" customWidth="1"/>
    <col min="9" max="16384" width="9.1796875" style="2"/>
  </cols>
  <sheetData>
    <row r="1" spans="2:26" ht="46">
      <c r="B1" s="1" t="s">
        <v>96</v>
      </c>
    </row>
    <row r="2" spans="2:26" ht="15" thickBot="1">
      <c r="B2" s="2" t="s">
        <v>239</v>
      </c>
      <c r="H2" s="6" t="s">
        <v>36</v>
      </c>
    </row>
    <row r="3" spans="2:26" ht="15" thickBot="1">
      <c r="B3" s="2" t="s">
        <v>12</v>
      </c>
      <c r="C3" s="4">
        <v>1</v>
      </c>
      <c r="D3" s="2" t="s">
        <v>16</v>
      </c>
      <c r="H3" s="2" t="s">
        <v>9</v>
      </c>
      <c r="I3" s="4">
        <v>5</v>
      </c>
      <c r="J3" s="2" t="s">
        <v>18</v>
      </c>
      <c r="Z3"/>
    </row>
    <row r="4" spans="2:26" ht="15" thickBot="1">
      <c r="B4" s="2" t="s">
        <v>82</v>
      </c>
      <c r="C4" s="4">
        <v>0.1</v>
      </c>
      <c r="D4" s="2" t="s">
        <v>83</v>
      </c>
      <c r="H4" s="2" t="s">
        <v>10</v>
      </c>
      <c r="I4" s="5">
        <v>-5</v>
      </c>
      <c r="J4" s="2" t="s">
        <v>19</v>
      </c>
    </row>
    <row r="5" spans="2:26" ht="15" thickBot="1">
      <c r="B5" s="2" t="s">
        <v>97</v>
      </c>
      <c r="C5" s="3">
        <f>1/(2*PI()*C10*C4*0.000001)</f>
        <v>99.999999999999986</v>
      </c>
      <c r="D5" s="2" t="s">
        <v>219</v>
      </c>
      <c r="H5" s="2" t="s">
        <v>31</v>
      </c>
      <c r="I5" s="4">
        <v>1.2</v>
      </c>
      <c r="J5" s="2" t="s">
        <v>32</v>
      </c>
    </row>
    <row r="6" spans="2:26">
      <c r="B6" s="2" t="s">
        <v>0</v>
      </c>
      <c r="C6" s="3">
        <v>0</v>
      </c>
      <c r="D6" s="2" t="s">
        <v>17</v>
      </c>
    </row>
    <row r="7" spans="2:26" ht="15" thickBot="1">
      <c r="B7" s="2" t="s">
        <v>1</v>
      </c>
      <c r="C7" s="3">
        <f>1</f>
        <v>1</v>
      </c>
      <c r="D7" s="2" t="s">
        <v>39</v>
      </c>
      <c r="H7" s="6" t="s">
        <v>33</v>
      </c>
    </row>
    <row r="8" spans="2:26" ht="15" thickBot="1">
      <c r="B8" s="2" t="s">
        <v>97</v>
      </c>
      <c r="C8" s="3">
        <f>1/(2*PI()*C10*C4*0.000001)</f>
        <v>99.999999999999986</v>
      </c>
      <c r="D8" s="2" t="s">
        <v>219</v>
      </c>
      <c r="H8" s="6" t="s">
        <v>29</v>
      </c>
      <c r="I8" s="4">
        <v>1</v>
      </c>
      <c r="J8" s="2" t="s">
        <v>17</v>
      </c>
    </row>
    <row r="9" spans="2:26" ht="15" thickBot="1">
      <c r="B9" s="2" t="s">
        <v>25</v>
      </c>
      <c r="C9" s="4">
        <v>1</v>
      </c>
      <c r="D9" s="2" t="s">
        <v>38</v>
      </c>
      <c r="H9" s="6" t="s">
        <v>34</v>
      </c>
      <c r="I9" s="3">
        <f>IF($C$7*I8/SQRT(1+($C$10/$C$12)^2)&gt;($I$3-$I$5),($I$3-$I$5),IF($C$7*I8/SQRT(1+($C$10/$C$12)^2)&lt;($I$4+$I$5),($I$4+$I$5),$C$7*I8/SQRT(1+($C$10/$C$12)^2)))</f>
        <v>9.9503719020998915E-2</v>
      </c>
      <c r="J9" s="2" t="s">
        <v>17</v>
      </c>
    </row>
    <row r="10" spans="2:26" ht="15" thickBot="1">
      <c r="B10" s="2" t="s">
        <v>84</v>
      </c>
      <c r="C10" s="4">
        <f>C12*10</f>
        <v>15915.494309189537</v>
      </c>
      <c r="D10" s="2" t="s">
        <v>80</v>
      </c>
    </row>
    <row r="11" spans="2:26">
      <c r="B11" s="2" t="s">
        <v>87</v>
      </c>
      <c r="C11" s="3">
        <f>1/C10</f>
        <v>6.2831853071795856E-5</v>
      </c>
      <c r="D11" s="2" t="s">
        <v>86</v>
      </c>
      <c r="H11" s="6" t="s">
        <v>105</v>
      </c>
    </row>
    <row r="12" spans="2:26" ht="15" thickBot="1">
      <c r="B12" s="2" t="s">
        <v>81</v>
      </c>
      <c r="C12" s="3">
        <f>1/(2*PI()*(C3*1000)*(C4*0.000001))</f>
        <v>1591.5494309189537</v>
      </c>
      <c r="D12" s="2" t="s">
        <v>80</v>
      </c>
      <c r="H12" s="17" t="s">
        <v>106</v>
      </c>
      <c r="I12" s="3">
        <f>1000*(C3*1000)*(C4*0.000001)</f>
        <v>9.9999999999999992E-2</v>
      </c>
      <c r="J12" s="2" t="s">
        <v>107</v>
      </c>
    </row>
    <row r="13" spans="2:26" ht="15" thickBot="1">
      <c r="B13" s="2" t="s">
        <v>89</v>
      </c>
      <c r="C13" s="4">
        <v>4</v>
      </c>
      <c r="D13" s="2" t="s">
        <v>90</v>
      </c>
    </row>
    <row r="14" spans="2:26">
      <c r="B14" s="2" t="s">
        <v>88</v>
      </c>
      <c r="C14" s="3">
        <f>C11*C13/25</f>
        <v>1.0053096491487337E-5</v>
      </c>
      <c r="D14" s="2" t="s">
        <v>86</v>
      </c>
    </row>
    <row r="15" spans="2:26">
      <c r="E15" s="6" t="s">
        <v>30</v>
      </c>
    </row>
    <row r="16" spans="2:26">
      <c r="B16" s="7" t="s">
        <v>85</v>
      </c>
      <c r="C16" s="7" t="s">
        <v>7</v>
      </c>
      <c r="D16" s="7" t="s">
        <v>3</v>
      </c>
      <c r="E16" s="7" t="s">
        <v>3</v>
      </c>
      <c r="F16" s="30" t="s">
        <v>223</v>
      </c>
      <c r="G16" s="30"/>
    </row>
    <row r="17" spans="2:18">
      <c r="B17" s="2">
        <v>0</v>
      </c>
      <c r="C17" s="2">
        <f>$C$9*SIN($B17*$C$10*2*PI())</f>
        <v>0</v>
      </c>
      <c r="D17" s="2">
        <f>C17*(1/(SQRT(1+($C$10/$C$12)^2)))</f>
        <v>0</v>
      </c>
      <c r="E17" s="2">
        <f t="shared" ref="E17:E42" si="0">IF(D17&gt;($I$3-$I$5),($I$3-$I$5),IF(D17&lt;($I$4+$I$5),($I$4+$I$5),D17))</f>
        <v>0</v>
      </c>
      <c r="F17" s="30">
        <f>C17*$C$8/SQRT($C$8^2+($C$3*1000)^2)</f>
        <v>0</v>
      </c>
    </row>
    <row r="18" spans="2:18">
      <c r="B18" s="2">
        <f>B17+$C$14</f>
        <v>1.0053096491487337E-5</v>
      </c>
      <c r="C18" s="2">
        <f t="shared" ref="C18:C42" si="1">$C$9*SIN($B18*$C$10*2*PI())</f>
        <v>0.84432792550201508</v>
      </c>
      <c r="D18" s="2">
        <f t="shared" ref="D18:D42" si="2">C18*(1/(SQRT(1+($C$10/$C$12)^2)))</f>
        <v>8.4013768660735413E-2</v>
      </c>
      <c r="E18" s="2">
        <f t="shared" si="0"/>
        <v>8.4013768660735413E-2</v>
      </c>
      <c r="F18" s="30">
        <f t="shared" ref="F18:F42" si="3">C18*$C$8/SQRT($C$8^2+($C$3*1000)^2)</f>
        <v>8.40137686607354E-2</v>
      </c>
    </row>
    <row r="19" spans="2:18">
      <c r="B19" s="2">
        <f t="shared" ref="B19:B42" si="4">B18+$C$14</f>
        <v>2.0106192982974673E-5</v>
      </c>
      <c r="C19" s="2">
        <f t="shared" si="1"/>
        <v>0.90482705246601947</v>
      </c>
      <c r="D19" s="2">
        <f t="shared" si="2"/>
        <v>9.0033656791177447E-2</v>
      </c>
      <c r="E19" s="2">
        <f t="shared" si="0"/>
        <v>9.0033656791177447E-2</v>
      </c>
      <c r="F19" s="30">
        <f t="shared" si="3"/>
        <v>9.0033656791177433E-2</v>
      </c>
    </row>
    <row r="20" spans="2:18">
      <c r="B20" s="2">
        <f t="shared" si="4"/>
        <v>3.015928947446201E-5</v>
      </c>
      <c r="C20" s="2">
        <f t="shared" si="1"/>
        <v>0.12533323356430454</v>
      </c>
      <c r="D20" s="2">
        <f t="shared" si="2"/>
        <v>1.2471122856575789E-2</v>
      </c>
      <c r="E20" s="2">
        <f t="shared" si="0"/>
        <v>1.2471122856575789E-2</v>
      </c>
      <c r="F20" s="30">
        <f t="shared" si="3"/>
        <v>1.2471122856575787E-2</v>
      </c>
    </row>
    <row r="21" spans="2:18" ht="15.5">
      <c r="B21" s="2">
        <f t="shared" si="4"/>
        <v>4.0212385965949346E-5</v>
      </c>
      <c r="C21" s="2">
        <f t="shared" si="1"/>
        <v>-0.77051324277578936</v>
      </c>
      <c r="D21" s="2">
        <f t="shared" si="2"/>
        <v>-7.6668933211120865E-2</v>
      </c>
      <c r="E21" s="2">
        <f t="shared" si="0"/>
        <v>-7.6668933211120865E-2</v>
      </c>
      <c r="F21" s="30">
        <f t="shared" si="3"/>
        <v>-7.6668933211120865E-2</v>
      </c>
      <c r="O21" s="27" t="s">
        <v>206</v>
      </c>
    </row>
    <row r="22" spans="2:18" ht="17.5">
      <c r="B22" s="2">
        <f t="shared" si="4"/>
        <v>5.026548245743668E-5</v>
      </c>
      <c r="C22" s="2">
        <f t="shared" si="1"/>
        <v>-0.95105651629515364</v>
      </c>
      <c r="D22" s="2">
        <f t="shared" si="2"/>
        <v>-9.4633660370523051E-2</v>
      </c>
      <c r="E22" s="2">
        <f t="shared" si="0"/>
        <v>-9.4633660370523051E-2</v>
      </c>
      <c r="F22" s="30">
        <f t="shared" si="3"/>
        <v>-9.4633660370523037E-2</v>
      </c>
      <c r="O22" s="28" t="s">
        <v>207</v>
      </c>
      <c r="Q22" s="26"/>
      <c r="R22" s="26"/>
    </row>
    <row r="23" spans="2:18" ht="15.5">
      <c r="B23" s="2">
        <f t="shared" si="4"/>
        <v>6.0318578948924013E-5</v>
      </c>
      <c r="C23" s="2">
        <f t="shared" si="1"/>
        <v>-0.24868988716485621</v>
      </c>
      <c r="D23" s="2">
        <f t="shared" si="2"/>
        <v>-2.4745568655815776E-2</v>
      </c>
      <c r="E23" s="2">
        <f t="shared" si="0"/>
        <v>-2.4745568655815776E-2</v>
      </c>
      <c r="F23" s="30">
        <f t="shared" si="3"/>
        <v>-2.4745568655815772E-2</v>
      </c>
      <c r="Q23" s="26"/>
      <c r="R23" s="26"/>
    </row>
    <row r="24" spans="2:18">
      <c r="B24" s="2">
        <f t="shared" si="4"/>
        <v>7.0371675440411346E-5</v>
      </c>
      <c r="C24" s="2">
        <f t="shared" si="1"/>
        <v>0.68454710592868795</v>
      </c>
      <c r="D24" s="2">
        <f t="shared" si="2"/>
        <v>6.8114982884966147E-2</v>
      </c>
      <c r="E24" s="2">
        <f t="shared" si="0"/>
        <v>6.8114982884966147E-2</v>
      </c>
      <c r="F24" s="30">
        <f t="shared" si="3"/>
        <v>6.8114982884966133E-2</v>
      </c>
    </row>
    <row r="25" spans="2:18">
      <c r="B25" s="2">
        <f t="shared" si="4"/>
        <v>8.0424771931898679E-5</v>
      </c>
      <c r="C25" s="2">
        <f t="shared" si="1"/>
        <v>0.98228725072868894</v>
      </c>
      <c r="D25" s="2">
        <f t="shared" si="2"/>
        <v>9.774123459441697E-2</v>
      </c>
      <c r="E25" s="2">
        <f t="shared" si="0"/>
        <v>9.774123459441697E-2</v>
      </c>
      <c r="F25" s="30">
        <f t="shared" si="3"/>
        <v>9.774123459441697E-2</v>
      </c>
    </row>
    <row r="26" spans="2:18">
      <c r="B26" s="2">
        <f t="shared" si="4"/>
        <v>9.0477868423386013E-5</v>
      </c>
      <c r="C26" s="2">
        <f t="shared" si="1"/>
        <v>0.36812455268467958</v>
      </c>
      <c r="D26" s="2">
        <f t="shared" si="2"/>
        <v>3.6629762055067266E-2</v>
      </c>
      <c r="E26" s="2">
        <f t="shared" si="0"/>
        <v>3.6629762055067266E-2</v>
      </c>
      <c r="F26" s="30">
        <f t="shared" si="3"/>
        <v>3.662976205506726E-2</v>
      </c>
    </row>
    <row r="27" spans="2:18">
      <c r="B27" s="2">
        <f t="shared" si="4"/>
        <v>1.0053096491487335E-4</v>
      </c>
      <c r="C27" s="2">
        <f t="shared" si="1"/>
        <v>-0.58778525229247136</v>
      </c>
      <c r="D27" s="2">
        <f t="shared" si="2"/>
        <v>-5.8486818588797028E-2</v>
      </c>
      <c r="E27" s="2">
        <f t="shared" si="0"/>
        <v>-5.8486818588797028E-2</v>
      </c>
      <c r="F27" s="30">
        <f t="shared" si="3"/>
        <v>-5.8486818588797021E-2</v>
      </c>
    </row>
    <row r="28" spans="2:18">
      <c r="B28" s="2">
        <f t="shared" si="4"/>
        <v>1.1058406140636068E-4</v>
      </c>
      <c r="C28" s="2">
        <f t="shared" si="1"/>
        <v>-0.99802672842827167</v>
      </c>
      <c r="D28" s="2">
        <f t="shared" si="2"/>
        <v>-9.9307371160973532E-2</v>
      </c>
      <c r="E28" s="2">
        <f t="shared" si="0"/>
        <v>-9.9307371160973532E-2</v>
      </c>
      <c r="F28" s="30">
        <f t="shared" si="3"/>
        <v>-9.9307371160973518E-2</v>
      </c>
    </row>
    <row r="29" spans="2:18">
      <c r="B29" s="2">
        <f t="shared" si="4"/>
        <v>1.2063715789784801E-4</v>
      </c>
      <c r="C29" s="2">
        <f t="shared" si="1"/>
        <v>-0.48175367410171788</v>
      </c>
      <c r="D29" s="2">
        <f t="shared" si="2"/>
        <v>-4.7936282225151221E-2</v>
      </c>
      <c r="E29" s="2">
        <f t="shared" si="0"/>
        <v>-4.7936282225151221E-2</v>
      </c>
      <c r="F29" s="30">
        <f t="shared" si="3"/>
        <v>-4.7936282225151214E-2</v>
      </c>
    </row>
    <row r="30" spans="2:18">
      <c r="B30" s="2">
        <f t="shared" si="4"/>
        <v>1.3069025438933535E-4</v>
      </c>
      <c r="C30" s="2">
        <f t="shared" si="1"/>
        <v>0.48175367410171233</v>
      </c>
      <c r="D30" s="2">
        <f t="shared" si="2"/>
        <v>4.7936282225150666E-2</v>
      </c>
      <c r="E30" s="2">
        <f t="shared" si="0"/>
        <v>4.7936282225150666E-2</v>
      </c>
      <c r="F30" s="30">
        <f t="shared" si="3"/>
        <v>4.7936282225150659E-2</v>
      </c>
    </row>
    <row r="31" spans="2:18">
      <c r="B31" s="2">
        <f t="shared" si="4"/>
        <v>1.4074335088082269E-4</v>
      </c>
      <c r="C31" s="2">
        <f t="shared" si="1"/>
        <v>0.99802672842827145</v>
      </c>
      <c r="D31" s="2">
        <f t="shared" si="2"/>
        <v>9.9307371160973518E-2</v>
      </c>
      <c r="E31" s="2">
        <f t="shared" si="0"/>
        <v>9.9307371160973518E-2</v>
      </c>
      <c r="F31" s="30">
        <f t="shared" si="3"/>
        <v>9.9307371160973504E-2</v>
      </c>
    </row>
    <row r="32" spans="2:18">
      <c r="B32" s="2">
        <f t="shared" si="4"/>
        <v>1.5079644737231004E-4</v>
      </c>
      <c r="C32" s="2">
        <f t="shared" si="1"/>
        <v>0.58778525229247358</v>
      </c>
      <c r="D32" s="2">
        <f t="shared" si="2"/>
        <v>5.848681858879725E-2</v>
      </c>
      <c r="E32" s="2">
        <f t="shared" si="0"/>
        <v>5.848681858879725E-2</v>
      </c>
      <c r="F32" s="30">
        <f t="shared" si="3"/>
        <v>5.8486818588797243E-2</v>
      </c>
    </row>
    <row r="33" spans="2:11">
      <c r="B33" s="2">
        <f t="shared" si="4"/>
        <v>1.6084954386379739E-4</v>
      </c>
      <c r="C33" s="2">
        <f t="shared" si="1"/>
        <v>-0.3681245526846787</v>
      </c>
      <c r="D33" s="2">
        <f t="shared" si="2"/>
        <v>-3.6629762055067183E-2</v>
      </c>
      <c r="E33" s="2">
        <f t="shared" si="0"/>
        <v>-3.6629762055067183E-2</v>
      </c>
      <c r="F33" s="30">
        <f t="shared" si="3"/>
        <v>-3.6629762055067176E-2</v>
      </c>
    </row>
    <row r="34" spans="2:11">
      <c r="B34" s="2">
        <f t="shared" si="4"/>
        <v>1.7090264035528473E-4</v>
      </c>
      <c r="C34" s="2">
        <f t="shared" si="1"/>
        <v>-0.98228725072868905</v>
      </c>
      <c r="D34" s="2">
        <f t="shared" si="2"/>
        <v>-9.7741234594416984E-2</v>
      </c>
      <c r="E34" s="2">
        <f t="shared" si="0"/>
        <v>-9.7741234594416984E-2</v>
      </c>
      <c r="F34" s="30">
        <f t="shared" si="3"/>
        <v>-9.7741234594416984E-2</v>
      </c>
    </row>
    <row r="35" spans="2:11">
      <c r="B35" s="2">
        <f t="shared" si="4"/>
        <v>1.8095573684677208E-4</v>
      </c>
      <c r="C35" s="2">
        <f t="shared" si="1"/>
        <v>-0.68454710592868862</v>
      </c>
      <c r="D35" s="2">
        <f t="shared" si="2"/>
        <v>-6.8114982884966216E-2</v>
      </c>
      <c r="E35" s="2">
        <f t="shared" si="0"/>
        <v>-6.8114982884966216E-2</v>
      </c>
      <c r="F35" s="30">
        <f t="shared" si="3"/>
        <v>-6.8114982884966202E-2</v>
      </c>
    </row>
    <row r="36" spans="2:11">
      <c r="B36" s="2">
        <f t="shared" si="4"/>
        <v>1.9100883333825943E-4</v>
      </c>
      <c r="C36" s="2">
        <f t="shared" si="1"/>
        <v>0.24868988716485613</v>
      </c>
      <c r="D36" s="2">
        <f t="shared" si="2"/>
        <v>2.4745568655815769E-2</v>
      </c>
      <c r="E36" s="2">
        <f t="shared" si="0"/>
        <v>2.4745568655815769E-2</v>
      </c>
      <c r="F36" s="30">
        <f t="shared" si="3"/>
        <v>2.4745568655815765E-2</v>
      </c>
      <c r="H36" s="6" t="s">
        <v>65</v>
      </c>
    </row>
    <row r="37" spans="2:11">
      <c r="B37" s="2">
        <f t="shared" si="4"/>
        <v>2.0106192982974677E-4</v>
      </c>
      <c r="C37" s="2">
        <f t="shared" si="1"/>
        <v>0.95105651629515442</v>
      </c>
      <c r="D37" s="2">
        <f t="shared" si="2"/>
        <v>9.4633660370523121E-2</v>
      </c>
      <c r="E37" s="2">
        <f t="shared" si="0"/>
        <v>9.4633660370523121E-2</v>
      </c>
      <c r="F37" s="30">
        <f t="shared" si="3"/>
        <v>9.4633660370523121E-2</v>
      </c>
      <c r="H37" s="12" t="s">
        <v>64</v>
      </c>
      <c r="I37" s="12">
        <f>I3</f>
        <v>5</v>
      </c>
      <c r="J37" s="12" t="s">
        <v>17</v>
      </c>
      <c r="K37" s="13" t="str">
        <f>TRIM(H37)&amp;"   "&amp;IF(I37&gt;0,"+","")&amp;TRIM(I37)&amp;" "&amp;TRIM(J37)</f>
        <v>V+:   +5 V</v>
      </c>
    </row>
    <row r="38" spans="2:11">
      <c r="B38" s="2">
        <f t="shared" si="4"/>
        <v>2.1111502632123412E-4</v>
      </c>
      <c r="C38" s="2">
        <f t="shared" si="1"/>
        <v>0.77051324277578659</v>
      </c>
      <c r="D38" s="2">
        <f t="shared" si="2"/>
        <v>7.6668933211120588E-2</v>
      </c>
      <c r="E38" s="2">
        <f t="shared" si="0"/>
        <v>7.6668933211120588E-2</v>
      </c>
      <c r="F38" s="30">
        <f t="shared" si="3"/>
        <v>7.6668933211120574E-2</v>
      </c>
      <c r="H38" s="12" t="s">
        <v>66</v>
      </c>
      <c r="I38" s="12">
        <f>I4</f>
        <v>-5</v>
      </c>
      <c r="J38" s="12" t="s">
        <v>17</v>
      </c>
      <c r="K38" s="13" t="str">
        <f t="shared" ref="K38:K39" si="5">TRIM(H38)&amp;"   "&amp;IF(I38&gt;0,"+","")&amp;TRIM(I38)&amp;" "&amp;TRIM(J38)</f>
        <v>V-:   -5 V</v>
      </c>
    </row>
    <row r="39" spans="2:11">
      <c r="B39" s="2">
        <f t="shared" si="4"/>
        <v>2.2116812281272147E-4</v>
      </c>
      <c r="C39" s="2">
        <f t="shared" si="1"/>
        <v>-0.12533323356430973</v>
      </c>
      <c r="D39" s="2">
        <f t="shared" si="2"/>
        <v>-1.2471122856576306E-2</v>
      </c>
      <c r="E39" s="2">
        <f t="shared" si="0"/>
        <v>-1.2471122856576306E-2</v>
      </c>
      <c r="F39" s="30">
        <f t="shared" si="3"/>
        <v>-1.2471122856576304E-2</v>
      </c>
      <c r="H39" s="12" t="s">
        <v>29</v>
      </c>
      <c r="I39" s="12">
        <f>I8</f>
        <v>1</v>
      </c>
      <c r="J39" s="12" t="s">
        <v>17</v>
      </c>
      <c r="K39" s="13" t="str">
        <f t="shared" si="5"/>
        <v>Vin:   +1 V</v>
      </c>
    </row>
    <row r="40" spans="2:11">
      <c r="B40" s="2">
        <f t="shared" si="4"/>
        <v>2.3122121930420881E-4</v>
      </c>
      <c r="C40" s="2">
        <f t="shared" si="1"/>
        <v>-0.90482705246602246</v>
      </c>
      <c r="D40" s="2">
        <f t="shared" si="2"/>
        <v>-9.0033656791177738E-2</v>
      </c>
      <c r="E40" s="2">
        <f t="shared" si="0"/>
        <v>-9.0033656791177738E-2</v>
      </c>
      <c r="F40" s="30">
        <f t="shared" si="3"/>
        <v>-9.0033656791177738E-2</v>
      </c>
      <c r="H40" s="12" t="s">
        <v>67</v>
      </c>
      <c r="I40" s="12">
        <f>C3</f>
        <v>1</v>
      </c>
      <c r="J40" s="12" t="s">
        <v>16</v>
      </c>
      <c r="K40" s="13" t="str">
        <f>TRIM(H40)&amp;"   "&amp;TRIM(I40)&amp;" "&amp;TRIM(J40)</f>
        <v>R1:   1 K</v>
      </c>
    </row>
    <row r="41" spans="2:11">
      <c r="B41" s="2">
        <f t="shared" si="4"/>
        <v>2.4127431579569616E-4</v>
      </c>
      <c r="C41" s="2">
        <f t="shared" si="1"/>
        <v>-0.84432792550201063</v>
      </c>
      <c r="D41" s="2">
        <f t="shared" si="2"/>
        <v>-8.4013768660734969E-2</v>
      </c>
      <c r="E41" s="2">
        <f t="shared" si="0"/>
        <v>-8.4013768660734969E-2</v>
      </c>
      <c r="F41" s="30">
        <f t="shared" si="3"/>
        <v>-8.4013768660734969E-2</v>
      </c>
      <c r="H41" s="12" t="s">
        <v>102</v>
      </c>
      <c r="I41" s="12">
        <f>C4</f>
        <v>0.1</v>
      </c>
      <c r="J41" s="12" t="s">
        <v>83</v>
      </c>
      <c r="K41" s="13" t="str">
        <f>TRIM(H41)&amp;"   "&amp;TRIM(I41)&amp;" "&amp;TRIM(J41)</f>
        <v>C1:   0.1 uF</v>
      </c>
    </row>
    <row r="42" spans="2:11">
      <c r="B42" s="2">
        <f t="shared" si="4"/>
        <v>2.5132741228718348E-4</v>
      </c>
      <c r="C42" s="2">
        <f t="shared" si="1"/>
        <v>6.1253085936741059E-15</v>
      </c>
      <c r="D42" s="2">
        <f t="shared" si="2"/>
        <v>6.0949098522185824E-16</v>
      </c>
      <c r="E42" s="2">
        <f t="shared" si="0"/>
        <v>6.0949098522185824E-16</v>
      </c>
      <c r="F42" s="30">
        <f t="shared" si="3"/>
        <v>6.0949098522185815E-16</v>
      </c>
      <c r="H42" s="12" t="s">
        <v>103</v>
      </c>
      <c r="I42" s="12">
        <f>ROUND(C10,0)</f>
        <v>15915</v>
      </c>
      <c r="J42" s="12" t="s">
        <v>80</v>
      </c>
      <c r="K42" s="13" t="str">
        <f>TRIM(H42)&amp;"   "&amp;TRIM(I42)&amp;" "&amp;TRIM(J42)</f>
        <v>f,signal:   15915 Hz</v>
      </c>
    </row>
    <row r="44" spans="2:11">
      <c r="B44" s="6" t="s">
        <v>92</v>
      </c>
    </row>
    <row r="45" spans="2:11" ht="15.5">
      <c r="B45" s="14"/>
      <c r="C45" s="2" t="s">
        <v>95</v>
      </c>
    </row>
    <row r="46" spans="2:11">
      <c r="B46" s="7" t="s">
        <v>93</v>
      </c>
      <c r="C46" s="7" t="s">
        <v>97</v>
      </c>
      <c r="D46" s="7" t="s">
        <v>94</v>
      </c>
      <c r="E46" s="7" t="s">
        <v>225</v>
      </c>
    </row>
    <row r="47" spans="2:11">
      <c r="B47" s="2">
        <v>1</v>
      </c>
      <c r="C47" s="2">
        <f>1/(2*PI()*B47*$C$4*0.000001)</f>
        <v>1591549.4309189534</v>
      </c>
      <c r="D47" s="2">
        <f>20*LOG(1/SQRT(1+(B47/$C$12)^2))</f>
        <v>-1.7145255528834613E-6</v>
      </c>
      <c r="E47" s="2">
        <f t="shared" ref="E47:E78" si="6">20*LOG(C47/SQRT((C47^2+($C$3*1000)^2)))</f>
        <v>-1.7145255528834613E-6</v>
      </c>
    </row>
    <row r="48" spans="2:11">
      <c r="B48" s="2">
        <v>2</v>
      </c>
      <c r="C48" s="2">
        <f t="shared" ref="C48:C101" si="7">1/(2*PI()*B48*$C$4*0.000001)</f>
        <v>795774.71545947669</v>
      </c>
      <c r="D48" s="2">
        <f t="shared" ref="D48:D101" si="8">20*LOG(1/SQRT(1+(B48/$C$12)^2))</f>
        <v>-6.8580981524042927E-6</v>
      </c>
      <c r="E48" s="2">
        <f t="shared" si="6"/>
        <v>-6.8580981533686203E-6</v>
      </c>
    </row>
    <row r="49" spans="2:5">
      <c r="B49" s="2">
        <v>3</v>
      </c>
      <c r="C49" s="2">
        <f t="shared" si="7"/>
        <v>530516.4769729845</v>
      </c>
      <c r="D49" s="2">
        <f t="shared" si="8"/>
        <v>-1.5430705615359815E-5</v>
      </c>
      <c r="E49" s="2">
        <f t="shared" si="6"/>
        <v>-1.5430705615359815E-5</v>
      </c>
    </row>
    <row r="50" spans="2:5">
      <c r="B50" s="2">
        <v>4</v>
      </c>
      <c r="C50" s="2">
        <f t="shared" si="7"/>
        <v>397887.35772973835</v>
      </c>
      <c r="D50" s="2">
        <f t="shared" si="8"/>
        <v>-2.7432327633425711E-5</v>
      </c>
      <c r="E50" s="2">
        <f t="shared" si="6"/>
        <v>-2.7432327633425711E-5</v>
      </c>
    </row>
    <row r="51" spans="2:5">
      <c r="B51" s="2">
        <v>5</v>
      </c>
      <c r="C51" s="2">
        <f t="shared" si="7"/>
        <v>318309.88618379069</v>
      </c>
      <c r="D51" s="2">
        <f t="shared" si="8"/>
        <v>-4.2862935778801728E-5</v>
      </c>
      <c r="E51" s="2">
        <f t="shared" si="6"/>
        <v>-4.2862935779766058E-5</v>
      </c>
    </row>
    <row r="52" spans="2:5">
      <c r="B52" s="2">
        <v>6</v>
      </c>
      <c r="C52" s="2">
        <f t="shared" si="7"/>
        <v>265258.23848649225</v>
      </c>
      <c r="D52" s="2">
        <f t="shared" si="8"/>
        <v>-6.1722493504979615E-5</v>
      </c>
      <c r="E52" s="2">
        <f t="shared" si="6"/>
        <v>-6.1722493504979615E-5</v>
      </c>
    </row>
    <row r="53" spans="2:5">
      <c r="B53" s="2">
        <v>7</v>
      </c>
      <c r="C53" s="2">
        <f t="shared" si="7"/>
        <v>227364.20441699337</v>
      </c>
      <c r="D53" s="2">
        <f t="shared" si="8"/>
        <v>-8.4010956137811616E-5</v>
      </c>
      <c r="E53" s="2">
        <f t="shared" si="6"/>
        <v>-8.4010956137811616E-5</v>
      </c>
    </row>
    <row r="54" spans="2:5">
      <c r="B54" s="2">
        <v>8</v>
      </c>
      <c r="C54" s="2">
        <f t="shared" si="7"/>
        <v>198943.67886486917</v>
      </c>
      <c r="D54" s="2">
        <f t="shared" si="8"/>
        <v>-1.0972827088484521E-4</v>
      </c>
      <c r="E54" s="2">
        <f t="shared" si="6"/>
        <v>-1.0972827088580956E-4</v>
      </c>
    </row>
    <row r="55" spans="2:5">
      <c r="B55" s="2">
        <v>9</v>
      </c>
      <c r="C55" s="2">
        <f t="shared" si="7"/>
        <v>176838.82565766151</v>
      </c>
      <c r="D55" s="2">
        <f t="shared" si="8"/>
        <v>-1.3887437683302977E-4</v>
      </c>
      <c r="E55" s="2">
        <f t="shared" si="6"/>
        <v>-1.3887437683399412E-4</v>
      </c>
    </row>
    <row r="56" spans="2:5">
      <c r="B56" s="2">
        <v>10</v>
      </c>
      <c r="C56" s="2">
        <f t="shared" si="7"/>
        <v>159154.94309189534</v>
      </c>
      <c r="D56" s="2">
        <f t="shared" si="8"/>
        <v>-1.714492049482957E-4</v>
      </c>
      <c r="E56" s="2">
        <f t="shared" si="6"/>
        <v>-1.7144920494926007E-4</v>
      </c>
    </row>
    <row r="57" spans="2:5">
      <c r="B57" s="2">
        <v>20</v>
      </c>
      <c r="C57" s="2">
        <f t="shared" si="7"/>
        <v>79577.471545947672</v>
      </c>
      <c r="D57" s="2">
        <f t="shared" si="8"/>
        <v>-6.8575621307809048E-4</v>
      </c>
      <c r="E57" s="2">
        <f t="shared" si="6"/>
        <v>-6.8575621307905487E-4</v>
      </c>
    </row>
    <row r="58" spans="2:5">
      <c r="B58" s="2">
        <v>30</v>
      </c>
      <c r="C58" s="2">
        <f t="shared" si="7"/>
        <v>53051.647697298446</v>
      </c>
      <c r="D58" s="2">
        <f t="shared" si="8"/>
        <v>-1.5427992362874524E-3</v>
      </c>
      <c r="E58" s="2">
        <f t="shared" si="6"/>
        <v>-1.5427992362884171E-3</v>
      </c>
    </row>
    <row r="59" spans="2:5">
      <c r="B59" s="2">
        <v>40</v>
      </c>
      <c r="C59" s="2">
        <f t="shared" si="7"/>
        <v>39788.735772973836</v>
      </c>
      <c r="D59" s="2">
        <f t="shared" si="8"/>
        <v>-2.7423754011977773E-3</v>
      </c>
      <c r="E59" s="2">
        <f t="shared" si="6"/>
        <v>-2.7423754011977773E-3</v>
      </c>
    </row>
    <row r="60" spans="2:5">
      <c r="B60" s="2">
        <v>50</v>
      </c>
      <c r="C60" s="2">
        <f t="shared" si="7"/>
        <v>31830.988618379066</v>
      </c>
      <c r="D60" s="2">
        <f t="shared" si="8"/>
        <v>-4.2842009091494443E-3</v>
      </c>
      <c r="E60" s="2">
        <f t="shared" si="6"/>
        <v>-4.2842009091484806E-3</v>
      </c>
    </row>
    <row r="61" spans="2:5">
      <c r="B61" s="2">
        <v>60</v>
      </c>
      <c r="C61" s="2">
        <f t="shared" si="7"/>
        <v>26525.823848649223</v>
      </c>
      <c r="D61" s="2">
        <f t="shared" si="8"/>
        <v>-6.1679112598320984E-3</v>
      </c>
      <c r="E61" s="2">
        <f t="shared" si="6"/>
        <v>-6.1679112598311339E-3</v>
      </c>
    </row>
    <row r="62" spans="2:5">
      <c r="B62" s="2">
        <v>70</v>
      </c>
      <c r="C62" s="2">
        <f t="shared" si="7"/>
        <v>22736.420441699334</v>
      </c>
      <c r="D62" s="2">
        <f t="shared" si="8"/>
        <v>-8.393061538164364E-3</v>
      </c>
      <c r="E62" s="2">
        <f t="shared" si="6"/>
        <v>-8.3930615381633978E-3</v>
      </c>
    </row>
    <row r="63" spans="2:5">
      <c r="B63" s="2">
        <v>80</v>
      </c>
      <c r="C63" s="2">
        <f t="shared" si="7"/>
        <v>19894.367886486918</v>
      </c>
      <c r="D63" s="2">
        <f t="shared" si="8"/>
        <v>-1.0959126763966653E-2</v>
      </c>
      <c r="E63" s="2">
        <f t="shared" si="6"/>
        <v>-1.0959126763967621E-2</v>
      </c>
    </row>
    <row r="64" spans="2:5">
      <c r="B64" s="2">
        <v>90</v>
      </c>
      <c r="C64" s="2">
        <f t="shared" si="7"/>
        <v>17683.882565766147</v>
      </c>
      <c r="D64" s="2">
        <f t="shared" si="8"/>
        <v>-1.386550230384258E-2</v>
      </c>
      <c r="E64" s="2">
        <f t="shared" si="6"/>
        <v>-1.3865502303841613E-2</v>
      </c>
    </row>
    <row r="65" spans="2:5">
      <c r="B65" s="2">
        <v>100</v>
      </c>
      <c r="C65" s="2">
        <f t="shared" si="7"/>
        <v>15915.494309189533</v>
      </c>
      <c r="D65" s="2">
        <f t="shared" si="8"/>
        <v>-1.7111504344582869E-2</v>
      </c>
      <c r="E65" s="2">
        <f t="shared" si="6"/>
        <v>-1.7111504344581904E-2</v>
      </c>
    </row>
    <row r="66" spans="2:5">
      <c r="B66" s="2">
        <v>200</v>
      </c>
      <c r="C66" s="2">
        <f t="shared" si="7"/>
        <v>7957.7471545947665</v>
      </c>
      <c r="D66" s="2">
        <f t="shared" si="8"/>
        <v>-6.8045175474465092E-2</v>
      </c>
      <c r="E66" s="2">
        <f t="shared" si="6"/>
        <v>-6.8045175474466063E-2</v>
      </c>
    </row>
    <row r="67" spans="2:5">
      <c r="B67" s="2">
        <v>300</v>
      </c>
      <c r="C67" s="2">
        <f t="shared" si="7"/>
        <v>5305.1647697298449</v>
      </c>
      <c r="D67" s="2">
        <f t="shared" si="8"/>
        <v>-0.15162926719815317</v>
      </c>
      <c r="E67" s="2">
        <f t="shared" si="6"/>
        <v>-0.15162926719815417</v>
      </c>
    </row>
    <row r="68" spans="2:5">
      <c r="B68" s="2">
        <v>400</v>
      </c>
      <c r="C68" s="2">
        <f t="shared" si="7"/>
        <v>3978.8735772973832</v>
      </c>
      <c r="D68" s="2">
        <f t="shared" si="8"/>
        <v>-0.26600862189675395</v>
      </c>
      <c r="E68" s="2">
        <f t="shared" si="6"/>
        <v>-0.26600862189675495</v>
      </c>
    </row>
    <row r="69" spans="2:5">
      <c r="B69" s="2">
        <v>500</v>
      </c>
      <c r="C69" s="2">
        <f t="shared" si="7"/>
        <v>3183.098861837907</v>
      </c>
      <c r="D69" s="2">
        <f t="shared" si="8"/>
        <v>-0.40877560788352241</v>
      </c>
      <c r="E69" s="2">
        <f t="shared" si="6"/>
        <v>-0.40877560788352241</v>
      </c>
    </row>
    <row r="70" spans="2:5">
      <c r="B70" s="2">
        <v>600</v>
      </c>
      <c r="C70" s="2">
        <f t="shared" si="7"/>
        <v>2652.5823848649225</v>
      </c>
      <c r="D70" s="2">
        <f t="shared" si="8"/>
        <v>-0.57712612523795315</v>
      </c>
      <c r="E70" s="2">
        <f t="shared" si="6"/>
        <v>-0.57712612523795515</v>
      </c>
    </row>
    <row r="71" spans="2:5">
      <c r="B71" s="2">
        <v>700</v>
      </c>
      <c r="C71" s="2">
        <f t="shared" si="7"/>
        <v>2273.6420441699333</v>
      </c>
      <c r="D71" s="2">
        <f t="shared" si="8"/>
        <v>-0.76802135025538609</v>
      </c>
      <c r="E71" s="2">
        <f t="shared" si="6"/>
        <v>-0.76802135025538498</v>
      </c>
    </row>
    <row r="72" spans="2:5">
      <c r="B72" s="2">
        <v>800</v>
      </c>
      <c r="C72" s="2">
        <f t="shared" si="7"/>
        <v>1989.4367886486916</v>
      </c>
      <c r="D72" s="2">
        <f t="shared" si="8"/>
        <v>-0.97833858981619204</v>
      </c>
      <c r="E72" s="2">
        <f t="shared" si="6"/>
        <v>-0.97833858981619204</v>
      </c>
    </row>
    <row r="73" spans="2:5">
      <c r="B73" s="2">
        <v>900</v>
      </c>
      <c r="C73" s="2">
        <f t="shared" si="7"/>
        <v>1768.388256576615</v>
      </c>
      <c r="D73" s="2">
        <f t="shared" si="8"/>
        <v>-1.2049995751356051</v>
      </c>
      <c r="E73" s="2">
        <f t="shared" si="6"/>
        <v>-1.2049995751356051</v>
      </c>
    </row>
    <row r="74" spans="2:5">
      <c r="B74" s="2">
        <v>1000</v>
      </c>
      <c r="C74" s="2">
        <f t="shared" si="7"/>
        <v>1591.5494309189535</v>
      </c>
      <c r="D74" s="2">
        <f t="shared" si="8"/>
        <v>-1.4450701162052859</v>
      </c>
      <c r="E74" s="2">
        <f t="shared" si="6"/>
        <v>-1.4450701162052859</v>
      </c>
    </row>
    <row r="75" spans="2:5">
      <c r="B75" s="2">
        <v>2000</v>
      </c>
      <c r="C75" s="2">
        <f t="shared" si="7"/>
        <v>795.77471545947674</v>
      </c>
      <c r="D75" s="2">
        <f t="shared" si="8"/>
        <v>-4.1147436202747096</v>
      </c>
      <c r="E75" s="2">
        <f t="shared" si="6"/>
        <v>-4.1147436202747096</v>
      </c>
    </row>
    <row r="76" spans="2:5">
      <c r="B76" s="2">
        <v>3000</v>
      </c>
      <c r="C76" s="2">
        <f t="shared" si="7"/>
        <v>530.51647697298449</v>
      </c>
      <c r="D76" s="2">
        <f t="shared" si="8"/>
        <v>-6.5830314304388384</v>
      </c>
      <c r="E76" s="2">
        <f t="shared" si="6"/>
        <v>-6.5830314304388384</v>
      </c>
    </row>
    <row r="77" spans="2:5">
      <c r="B77" s="2">
        <v>4000</v>
      </c>
      <c r="C77" s="2">
        <f t="shared" si="7"/>
        <v>397.88735772973837</v>
      </c>
      <c r="D77" s="2">
        <f t="shared" si="8"/>
        <v>-8.6430615588033994</v>
      </c>
      <c r="E77" s="2">
        <f t="shared" si="6"/>
        <v>-8.6430615588034012</v>
      </c>
    </row>
    <row r="78" spans="2:5">
      <c r="B78" s="2">
        <v>5000</v>
      </c>
      <c r="C78" s="2">
        <f t="shared" si="7"/>
        <v>318.30988618379064</v>
      </c>
      <c r="D78" s="2">
        <f t="shared" si="8"/>
        <v>-10.362137382398966</v>
      </c>
      <c r="E78" s="2">
        <f t="shared" si="6"/>
        <v>-10.362137382398968</v>
      </c>
    </row>
    <row r="79" spans="2:5">
      <c r="B79" s="2">
        <v>6000</v>
      </c>
      <c r="C79" s="2">
        <f t="shared" si="7"/>
        <v>265.25823848649225</v>
      </c>
      <c r="D79" s="2">
        <f t="shared" si="8"/>
        <v>-11.821928927044215</v>
      </c>
      <c r="E79" s="2">
        <f t="shared" ref="E79:E101" si="9">20*LOG(C79/SQRT((C79^2+($C$3*1000)^2)))</f>
        <v>-11.821928927044215</v>
      </c>
    </row>
    <row r="80" spans="2:5">
      <c r="B80" s="2">
        <v>7000</v>
      </c>
      <c r="C80" s="2">
        <f t="shared" si="7"/>
        <v>227.36420441699337</v>
      </c>
      <c r="D80" s="2">
        <f t="shared" si="8"/>
        <v>-13.084454117991323</v>
      </c>
      <c r="E80" s="2">
        <f t="shared" si="9"/>
        <v>-13.084454117991324</v>
      </c>
    </row>
    <row r="81" spans="2:5">
      <c r="B81" s="2">
        <v>8000</v>
      </c>
      <c r="C81" s="2">
        <f t="shared" si="7"/>
        <v>198.94367886486918</v>
      </c>
      <c r="D81" s="2">
        <f t="shared" si="8"/>
        <v>-14.193970362741471</v>
      </c>
      <c r="E81" s="2">
        <f t="shared" si="9"/>
        <v>-14.193970362741473</v>
      </c>
    </row>
    <row r="82" spans="2:5">
      <c r="B82" s="2">
        <v>9000</v>
      </c>
      <c r="C82" s="2">
        <f t="shared" si="7"/>
        <v>176.83882565766146</v>
      </c>
      <c r="D82" s="2">
        <f t="shared" si="8"/>
        <v>-15.182179694787161</v>
      </c>
      <c r="E82" s="2">
        <f t="shared" si="9"/>
        <v>-15.182179694787166</v>
      </c>
    </row>
    <row r="83" spans="2:5">
      <c r="B83" s="2">
        <v>10000</v>
      </c>
      <c r="C83" s="2">
        <f t="shared" si="7"/>
        <v>159.15494309189532</v>
      </c>
      <c r="D83" s="2">
        <f t="shared" si="8"/>
        <v>-16.072235265805517</v>
      </c>
      <c r="E83" s="2">
        <f t="shared" si="9"/>
        <v>-16.072235265805517</v>
      </c>
    </row>
    <row r="84" spans="2:5">
      <c r="B84" s="2">
        <v>20000</v>
      </c>
      <c r="C84" s="2">
        <f t="shared" si="7"/>
        <v>79.57747154594766</v>
      </c>
      <c r="D84" s="2">
        <f t="shared" si="8"/>
        <v>-22.011612586390061</v>
      </c>
      <c r="E84" s="2">
        <f t="shared" si="9"/>
        <v>-22.011612586390065</v>
      </c>
    </row>
    <row r="85" spans="2:5">
      <c r="B85" s="2">
        <v>30000</v>
      </c>
      <c r="C85" s="2">
        <f t="shared" si="7"/>
        <v>53.051647697298449</v>
      </c>
      <c r="D85" s="2">
        <f t="shared" si="8"/>
        <v>-25.518228412625149</v>
      </c>
      <c r="E85" s="2">
        <f t="shared" si="9"/>
        <v>-25.518228412625152</v>
      </c>
    </row>
    <row r="86" spans="2:5">
      <c r="B86" s="2">
        <v>40000</v>
      </c>
      <c r="C86" s="2">
        <f t="shared" si="7"/>
        <v>39.78873577297383</v>
      </c>
      <c r="D86" s="2">
        <f t="shared" si="8"/>
        <v>-28.011667261840323</v>
      </c>
      <c r="E86" s="2">
        <f t="shared" si="9"/>
        <v>-28.011667261840326</v>
      </c>
    </row>
    <row r="87" spans="2:5">
      <c r="B87" s="2">
        <v>50000</v>
      </c>
      <c r="C87" s="2">
        <f t="shared" si="7"/>
        <v>31.830988618379067</v>
      </c>
      <c r="D87" s="2">
        <f t="shared" si="8"/>
        <v>-29.947395549253173</v>
      </c>
      <c r="E87" s="2">
        <f t="shared" si="9"/>
        <v>-29.947395549253176</v>
      </c>
    </row>
    <row r="88" spans="2:5">
      <c r="B88" s="2">
        <v>60000</v>
      </c>
      <c r="C88" s="2">
        <f t="shared" si="7"/>
        <v>26.525823848649225</v>
      </c>
      <c r="D88" s="2">
        <f t="shared" si="8"/>
        <v>-31.529677080213759</v>
      </c>
      <c r="E88" s="2">
        <f t="shared" si="9"/>
        <v>-31.529677080213759</v>
      </c>
    </row>
    <row r="89" spans="2:5">
      <c r="B89" s="2">
        <v>70000</v>
      </c>
      <c r="C89" s="2">
        <f t="shared" si="7"/>
        <v>22.736420441699334</v>
      </c>
      <c r="D89" s="2">
        <f t="shared" si="8"/>
        <v>-32.867802650164421</v>
      </c>
      <c r="E89" s="2">
        <f t="shared" si="9"/>
        <v>-32.867802650164421</v>
      </c>
    </row>
    <row r="90" spans="2:5">
      <c r="B90" s="2">
        <v>80000</v>
      </c>
      <c r="C90" s="2">
        <f t="shared" si="7"/>
        <v>19.894367886486915</v>
      </c>
      <c r="D90" s="2">
        <f t="shared" si="8"/>
        <v>-34.027115643146644</v>
      </c>
      <c r="E90" s="2">
        <f t="shared" si="9"/>
        <v>-34.027115643146651</v>
      </c>
    </row>
    <row r="91" spans="2:5">
      <c r="B91" s="2">
        <v>90000</v>
      </c>
      <c r="C91" s="2">
        <f t="shared" si="7"/>
        <v>17.683882565766147</v>
      </c>
      <c r="D91" s="2">
        <f t="shared" si="8"/>
        <v>-35.049805468049144</v>
      </c>
      <c r="E91" s="2">
        <f t="shared" si="9"/>
        <v>-35.049805468049144</v>
      </c>
    </row>
    <row r="92" spans="2:5">
      <c r="B92" s="2">
        <v>100000</v>
      </c>
      <c r="C92" s="2">
        <f t="shared" si="7"/>
        <v>15.915494309189533</v>
      </c>
      <c r="D92" s="2">
        <f t="shared" si="8"/>
        <v>-35.964697308632857</v>
      </c>
      <c r="E92" s="2">
        <f t="shared" si="9"/>
        <v>-35.964697308632864</v>
      </c>
    </row>
    <row r="93" spans="2:5">
      <c r="B93" s="2">
        <v>200000</v>
      </c>
      <c r="C93" s="2">
        <f t="shared" si="7"/>
        <v>7.9577471545947667</v>
      </c>
      <c r="D93" s="2">
        <f t="shared" si="8"/>
        <v>-41.984472291927837</v>
      </c>
      <c r="E93" s="2">
        <f t="shared" si="9"/>
        <v>-41.984472291927837</v>
      </c>
    </row>
    <row r="94" spans="2:5">
      <c r="B94" s="2">
        <v>300000</v>
      </c>
      <c r="C94" s="2">
        <f t="shared" si="7"/>
        <v>5.3051647697298447</v>
      </c>
      <c r="D94" s="2">
        <f t="shared" si="8"/>
        <v>-45.506144691032596</v>
      </c>
      <c r="E94" s="2">
        <f t="shared" si="9"/>
        <v>-45.506144691032596</v>
      </c>
    </row>
    <row r="95" spans="2:5">
      <c r="B95" s="2">
        <v>400000</v>
      </c>
      <c r="C95" s="2">
        <f t="shared" si="7"/>
        <v>3.9788735772973833</v>
      </c>
      <c r="D95" s="2">
        <f t="shared" si="8"/>
        <v>-48.004865948225671</v>
      </c>
      <c r="E95" s="2">
        <f t="shared" si="9"/>
        <v>-48.004865948225671</v>
      </c>
    </row>
    <row r="96" spans="2:5">
      <c r="B96" s="2">
        <v>500000</v>
      </c>
      <c r="C96" s="2">
        <f t="shared" si="7"/>
        <v>3.1830988618379075</v>
      </c>
      <c r="D96" s="2">
        <f t="shared" si="8"/>
        <v>-49.943041456890711</v>
      </c>
      <c r="E96" s="2">
        <f t="shared" si="9"/>
        <v>-49.943041456890711</v>
      </c>
    </row>
    <row r="97" spans="2:5">
      <c r="B97" s="2">
        <v>600000</v>
      </c>
      <c r="C97" s="2">
        <f t="shared" si="7"/>
        <v>2.6525823848649224</v>
      </c>
      <c r="D97" s="2">
        <f t="shared" si="8"/>
        <v>-51.526652932526943</v>
      </c>
      <c r="E97" s="2">
        <f t="shared" si="9"/>
        <v>-51.526652932526943</v>
      </c>
    </row>
    <row r="98" spans="2:5">
      <c r="B98" s="2">
        <v>700000</v>
      </c>
      <c r="C98" s="2">
        <f t="shared" si="7"/>
        <v>2.2736420441699337</v>
      </c>
      <c r="D98" s="2">
        <f t="shared" si="8"/>
        <v>-52.865580618017447</v>
      </c>
      <c r="E98" s="2">
        <f t="shared" si="9"/>
        <v>-52.865580618017447</v>
      </c>
    </row>
    <row r="99" spans="2:5">
      <c r="B99" s="2">
        <v>800000</v>
      </c>
      <c r="C99" s="2">
        <f t="shared" si="7"/>
        <v>1.9894367886486917</v>
      </c>
      <c r="D99" s="2">
        <f t="shared" si="8"/>
        <v>-54.025414295729249</v>
      </c>
      <c r="E99" s="2">
        <f t="shared" si="9"/>
        <v>-54.025414295729249</v>
      </c>
    </row>
    <row r="100" spans="2:5">
      <c r="B100" s="2">
        <v>900000</v>
      </c>
      <c r="C100" s="2">
        <f t="shared" si="7"/>
        <v>1.7683882565766149</v>
      </c>
      <c r="D100" s="2">
        <f t="shared" si="8"/>
        <v>-55.048461137171685</v>
      </c>
      <c r="E100" s="2">
        <f t="shared" si="9"/>
        <v>-55.048461137171685</v>
      </c>
    </row>
    <row r="101" spans="2:5">
      <c r="B101" s="2">
        <v>1000000</v>
      </c>
      <c r="C101" s="2">
        <f t="shared" si="7"/>
        <v>1.5915494309189537</v>
      </c>
      <c r="D101" s="2">
        <f t="shared" si="8"/>
        <v>-55.963608367956105</v>
      </c>
      <c r="E101" s="2">
        <f t="shared" si="9"/>
        <v>-55.963608367956105</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D576A-DC7C-4D4E-BFF5-60DF7DA436FC}">
  <dimension ref="B1:AB100"/>
  <sheetViews>
    <sheetView topLeftCell="A7" zoomScale="96" zoomScaleNormal="96" workbookViewId="0">
      <selection activeCell="W21" sqref="W21"/>
    </sheetView>
  </sheetViews>
  <sheetFormatPr defaultColWidth="9.1796875" defaultRowHeight="14.5"/>
  <cols>
    <col min="1" max="1" width="5.1796875" style="2" customWidth="1"/>
    <col min="2" max="2" width="9.1796875" style="2"/>
    <col min="3" max="4" width="13.1796875" style="2" bestFit="1" customWidth="1"/>
    <col min="5" max="5" width="11.81640625" style="2" customWidth="1"/>
    <col min="6" max="7" width="9.1796875" style="2" customWidth="1"/>
    <col min="8" max="8" width="11" style="2" customWidth="1"/>
    <col min="9" max="16384" width="9.1796875" style="2"/>
  </cols>
  <sheetData>
    <row r="1" spans="2:28" ht="46">
      <c r="B1" s="1" t="s">
        <v>98</v>
      </c>
    </row>
    <row r="2" spans="2:28" ht="15" thickBot="1">
      <c r="B2" s="2" t="s">
        <v>239</v>
      </c>
      <c r="H2" s="6" t="s">
        <v>36</v>
      </c>
      <c r="AB2"/>
    </row>
    <row r="3" spans="2:28" ht="15" thickBot="1">
      <c r="B3" s="2" t="s">
        <v>12</v>
      </c>
      <c r="C3" s="4">
        <v>1</v>
      </c>
      <c r="D3" s="2" t="s">
        <v>16</v>
      </c>
      <c r="H3" s="2" t="s">
        <v>9</v>
      </c>
      <c r="I3" s="4">
        <v>5</v>
      </c>
      <c r="J3" s="2" t="s">
        <v>18</v>
      </c>
    </row>
    <row r="4" spans="2:28" ht="15" thickBot="1">
      <c r="B4" s="2" t="s">
        <v>82</v>
      </c>
      <c r="C4" s="4">
        <v>0.1</v>
      </c>
      <c r="D4" s="2" t="s">
        <v>83</v>
      </c>
      <c r="H4" s="2" t="s">
        <v>10</v>
      </c>
      <c r="I4" s="5">
        <v>-5</v>
      </c>
      <c r="J4" s="2" t="s">
        <v>19</v>
      </c>
    </row>
    <row r="5" spans="2:28" ht="15" thickBot="1">
      <c r="B5" s="2" t="s">
        <v>97</v>
      </c>
      <c r="C5" s="3">
        <f>1/(2*PI()*C9*C4*0.000001)</f>
        <v>1000.0002707544371</v>
      </c>
      <c r="D5" s="2" t="s">
        <v>219</v>
      </c>
      <c r="H5" s="2" t="s">
        <v>31</v>
      </c>
      <c r="I5" s="4">
        <v>1.2</v>
      </c>
      <c r="J5" s="2" t="s">
        <v>32</v>
      </c>
    </row>
    <row r="6" spans="2:28">
      <c r="B6" s="2" t="s">
        <v>0</v>
      </c>
      <c r="C6" s="3">
        <v>0</v>
      </c>
      <c r="D6" s="2" t="s">
        <v>17</v>
      </c>
    </row>
    <row r="7" spans="2:28" ht="15" customHeight="1" thickBot="1">
      <c r="B7" s="2" t="s">
        <v>1</v>
      </c>
      <c r="C7" s="3">
        <f>1</f>
        <v>1</v>
      </c>
      <c r="D7" s="2" t="s">
        <v>39</v>
      </c>
      <c r="H7" s="6" t="s">
        <v>33</v>
      </c>
      <c r="M7" s="25"/>
      <c r="R7" s="26" t="s">
        <v>208</v>
      </c>
    </row>
    <row r="8" spans="2:28" ht="15" customHeight="1" thickBot="1">
      <c r="B8" s="2" t="s">
        <v>25</v>
      </c>
      <c r="C8" s="4">
        <v>1</v>
      </c>
      <c r="D8" s="2" t="s">
        <v>38</v>
      </c>
      <c r="H8" s="6" t="s">
        <v>29</v>
      </c>
      <c r="I8" s="4">
        <v>1</v>
      </c>
      <c r="J8" s="2" t="s">
        <v>17</v>
      </c>
      <c r="R8" s="26" t="s">
        <v>235</v>
      </c>
    </row>
    <row r="9" spans="2:28" ht="15" thickBot="1">
      <c r="B9" s="2" t="s">
        <v>84</v>
      </c>
      <c r="C9" s="4">
        <v>1591.549</v>
      </c>
      <c r="D9" s="2" t="s">
        <v>80</v>
      </c>
      <c r="H9" s="6" t="s">
        <v>34</v>
      </c>
      <c r="I9" s="3">
        <f>IF($C$7*I8/SQRT(1+($C$9/$C$11)^2)&gt;($I$3-$I$5),($I$3-$I$5),IF($C$7*I8/SQRT(1+($C$9/$C$11)^2)&lt;($I$4+$I$5),($I$4+$I$5),$C$7*I8/SQRT(1+($C$9/$C$11)^2)))</f>
        <v>0.70710687691267737</v>
      </c>
      <c r="J9" s="2" t="s">
        <v>17</v>
      </c>
    </row>
    <row r="10" spans="2:28">
      <c r="B10" s="2" t="s">
        <v>87</v>
      </c>
      <c r="C10" s="3">
        <f>1/C9</f>
        <v>6.2831870083798866E-4</v>
      </c>
      <c r="D10" s="2" t="s">
        <v>86</v>
      </c>
    </row>
    <row r="11" spans="2:28" ht="15" thickBot="1">
      <c r="B11" s="2" t="s">
        <v>81</v>
      </c>
      <c r="C11" s="3">
        <f>1/(2*PI()*(C3*1000)*(C4*0.000001))</f>
        <v>1591.5494309189537</v>
      </c>
      <c r="D11" s="2" t="s">
        <v>80</v>
      </c>
      <c r="H11" s="6" t="s">
        <v>105</v>
      </c>
    </row>
    <row r="12" spans="2:28" ht="15" thickBot="1">
      <c r="B12" s="2" t="s">
        <v>89</v>
      </c>
      <c r="C12" s="4">
        <v>4</v>
      </c>
      <c r="D12" s="2" t="s">
        <v>90</v>
      </c>
      <c r="H12" s="17" t="s">
        <v>106</v>
      </c>
      <c r="I12" s="3">
        <f>1000*(C3*1000)*(C4*0.000001)</f>
        <v>9.9999999999999992E-2</v>
      </c>
      <c r="J12" s="2" t="s">
        <v>107</v>
      </c>
    </row>
    <row r="13" spans="2:28">
      <c r="B13" s="2" t="s">
        <v>88</v>
      </c>
      <c r="C13" s="3">
        <f>C10*C12/25</f>
        <v>1.0053099213407818E-4</v>
      </c>
      <c r="D13" s="2" t="s">
        <v>86</v>
      </c>
    </row>
    <row r="14" spans="2:28">
      <c r="E14" s="6" t="s">
        <v>30</v>
      </c>
    </row>
    <row r="15" spans="2:28">
      <c r="B15" s="7" t="s">
        <v>85</v>
      </c>
      <c r="C15" s="7" t="s">
        <v>7</v>
      </c>
      <c r="D15" s="7" t="s">
        <v>3</v>
      </c>
      <c r="E15" s="7" t="s">
        <v>3</v>
      </c>
      <c r="F15" s="30" t="s">
        <v>223</v>
      </c>
      <c r="G15" s="30"/>
    </row>
    <row r="16" spans="2:28">
      <c r="B16" s="2">
        <v>0</v>
      </c>
      <c r="C16" s="2">
        <f>$C$8*SIN($B16*$C$9*2*PI())</f>
        <v>0</v>
      </c>
      <c r="D16" s="2">
        <f>C16*($C$9/$C$11)/SQRT(1+($C$9/$C$11)^2)</f>
        <v>0</v>
      </c>
      <c r="E16" s="2">
        <f t="shared" ref="E16:E41" si="0">IF(D16&gt;($I$3-$I$5),($I$3-$I$5),IF(D16&lt;($I$4+$I$5),($I$4+$I$5),D16))</f>
        <v>0</v>
      </c>
      <c r="F16" s="30">
        <f>C16*$C$3*1000/SQRT(($C$3*1000)^2+$C$5^2)</f>
        <v>0</v>
      </c>
      <c r="G16" s="30"/>
    </row>
    <row r="17" spans="2:23">
      <c r="B17" s="2">
        <f>B16+$C$13</f>
        <v>1.0053099213407818E-4</v>
      </c>
      <c r="C17" s="2">
        <f t="shared" ref="C17:C41" si="1">$C$8*SIN($B17*$C$9*2*PI())</f>
        <v>0.84432792550201508</v>
      </c>
      <c r="D17" s="2">
        <f t="shared" ref="D17:D41" si="2">C17*($C$9/$C$11)/SQRT(1+($C$9/$C$11)^2)</f>
        <v>0.59702992084338946</v>
      </c>
      <c r="E17" s="2">
        <f t="shared" si="0"/>
        <v>0.59702992084338946</v>
      </c>
      <c r="F17" s="30">
        <f t="shared" ref="F17:F41" si="3">C17*$C$3*1000/SQRT(($C$3*1000)^2+$C$5^2)</f>
        <v>0.59702992084338946</v>
      </c>
      <c r="G17" s="30"/>
      <c r="W17" s="2" t="s">
        <v>221</v>
      </c>
    </row>
    <row r="18" spans="2:23">
      <c r="B18" s="2">
        <f t="shared" ref="B18:B41" si="4">B17+$C$13</f>
        <v>2.0106198426815636E-4</v>
      </c>
      <c r="C18" s="2">
        <f t="shared" si="1"/>
        <v>0.90482705246601947</v>
      </c>
      <c r="D18" s="2">
        <f t="shared" si="2"/>
        <v>0.63980925798415478</v>
      </c>
      <c r="E18" s="2">
        <f t="shared" si="0"/>
        <v>0.63980925798415478</v>
      </c>
      <c r="F18" s="30">
        <f t="shared" si="3"/>
        <v>0.63980925798415478</v>
      </c>
      <c r="G18" s="30"/>
    </row>
    <row r="19" spans="2:23">
      <c r="B19" s="2">
        <f t="shared" si="4"/>
        <v>3.0159297640223456E-4</v>
      </c>
      <c r="C19" s="2">
        <f t="shared" si="1"/>
        <v>0.12533323356430454</v>
      </c>
      <c r="D19" s="2">
        <f t="shared" si="2"/>
        <v>8.8623967363690132E-2</v>
      </c>
      <c r="E19" s="2">
        <f t="shared" si="0"/>
        <v>8.8623967363690132E-2</v>
      </c>
      <c r="F19" s="30">
        <f t="shared" si="3"/>
        <v>8.8623967363690132E-2</v>
      </c>
      <c r="G19" s="30"/>
    </row>
    <row r="20" spans="2:23">
      <c r="B20" s="2">
        <f t="shared" si="4"/>
        <v>4.0212396853631273E-4</v>
      </c>
      <c r="C20" s="2">
        <f t="shared" si="1"/>
        <v>-0.77051324277578936</v>
      </c>
      <c r="D20" s="2">
        <f t="shared" si="2"/>
        <v>-0.54483506520253655</v>
      </c>
      <c r="E20" s="2">
        <f t="shared" si="0"/>
        <v>-0.54483506520253655</v>
      </c>
      <c r="F20" s="30">
        <f t="shared" si="3"/>
        <v>-0.54483506520253655</v>
      </c>
      <c r="G20" s="30"/>
    </row>
    <row r="21" spans="2:23">
      <c r="B21" s="2">
        <f t="shared" si="4"/>
        <v>5.0265496067039095E-4</v>
      </c>
      <c r="C21" s="2">
        <f t="shared" si="1"/>
        <v>-0.95105651629515364</v>
      </c>
      <c r="D21" s="2">
        <f t="shared" si="2"/>
        <v>-0.67249842092298551</v>
      </c>
      <c r="E21" s="2">
        <f t="shared" si="0"/>
        <v>-0.67249842092298551</v>
      </c>
      <c r="F21" s="30">
        <f t="shared" si="3"/>
        <v>-0.67249842092298551</v>
      </c>
      <c r="G21" s="30"/>
    </row>
    <row r="22" spans="2:23" ht="15.5">
      <c r="B22" s="2">
        <f t="shared" si="4"/>
        <v>6.0318595280446912E-4</v>
      </c>
      <c r="C22" s="2">
        <f t="shared" si="1"/>
        <v>-0.24868988716485535</v>
      </c>
      <c r="D22" s="2">
        <f t="shared" si="2"/>
        <v>-0.17585028182066292</v>
      </c>
      <c r="E22" s="2">
        <f t="shared" si="0"/>
        <v>-0.17585028182066292</v>
      </c>
      <c r="F22" s="30">
        <f t="shared" si="3"/>
        <v>-0.17585028182066292</v>
      </c>
      <c r="G22" s="30"/>
      <c r="P22" s="27" t="s">
        <v>206</v>
      </c>
    </row>
    <row r="23" spans="2:23" ht="17.5">
      <c r="B23" s="2">
        <f t="shared" si="4"/>
        <v>7.0371694493854729E-4</v>
      </c>
      <c r="C23" s="2">
        <f t="shared" si="1"/>
        <v>0.68454710592868795</v>
      </c>
      <c r="D23" s="2">
        <f t="shared" si="2"/>
        <v>0.48404783511474714</v>
      </c>
      <c r="E23" s="2">
        <f t="shared" si="0"/>
        <v>0.48404783511474714</v>
      </c>
      <c r="F23" s="30">
        <f t="shared" si="3"/>
        <v>0.48404783511474719</v>
      </c>
      <c r="G23" s="30"/>
      <c r="P23" s="28" t="s">
        <v>207</v>
      </c>
    </row>
    <row r="24" spans="2:23">
      <c r="B24" s="2">
        <f t="shared" si="4"/>
        <v>8.0424793707262545E-4</v>
      </c>
      <c r="C24" s="2">
        <f t="shared" si="1"/>
        <v>0.98228725072868861</v>
      </c>
      <c r="D24" s="2">
        <f t="shared" si="2"/>
        <v>0.6945818820327766</v>
      </c>
      <c r="E24" s="2">
        <f t="shared" si="0"/>
        <v>0.6945818820327766</v>
      </c>
      <c r="F24" s="30">
        <f t="shared" si="3"/>
        <v>0.6945818820327766</v>
      </c>
      <c r="G24" s="30"/>
      <c r="P24" s="32" t="s">
        <v>229</v>
      </c>
    </row>
    <row r="25" spans="2:23">
      <c r="B25" s="2">
        <f t="shared" si="4"/>
        <v>9.0477892920670362E-4</v>
      </c>
      <c r="C25" s="2">
        <f t="shared" si="1"/>
        <v>0.36812455268467797</v>
      </c>
      <c r="D25" s="2">
        <f t="shared" si="2"/>
        <v>0.26030333228545677</v>
      </c>
      <c r="E25" s="2">
        <f t="shared" si="0"/>
        <v>0.26030333228545677</v>
      </c>
      <c r="F25" s="30">
        <f t="shared" si="3"/>
        <v>0.26030333228545677</v>
      </c>
      <c r="G25" s="30"/>
    </row>
    <row r="26" spans="2:23">
      <c r="B26" s="2">
        <f t="shared" si="4"/>
        <v>1.0053099213407819E-3</v>
      </c>
      <c r="C26" s="2">
        <f t="shared" si="1"/>
        <v>-0.5877852522924728</v>
      </c>
      <c r="D26" s="2">
        <f t="shared" si="2"/>
        <v>-0.41562688151103822</v>
      </c>
      <c r="E26" s="2">
        <f t="shared" si="0"/>
        <v>-0.41562688151103822</v>
      </c>
      <c r="F26" s="30">
        <f t="shared" si="3"/>
        <v>-0.41562688151103827</v>
      </c>
      <c r="G26" s="30"/>
    </row>
    <row r="27" spans="2:23">
      <c r="B27" s="2">
        <f t="shared" si="4"/>
        <v>1.1058409134748601E-3</v>
      </c>
      <c r="C27" s="2">
        <f t="shared" si="1"/>
        <v>-0.99802672842827156</v>
      </c>
      <c r="D27" s="2">
        <f t="shared" si="2"/>
        <v>-0.7057113719398066</v>
      </c>
      <c r="E27" s="2">
        <f t="shared" si="0"/>
        <v>-0.7057113719398066</v>
      </c>
      <c r="F27" s="30">
        <f t="shared" si="3"/>
        <v>-0.7057113719398066</v>
      </c>
      <c r="G27" s="30"/>
    </row>
    <row r="28" spans="2:23">
      <c r="B28" s="2">
        <f t="shared" si="4"/>
        <v>1.2063719056089382E-3</v>
      </c>
      <c r="C28" s="2">
        <f t="shared" si="1"/>
        <v>-0.48175367410171632</v>
      </c>
      <c r="D28" s="2">
        <f t="shared" si="2"/>
        <v>-0.34065124370243666</v>
      </c>
      <c r="E28" s="2">
        <f t="shared" si="0"/>
        <v>-0.34065124370243666</v>
      </c>
      <c r="F28" s="30">
        <f t="shared" si="3"/>
        <v>-0.34065124370243671</v>
      </c>
      <c r="G28" s="30"/>
    </row>
    <row r="29" spans="2:23">
      <c r="B29" s="2">
        <f t="shared" si="4"/>
        <v>1.3069028977430164E-3</v>
      </c>
      <c r="C29" s="2">
        <f t="shared" si="1"/>
        <v>0.48175367410171543</v>
      </c>
      <c r="D29" s="2">
        <f t="shared" si="2"/>
        <v>0.34065124370243605</v>
      </c>
      <c r="E29" s="2">
        <f t="shared" si="0"/>
        <v>0.34065124370243605</v>
      </c>
      <c r="F29" s="30">
        <f t="shared" si="3"/>
        <v>0.34065124370243605</v>
      </c>
      <c r="G29" s="30"/>
    </row>
    <row r="30" spans="2:23">
      <c r="B30" s="2">
        <f t="shared" si="4"/>
        <v>1.4074338898770946E-3</v>
      </c>
      <c r="C30" s="2">
        <f t="shared" si="1"/>
        <v>0.99802672842827145</v>
      </c>
      <c r="D30" s="2">
        <f t="shared" si="2"/>
        <v>0.70571137193980649</v>
      </c>
      <c r="E30" s="2">
        <f t="shared" si="0"/>
        <v>0.70571137193980649</v>
      </c>
      <c r="F30" s="30">
        <f t="shared" si="3"/>
        <v>0.7057113719398066</v>
      </c>
      <c r="G30" s="30"/>
    </row>
    <row r="31" spans="2:23">
      <c r="B31" s="2">
        <f t="shared" si="4"/>
        <v>1.5079648820111727E-3</v>
      </c>
      <c r="C31" s="2">
        <f t="shared" si="1"/>
        <v>0.58778525229247358</v>
      </c>
      <c r="D31" s="2">
        <f t="shared" si="2"/>
        <v>0.41562688151103877</v>
      </c>
      <c r="E31" s="2">
        <f t="shared" si="0"/>
        <v>0.41562688151103877</v>
      </c>
      <c r="F31" s="30">
        <f t="shared" si="3"/>
        <v>0.41562688151103883</v>
      </c>
      <c r="G31" s="30"/>
    </row>
    <row r="32" spans="2:23">
      <c r="B32" s="2">
        <f t="shared" si="4"/>
        <v>1.6084958741452509E-3</v>
      </c>
      <c r="C32" s="2">
        <f t="shared" si="1"/>
        <v>-0.3681245526846787</v>
      </c>
      <c r="D32" s="2">
        <f t="shared" si="2"/>
        <v>-0.26030333228545727</v>
      </c>
      <c r="E32" s="2">
        <f t="shared" si="0"/>
        <v>-0.26030333228545727</v>
      </c>
      <c r="F32" s="30">
        <f t="shared" si="3"/>
        <v>-0.26030333228545732</v>
      </c>
      <c r="G32" s="30"/>
    </row>
    <row r="33" spans="2:11">
      <c r="B33" s="2">
        <f t="shared" si="4"/>
        <v>1.7090268662793291E-3</v>
      </c>
      <c r="C33" s="2">
        <f t="shared" si="1"/>
        <v>-0.98228725072868839</v>
      </c>
      <c r="D33" s="2">
        <f t="shared" si="2"/>
        <v>-0.69458188203277638</v>
      </c>
      <c r="E33" s="2">
        <f t="shared" si="0"/>
        <v>-0.69458188203277638</v>
      </c>
      <c r="F33" s="30">
        <f t="shared" si="3"/>
        <v>-0.69458188203277638</v>
      </c>
      <c r="G33" s="30"/>
    </row>
    <row r="34" spans="2:11">
      <c r="B34" s="2">
        <f t="shared" si="4"/>
        <v>1.8095578584134072E-3</v>
      </c>
      <c r="C34" s="2">
        <f t="shared" si="1"/>
        <v>-0.68454710592868862</v>
      </c>
      <c r="D34" s="2">
        <f t="shared" si="2"/>
        <v>-0.48404783511474758</v>
      </c>
      <c r="E34" s="2">
        <f t="shared" si="0"/>
        <v>-0.48404783511474758</v>
      </c>
      <c r="F34" s="30">
        <f t="shared" si="3"/>
        <v>-0.48404783511474764</v>
      </c>
      <c r="G34" s="30"/>
    </row>
    <row r="35" spans="2:11">
      <c r="B35" s="2">
        <f t="shared" si="4"/>
        <v>1.9100888505474854E-3</v>
      </c>
      <c r="C35" s="2">
        <f t="shared" si="1"/>
        <v>0.24868988716485269</v>
      </c>
      <c r="D35" s="2">
        <f t="shared" si="2"/>
        <v>0.17585028182066104</v>
      </c>
      <c r="E35" s="2">
        <f t="shared" si="0"/>
        <v>0.17585028182066104</v>
      </c>
      <c r="F35" s="30">
        <f t="shared" si="3"/>
        <v>0.17585028182066104</v>
      </c>
      <c r="G35" s="30"/>
      <c r="H35" s="6" t="s">
        <v>65</v>
      </c>
    </row>
    <row r="36" spans="2:11">
      <c r="B36" s="2">
        <f t="shared" si="4"/>
        <v>2.0106198426815638E-3</v>
      </c>
      <c r="C36" s="2">
        <f t="shared" si="1"/>
        <v>0.95105651629515331</v>
      </c>
      <c r="D36" s="2">
        <f t="shared" si="2"/>
        <v>0.67249842092298528</v>
      </c>
      <c r="E36" s="2">
        <f t="shared" si="0"/>
        <v>0.67249842092298528</v>
      </c>
      <c r="F36" s="30">
        <f t="shared" si="3"/>
        <v>0.67249842092298528</v>
      </c>
      <c r="G36" s="30"/>
      <c r="H36" s="12" t="s">
        <v>64</v>
      </c>
      <c r="I36" s="12">
        <f>I3</f>
        <v>5</v>
      </c>
      <c r="J36" s="12" t="s">
        <v>17</v>
      </c>
      <c r="K36" s="13" t="str">
        <f>TRIM(H36)&amp;"   "&amp;IF(I36&gt;0,"+","")&amp;TRIM(I36)&amp;" "&amp;TRIM(J36)</f>
        <v>V+:   +5 V</v>
      </c>
    </row>
    <row r="37" spans="2:11">
      <c r="B37" s="2">
        <f t="shared" si="4"/>
        <v>2.111150834815642E-3</v>
      </c>
      <c r="C37" s="2">
        <f t="shared" si="1"/>
        <v>0.77051324277578881</v>
      </c>
      <c r="D37" s="2">
        <f t="shared" si="2"/>
        <v>0.54483506520253622</v>
      </c>
      <c r="E37" s="2">
        <f t="shared" si="0"/>
        <v>0.54483506520253622</v>
      </c>
      <c r="F37" s="30">
        <f t="shared" si="3"/>
        <v>0.54483506520253622</v>
      </c>
      <c r="G37" s="30"/>
      <c r="H37" s="12" t="s">
        <v>66</v>
      </c>
      <c r="I37" s="12">
        <f>I4</f>
        <v>-5</v>
      </c>
      <c r="J37" s="12" t="s">
        <v>17</v>
      </c>
      <c r="K37" s="13" t="str">
        <f t="shared" ref="K37:K38" si="5">TRIM(H37)&amp;"   "&amp;IF(I37&gt;0,"+","")&amp;TRIM(I37)&amp;" "&amp;TRIM(J37)</f>
        <v>V-:   -5 V</v>
      </c>
    </row>
    <row r="38" spans="2:11">
      <c r="B38" s="2">
        <f t="shared" si="4"/>
        <v>2.2116818269497201E-3</v>
      </c>
      <c r="C38" s="2">
        <f t="shared" si="1"/>
        <v>-0.12533323356430268</v>
      </c>
      <c r="D38" s="2">
        <f t="shared" si="2"/>
        <v>-8.8623967363688813E-2</v>
      </c>
      <c r="E38" s="2">
        <f t="shared" si="0"/>
        <v>-8.8623967363688813E-2</v>
      </c>
      <c r="F38" s="30">
        <f t="shared" si="3"/>
        <v>-8.8623967363688813E-2</v>
      </c>
      <c r="G38" s="30"/>
      <c r="H38" s="12" t="s">
        <v>29</v>
      </c>
      <c r="I38" s="12">
        <f>I8</f>
        <v>1</v>
      </c>
      <c r="J38" s="12" t="s">
        <v>17</v>
      </c>
      <c r="K38" s="13" t="str">
        <f t="shared" si="5"/>
        <v>Vin:   +1 V</v>
      </c>
    </row>
    <row r="39" spans="2:11">
      <c r="B39" s="2">
        <f t="shared" si="4"/>
        <v>2.3122128190837983E-3</v>
      </c>
      <c r="C39" s="2">
        <f t="shared" si="1"/>
        <v>-0.90482705246601947</v>
      </c>
      <c r="D39" s="2">
        <f t="shared" si="2"/>
        <v>-0.63980925798415478</v>
      </c>
      <c r="E39" s="2">
        <f t="shared" si="0"/>
        <v>-0.63980925798415478</v>
      </c>
      <c r="F39" s="30">
        <f t="shared" si="3"/>
        <v>-0.63980925798415478</v>
      </c>
      <c r="G39" s="30"/>
      <c r="H39" s="12" t="s">
        <v>67</v>
      </c>
      <c r="I39" s="12">
        <f>C3</f>
        <v>1</v>
      </c>
      <c r="J39" s="12" t="s">
        <v>16</v>
      </c>
      <c r="K39" s="13" t="str">
        <f>TRIM(H39)&amp;"   "&amp;TRIM(I39)&amp;" "&amp;TRIM(J39)</f>
        <v>R1:   1 K</v>
      </c>
    </row>
    <row r="40" spans="2:11">
      <c r="B40" s="2">
        <f t="shared" si="4"/>
        <v>2.4127438112178765E-3</v>
      </c>
      <c r="C40" s="2">
        <f t="shared" si="1"/>
        <v>-0.8443279255020163</v>
      </c>
      <c r="D40" s="2">
        <f t="shared" si="2"/>
        <v>-0.59702992084339024</v>
      </c>
      <c r="E40" s="2">
        <f t="shared" si="0"/>
        <v>-0.59702992084339024</v>
      </c>
      <c r="F40" s="30">
        <f t="shared" si="3"/>
        <v>-0.59702992084339035</v>
      </c>
      <c r="G40" s="30"/>
      <c r="H40" s="12" t="s">
        <v>102</v>
      </c>
      <c r="I40" s="12">
        <f>C4</f>
        <v>0.1</v>
      </c>
      <c r="J40" s="12" t="s">
        <v>83</v>
      </c>
      <c r="K40" s="13" t="str">
        <f>TRIM(H40)&amp;"   "&amp;TRIM(I40)&amp;" "&amp;TRIM(J40)</f>
        <v>C1:   0.1 uF</v>
      </c>
    </row>
    <row r="41" spans="2:11">
      <c r="B41" s="2">
        <f t="shared" si="4"/>
        <v>2.5132748033519546E-3</v>
      </c>
      <c r="C41" s="2">
        <f t="shared" si="1"/>
        <v>-9.8011876392689601E-16</v>
      </c>
      <c r="D41" s="2">
        <f t="shared" si="2"/>
        <v>-6.9304853051789641E-16</v>
      </c>
      <c r="E41" s="2">
        <f t="shared" si="0"/>
        <v>-6.9304853051789641E-16</v>
      </c>
      <c r="F41" s="30">
        <f t="shared" si="3"/>
        <v>-6.9304853051789641E-16</v>
      </c>
      <c r="G41" s="30"/>
      <c r="H41" s="12" t="s">
        <v>103</v>
      </c>
      <c r="I41" s="12">
        <f>ROUND(C9,0)</f>
        <v>1592</v>
      </c>
      <c r="J41" s="12" t="s">
        <v>80</v>
      </c>
      <c r="K41" s="13" t="str">
        <f>TRIM(H41)&amp;"   "&amp;TRIM(I41)&amp;" "&amp;TRIM(J41)</f>
        <v>f,signal:   1592 Hz</v>
      </c>
    </row>
    <row r="43" spans="2:11">
      <c r="B43" s="6" t="s">
        <v>92</v>
      </c>
    </row>
    <row r="44" spans="2:11" ht="15.5">
      <c r="B44" s="14"/>
      <c r="C44" s="2" t="s">
        <v>95</v>
      </c>
    </row>
    <row r="45" spans="2:11">
      <c r="B45" s="7" t="s">
        <v>93</v>
      </c>
      <c r="C45" s="7" t="s">
        <v>94</v>
      </c>
      <c r="D45" s="7" t="s">
        <v>97</v>
      </c>
      <c r="E45" s="7" t="s">
        <v>228</v>
      </c>
    </row>
    <row r="46" spans="2:11">
      <c r="B46" s="2">
        <v>1</v>
      </c>
      <c r="C46" s="2">
        <f>20*LOG((B46/$C$11)/SQRT(1+(B46/$C$11)^2))</f>
        <v>-64.036404347363259</v>
      </c>
      <c r="D46" s="2">
        <f t="shared" ref="D46:D77" si="6">1/(2*PI()*B46*$C$4*0.000001)</f>
        <v>1591549.4309189534</v>
      </c>
      <c r="E46" s="2">
        <f>20*LOG((B46/$C$11)/SQRT(1+(B46/$C$11)^2))</f>
        <v>-64.036404347363259</v>
      </c>
    </row>
    <row r="47" spans="2:11">
      <c r="B47" s="2">
        <v>2</v>
      </c>
      <c r="C47" s="2">
        <f t="shared" ref="C47:C100" si="7">20*LOG((B47/$C$11)/SQRT(1+(B47/$C$11)^2))</f>
        <v>-58.015809577656228</v>
      </c>
      <c r="D47" s="2">
        <f t="shared" si="6"/>
        <v>795774.71545947669</v>
      </c>
      <c r="E47" s="2">
        <f t="shared" ref="E47:E100" si="8">20*LOG((B47/$C$11)/SQRT(1+(B47/$C$11)^2))</f>
        <v>-58.015809577656228</v>
      </c>
    </row>
    <row r="48" spans="2:11">
      <c r="B48" s="2">
        <v>3</v>
      </c>
      <c r="C48" s="2">
        <f t="shared" si="7"/>
        <v>-54.493992969150071</v>
      </c>
      <c r="D48" s="2">
        <f t="shared" si="6"/>
        <v>530516.4769729845</v>
      </c>
      <c r="E48" s="2">
        <f t="shared" si="8"/>
        <v>-54.493992969150071</v>
      </c>
    </row>
    <row r="49" spans="2:5">
      <c r="B49" s="2">
        <v>4</v>
      </c>
      <c r="C49" s="2">
        <f t="shared" si="7"/>
        <v>-51.995230238606084</v>
      </c>
      <c r="D49" s="2">
        <f t="shared" si="6"/>
        <v>397887.35772973835</v>
      </c>
      <c r="E49" s="2">
        <f t="shared" si="8"/>
        <v>-51.995230238606084</v>
      </c>
    </row>
    <row r="50" spans="2:5">
      <c r="B50" s="2">
        <v>5</v>
      </c>
      <c r="C50" s="2">
        <f t="shared" si="7"/>
        <v>-50.057045409053103</v>
      </c>
      <c r="D50" s="2">
        <f t="shared" si="6"/>
        <v>318309.88618379069</v>
      </c>
      <c r="E50" s="2">
        <f t="shared" si="8"/>
        <v>-50.057045409053103</v>
      </c>
    </row>
    <row r="51" spans="2:5">
      <c r="B51" s="2">
        <v>6</v>
      </c>
      <c r="C51" s="2">
        <f t="shared" si="7"/>
        <v>-48.473439347658328</v>
      </c>
      <c r="D51" s="2">
        <f t="shared" si="6"/>
        <v>265258.23848649225</v>
      </c>
      <c r="E51" s="2">
        <f t="shared" si="8"/>
        <v>-48.473439347658328</v>
      </c>
    </row>
    <row r="52" spans="2:5">
      <c r="B52" s="2">
        <v>7</v>
      </c>
      <c r="C52" s="2">
        <f t="shared" si="7"/>
        <v>-47.134525843508698</v>
      </c>
      <c r="D52" s="2">
        <f t="shared" si="6"/>
        <v>227364.20441699337</v>
      </c>
      <c r="E52" s="2">
        <f t="shared" si="8"/>
        <v>-47.134525843508698</v>
      </c>
    </row>
    <row r="53" spans="2:5">
      <c r="B53" s="2">
        <v>8</v>
      </c>
      <c r="C53" s="2">
        <f t="shared" si="7"/>
        <v>-45.974712621269717</v>
      </c>
      <c r="D53" s="2">
        <f t="shared" si="6"/>
        <v>198943.67886486917</v>
      </c>
      <c r="E53" s="2">
        <f t="shared" si="8"/>
        <v>-45.974712621269717</v>
      </c>
    </row>
    <row r="54" spans="2:5">
      <c r="B54" s="2">
        <v>9</v>
      </c>
      <c r="C54" s="2">
        <f t="shared" si="7"/>
        <v>-44.95169131842804</v>
      </c>
      <c r="D54" s="2">
        <f t="shared" si="6"/>
        <v>176838.82565766151</v>
      </c>
      <c r="E54" s="2">
        <f t="shared" si="8"/>
        <v>-44.95169131842804</v>
      </c>
    </row>
    <row r="55" spans="2:5">
      <c r="B55" s="2">
        <v>10</v>
      </c>
      <c r="C55" s="2">
        <f t="shared" si="7"/>
        <v>-44.036574082042648</v>
      </c>
      <c r="D55" s="2">
        <f t="shared" si="6"/>
        <v>159154.94309189534</v>
      </c>
      <c r="E55" s="2">
        <f t="shared" si="8"/>
        <v>-44.036574082042648</v>
      </c>
    </row>
    <row r="56" spans="2:5">
      <c r="B56" s="2">
        <v>20</v>
      </c>
      <c r="C56" s="2">
        <f t="shared" si="7"/>
        <v>-38.016488475771155</v>
      </c>
      <c r="D56" s="2">
        <f t="shared" si="6"/>
        <v>79577.471545947672</v>
      </c>
      <c r="E56" s="2">
        <f t="shared" si="8"/>
        <v>-38.016488475771155</v>
      </c>
    </row>
    <row r="57" spans="2:5">
      <c r="B57" s="2">
        <v>30</v>
      </c>
      <c r="C57" s="2">
        <f t="shared" si="7"/>
        <v>-34.495520337680738</v>
      </c>
      <c r="D57" s="2">
        <f t="shared" si="6"/>
        <v>53051.647697298446</v>
      </c>
      <c r="E57" s="2">
        <f t="shared" si="8"/>
        <v>-34.495520337680738</v>
      </c>
    </row>
    <row r="58" spans="2:5">
      <c r="B58" s="2">
        <v>40</v>
      </c>
      <c r="C58" s="2">
        <f t="shared" si="7"/>
        <v>-31.997945181679654</v>
      </c>
      <c r="D58" s="2">
        <f t="shared" si="6"/>
        <v>39788.735772973836</v>
      </c>
      <c r="E58" s="2">
        <f t="shared" si="8"/>
        <v>-31.997945181679654</v>
      </c>
    </row>
    <row r="59" spans="2:5">
      <c r="B59" s="2">
        <v>50</v>
      </c>
      <c r="C59" s="2">
        <f t="shared" si="7"/>
        <v>-30.061286747026475</v>
      </c>
      <c r="D59" s="2">
        <f t="shared" si="6"/>
        <v>31830.988618379066</v>
      </c>
      <c r="E59" s="2">
        <f t="shared" si="8"/>
        <v>-30.061286747026475</v>
      </c>
    </row>
    <row r="60" spans="2:5">
      <c r="B60" s="2">
        <v>60</v>
      </c>
      <c r="C60" s="2">
        <f t="shared" si="7"/>
        <v>-28.479545536424663</v>
      </c>
      <c r="D60" s="2">
        <f t="shared" si="6"/>
        <v>26525.823848649223</v>
      </c>
      <c r="E60" s="2">
        <f t="shared" si="8"/>
        <v>-28.479545536424663</v>
      </c>
    </row>
    <row r="61" spans="2:5">
      <c r="B61" s="2">
        <v>70</v>
      </c>
      <c r="C61" s="2">
        <f t="shared" si="7"/>
        <v>-27.142834894090729</v>
      </c>
      <c r="D61" s="2">
        <f t="shared" si="6"/>
        <v>22736.420441699334</v>
      </c>
      <c r="E61" s="2">
        <f t="shared" si="8"/>
        <v>-27.142834894090729</v>
      </c>
    </row>
    <row r="62" spans="2:5">
      <c r="B62" s="2">
        <v>80</v>
      </c>
      <c r="C62" s="2">
        <f t="shared" si="7"/>
        <v>-25.985562019762796</v>
      </c>
      <c r="D62" s="2">
        <f t="shared" si="6"/>
        <v>19894.367886486918</v>
      </c>
      <c r="E62" s="2">
        <f t="shared" si="8"/>
        <v>-25.985562019762796</v>
      </c>
    </row>
    <row r="63" spans="2:5">
      <c r="B63" s="2">
        <v>90</v>
      </c>
      <c r="C63" s="2">
        <f t="shared" si="7"/>
        <v>-24.965417946355046</v>
      </c>
      <c r="D63" s="2">
        <f t="shared" si="6"/>
        <v>17683.882565766147</v>
      </c>
      <c r="E63" s="2">
        <f t="shared" si="8"/>
        <v>-24.965417946355046</v>
      </c>
    </row>
    <row r="64" spans="2:5">
      <c r="B64" s="2">
        <v>100</v>
      </c>
      <c r="C64" s="2">
        <f t="shared" si="7"/>
        <v>-24.053514137182283</v>
      </c>
      <c r="D64" s="2">
        <f t="shared" si="6"/>
        <v>15915.494309189533</v>
      </c>
      <c r="E64" s="2">
        <f t="shared" si="8"/>
        <v>-24.053514137182283</v>
      </c>
    </row>
    <row r="65" spans="2:5">
      <c r="B65" s="2">
        <v>200</v>
      </c>
      <c r="C65" s="2">
        <f t="shared" si="7"/>
        <v>-18.083847895032541</v>
      </c>
      <c r="D65" s="2">
        <f t="shared" si="6"/>
        <v>7957.7471545947665</v>
      </c>
      <c r="E65" s="2">
        <f t="shared" si="8"/>
        <v>-18.083847895032541</v>
      </c>
    </row>
    <row r="66" spans="2:5">
      <c r="B66" s="2">
        <v>300</v>
      </c>
      <c r="C66" s="2">
        <f t="shared" si="7"/>
        <v>-14.645606805642606</v>
      </c>
      <c r="D66" s="2">
        <f t="shared" si="6"/>
        <v>5305.1647697298449</v>
      </c>
      <c r="E66" s="2">
        <f t="shared" si="8"/>
        <v>-14.645606805642606</v>
      </c>
    </row>
    <row r="67" spans="2:5">
      <c r="B67" s="2">
        <v>400</v>
      </c>
      <c r="C67" s="2">
        <f t="shared" si="7"/>
        <v>-12.261211428175207</v>
      </c>
      <c r="D67" s="2">
        <f t="shared" si="6"/>
        <v>3978.8735772973832</v>
      </c>
      <c r="E67" s="2">
        <f t="shared" si="8"/>
        <v>-12.261211428175207</v>
      </c>
    </row>
    <row r="68" spans="2:5">
      <c r="B68" s="2">
        <v>500</v>
      </c>
      <c r="C68" s="2">
        <f t="shared" si="7"/>
        <v>-10.465778154000846</v>
      </c>
      <c r="D68" s="2">
        <f t="shared" si="6"/>
        <v>3183.098861837907</v>
      </c>
      <c r="E68" s="2">
        <f t="shared" si="8"/>
        <v>-10.465778154000846</v>
      </c>
    </row>
    <row r="69" spans="2:5">
      <c r="B69" s="2">
        <v>600</v>
      </c>
      <c r="C69" s="2">
        <f t="shared" si="7"/>
        <v>-9.0505037504027825</v>
      </c>
      <c r="D69" s="2">
        <f t="shared" si="6"/>
        <v>2652.5823848649225</v>
      </c>
      <c r="E69" s="2">
        <f t="shared" si="8"/>
        <v>-9.0505037504027825</v>
      </c>
    </row>
    <row r="70" spans="2:5">
      <c r="B70" s="2">
        <v>700</v>
      </c>
      <c r="C70" s="2">
        <f t="shared" si="7"/>
        <v>-7.902463182807951</v>
      </c>
      <c r="D70" s="2">
        <f t="shared" si="6"/>
        <v>2273.6420441699333</v>
      </c>
      <c r="E70" s="2">
        <f t="shared" si="8"/>
        <v>-7.902463182807951</v>
      </c>
    </row>
    <row r="71" spans="2:5">
      <c r="B71" s="2">
        <v>800</v>
      </c>
      <c r="C71" s="2">
        <f t="shared" si="7"/>
        <v>-6.9529414828150209</v>
      </c>
      <c r="D71" s="2">
        <f t="shared" si="6"/>
        <v>1989.4367886486916</v>
      </c>
      <c r="E71" s="2">
        <f t="shared" si="8"/>
        <v>-6.9529414828150209</v>
      </c>
    </row>
    <row r="72" spans="2:5">
      <c r="B72" s="2">
        <v>900</v>
      </c>
      <c r="C72" s="2">
        <f t="shared" si="7"/>
        <v>-6.1565520191868082</v>
      </c>
      <c r="D72" s="2">
        <f t="shared" si="6"/>
        <v>1768.388256576615</v>
      </c>
      <c r="E72" s="2">
        <f t="shared" si="8"/>
        <v>-6.1565520191868082</v>
      </c>
    </row>
    <row r="73" spans="2:5">
      <c r="B73" s="2">
        <v>1000</v>
      </c>
      <c r="C73" s="2">
        <f t="shared" si="7"/>
        <v>-5.4814727490429869</v>
      </c>
      <c r="D73" s="2">
        <f t="shared" si="6"/>
        <v>1591.5494309189535</v>
      </c>
      <c r="E73" s="2">
        <f t="shared" si="8"/>
        <v>-5.4814727490429869</v>
      </c>
    </row>
    <row r="74" spans="2:5">
      <c r="B74" s="2">
        <v>2000</v>
      </c>
      <c r="C74" s="2">
        <f t="shared" si="7"/>
        <v>-2.1305463398327849</v>
      </c>
      <c r="D74" s="2">
        <f t="shared" si="6"/>
        <v>795.77471545947674</v>
      </c>
      <c r="E74" s="2">
        <f t="shared" si="8"/>
        <v>-2.1305463398327849</v>
      </c>
    </row>
    <row r="75" spans="2:5">
      <c r="B75" s="2">
        <v>3000</v>
      </c>
      <c r="C75" s="2">
        <f t="shared" si="7"/>
        <v>-1.0770089688832909</v>
      </c>
      <c r="D75" s="2">
        <f t="shared" si="6"/>
        <v>530.51647697298449</v>
      </c>
      <c r="E75" s="2">
        <f t="shared" si="8"/>
        <v>-1.0770089688832909</v>
      </c>
    </row>
    <row r="76" spans="2:5">
      <c r="B76" s="2">
        <v>4000</v>
      </c>
      <c r="C76" s="2">
        <f t="shared" si="7"/>
        <v>-0.63826436508185269</v>
      </c>
      <c r="D76" s="2">
        <f t="shared" si="6"/>
        <v>397.88735772973837</v>
      </c>
      <c r="E76" s="2">
        <f t="shared" si="8"/>
        <v>-0.63826436508185269</v>
      </c>
    </row>
    <row r="77" spans="2:5">
      <c r="B77" s="2">
        <v>5000</v>
      </c>
      <c r="C77" s="2">
        <f t="shared" si="7"/>
        <v>-0.41913992851628978</v>
      </c>
      <c r="D77" s="2">
        <f t="shared" si="6"/>
        <v>318.30988618379064</v>
      </c>
      <c r="E77" s="2">
        <f t="shared" si="8"/>
        <v>-0.41913992851628978</v>
      </c>
    </row>
    <row r="78" spans="2:5">
      <c r="B78" s="2">
        <v>6000</v>
      </c>
      <c r="C78" s="2">
        <f t="shared" si="7"/>
        <v>-0.29530655220904345</v>
      </c>
      <c r="D78" s="2">
        <f t="shared" ref="D78:D100" si="9">1/(2*PI()*B78*$C$4*0.000001)</f>
        <v>265.25823848649225</v>
      </c>
      <c r="E78" s="2">
        <f t="shared" si="8"/>
        <v>-0.29530655220904345</v>
      </c>
    </row>
    <row r="79" spans="2:5">
      <c r="B79" s="2">
        <v>7000</v>
      </c>
      <c r="C79" s="2">
        <f t="shared" si="7"/>
        <v>-0.21889595054388702</v>
      </c>
      <c r="D79" s="2">
        <f t="shared" si="9"/>
        <v>227.36420441699337</v>
      </c>
      <c r="E79" s="2">
        <f t="shared" si="8"/>
        <v>-0.21889595054388702</v>
      </c>
    </row>
    <row r="80" spans="2:5">
      <c r="B80" s="2">
        <v>8000</v>
      </c>
      <c r="C80" s="2">
        <f t="shared" si="7"/>
        <v>-0.16857325574029966</v>
      </c>
      <c r="D80" s="2">
        <f t="shared" si="9"/>
        <v>198.94367886486918</v>
      </c>
      <c r="E80" s="2">
        <f t="shared" si="8"/>
        <v>-0.16857325574029966</v>
      </c>
    </row>
    <row r="81" spans="2:5">
      <c r="B81" s="2">
        <v>9000</v>
      </c>
      <c r="C81" s="2">
        <f t="shared" si="7"/>
        <v>-0.13373213883836513</v>
      </c>
      <c r="D81" s="2">
        <f t="shared" si="9"/>
        <v>176.83882565766146</v>
      </c>
      <c r="E81" s="2">
        <f t="shared" si="8"/>
        <v>-0.13373213883836513</v>
      </c>
    </row>
    <row r="82" spans="2:5">
      <c r="B82" s="2">
        <v>10000</v>
      </c>
      <c r="C82" s="2">
        <f t="shared" si="7"/>
        <v>-0.1086378986432171</v>
      </c>
      <c r="D82" s="2">
        <f t="shared" si="9"/>
        <v>159.15494309189532</v>
      </c>
      <c r="E82" s="2">
        <f t="shared" si="8"/>
        <v>-0.1086378986432171</v>
      </c>
    </row>
    <row r="83" spans="2:5">
      <c r="B83" s="2">
        <v>20000</v>
      </c>
      <c r="C83" s="2">
        <f t="shared" si="7"/>
        <v>-2.7415305948140126E-2</v>
      </c>
      <c r="D83" s="2">
        <f t="shared" si="9"/>
        <v>79.57747154594766</v>
      </c>
      <c r="E83" s="2">
        <f t="shared" si="8"/>
        <v>-2.7415305948140126E-2</v>
      </c>
    </row>
    <row r="84" spans="2:5">
      <c r="B84" s="2">
        <v>30000</v>
      </c>
      <c r="C84" s="2">
        <f t="shared" si="7"/>
        <v>-1.2205951069602282E-2</v>
      </c>
      <c r="D84" s="2">
        <f t="shared" si="9"/>
        <v>53.051647697298449</v>
      </c>
      <c r="E84" s="2">
        <f t="shared" si="8"/>
        <v>-1.2205951069602282E-2</v>
      </c>
    </row>
    <row r="85" spans="2:5">
      <c r="B85" s="2">
        <v>40000</v>
      </c>
      <c r="C85" s="2">
        <f t="shared" si="7"/>
        <v>-6.8700681187759752E-3</v>
      </c>
      <c r="D85" s="2">
        <f t="shared" si="9"/>
        <v>39.78873577297383</v>
      </c>
      <c r="E85" s="2">
        <f t="shared" si="8"/>
        <v>-6.8700681187759752E-3</v>
      </c>
    </row>
    <row r="86" spans="2:5">
      <c r="B86" s="2">
        <v>50000</v>
      </c>
      <c r="C86" s="2">
        <f t="shared" si="7"/>
        <v>-4.3980953704993043E-3</v>
      </c>
      <c r="D86" s="2">
        <f t="shared" si="9"/>
        <v>31.830988618379067</v>
      </c>
      <c r="E86" s="2">
        <f t="shared" si="8"/>
        <v>-4.3980953704993043E-3</v>
      </c>
    </row>
    <row r="87" spans="2:5">
      <c r="B87" s="2">
        <v>60000</v>
      </c>
      <c r="C87" s="2">
        <f t="shared" si="7"/>
        <v>-3.0547053785892125E-3</v>
      </c>
      <c r="D87" s="2">
        <f t="shared" si="9"/>
        <v>26.525823848649225</v>
      </c>
      <c r="E87" s="2">
        <f t="shared" si="8"/>
        <v>-3.0547053785892125E-3</v>
      </c>
    </row>
    <row r="88" spans="2:5">
      <c r="B88" s="2">
        <v>70000</v>
      </c>
      <c r="C88" s="2">
        <f t="shared" si="7"/>
        <v>-2.2444827169850251E-3</v>
      </c>
      <c r="D88" s="2">
        <f t="shared" si="9"/>
        <v>22.736420441699334</v>
      </c>
      <c r="E88" s="2">
        <f t="shared" si="8"/>
        <v>-2.2444827169850251E-3</v>
      </c>
    </row>
    <row r="89" spans="2:5">
      <c r="B89" s="2">
        <v>80000</v>
      </c>
      <c r="C89" s="2">
        <f t="shared" si="7"/>
        <v>-1.7185361454735751E-3</v>
      </c>
      <c r="D89" s="2">
        <f t="shared" si="9"/>
        <v>19.894367886486915</v>
      </c>
      <c r="E89" s="2">
        <f t="shared" si="8"/>
        <v>-1.7185361454735751E-3</v>
      </c>
    </row>
    <row r="90" spans="2:5">
      <c r="B90" s="2">
        <v>90000</v>
      </c>
      <c r="C90" s="2">
        <f t="shared" si="7"/>
        <v>-1.3579121003449407E-3</v>
      </c>
      <c r="D90" s="2">
        <f t="shared" si="9"/>
        <v>17.683882565766147</v>
      </c>
      <c r="E90" s="2">
        <f t="shared" si="8"/>
        <v>-1.3579121003449407E-3</v>
      </c>
    </row>
    <row r="91" spans="2:5">
      <c r="B91" s="2">
        <v>100000</v>
      </c>
      <c r="C91" s="2">
        <f t="shared" si="7"/>
        <v>-1.0999414705602853E-3</v>
      </c>
      <c r="D91" s="2">
        <f t="shared" si="9"/>
        <v>15.915494309189533</v>
      </c>
      <c r="E91" s="2">
        <f t="shared" si="8"/>
        <v>-1.0999414705602853E-3</v>
      </c>
    </row>
    <row r="92" spans="2:5">
      <c r="B92" s="2">
        <v>200000</v>
      </c>
      <c r="C92" s="2">
        <f t="shared" si="7"/>
        <v>-2.7501148591186036E-4</v>
      </c>
      <c r="D92" s="2">
        <f t="shared" si="9"/>
        <v>7.9577471545947667</v>
      </c>
      <c r="E92" s="2">
        <f t="shared" si="8"/>
        <v>-2.7501148591186036E-4</v>
      </c>
    </row>
    <row r="93" spans="2:5">
      <c r="B93" s="2">
        <v>300000</v>
      </c>
      <c r="C93" s="2">
        <f t="shared" si="7"/>
        <v>-1.2222947704761892E-4</v>
      </c>
      <c r="D93" s="2">
        <f t="shared" si="9"/>
        <v>5.3051647697298447</v>
      </c>
      <c r="E93" s="2">
        <f t="shared" si="8"/>
        <v>-1.2222947704761892E-4</v>
      </c>
    </row>
    <row r="94" spans="2:5">
      <c r="B94" s="2">
        <v>400000</v>
      </c>
      <c r="C94" s="2">
        <f t="shared" si="7"/>
        <v>-6.8754504128880093E-5</v>
      </c>
      <c r="D94" s="2">
        <f t="shared" si="9"/>
        <v>3.9788735772973833</v>
      </c>
      <c r="E94" s="2">
        <f t="shared" si="8"/>
        <v>-6.8754504128880093E-5</v>
      </c>
    </row>
    <row r="95" spans="2:5">
      <c r="B95" s="2">
        <v>500000</v>
      </c>
      <c r="C95" s="2">
        <f t="shared" si="7"/>
        <v>-4.4003008033814247E-5</v>
      </c>
      <c r="D95" s="2">
        <f t="shared" si="9"/>
        <v>3.1830988618379075</v>
      </c>
      <c r="E95" s="2">
        <f t="shared" si="8"/>
        <v>-4.4003008033814247E-5</v>
      </c>
    </row>
    <row r="96" spans="2:5">
      <c r="B96" s="2">
        <v>600000</v>
      </c>
      <c r="C96" s="2">
        <f t="shared" si="7"/>
        <v>-3.0557691770040345E-5</v>
      </c>
      <c r="D96" s="2">
        <f t="shared" si="9"/>
        <v>2.6525823848649224</v>
      </c>
      <c r="E96" s="2">
        <f t="shared" si="8"/>
        <v>-3.0557691770040345E-5</v>
      </c>
    </row>
    <row r="97" spans="2:5">
      <c r="B97" s="2">
        <v>700000</v>
      </c>
      <c r="C97" s="2">
        <f t="shared" si="7"/>
        <v>-2.2450570011073854E-5</v>
      </c>
      <c r="D97" s="2">
        <f t="shared" si="9"/>
        <v>2.2736420441699337</v>
      </c>
      <c r="E97" s="2">
        <f t="shared" si="8"/>
        <v>-2.2450570011073854E-5</v>
      </c>
    </row>
    <row r="98" spans="2:5">
      <c r="B98" s="2">
        <v>800000</v>
      </c>
      <c r="C98" s="2">
        <f t="shared" si="7"/>
        <v>-1.7188728077354363E-5</v>
      </c>
      <c r="D98" s="2">
        <f t="shared" si="9"/>
        <v>1.9894367886486917</v>
      </c>
      <c r="E98" s="2">
        <f t="shared" si="8"/>
        <v>-1.7188728077354363E-5</v>
      </c>
    </row>
    <row r="99" spans="2:5">
      <c r="B99" s="2">
        <v>900000</v>
      </c>
      <c r="C99" s="2">
        <f t="shared" si="7"/>
        <v>-1.3581222887220424E-5</v>
      </c>
      <c r="D99" s="2">
        <f t="shared" si="9"/>
        <v>1.7683882565766149</v>
      </c>
      <c r="E99" s="2">
        <f t="shared" si="8"/>
        <v>-1.3581222887220424E-5</v>
      </c>
    </row>
    <row r="100" spans="2:5">
      <c r="B100" s="2">
        <v>1000000</v>
      </c>
      <c r="C100" s="2">
        <f t="shared" si="7"/>
        <v>-1.1000793805966119E-5</v>
      </c>
      <c r="D100" s="2">
        <f t="shared" si="9"/>
        <v>1.5915494309189537</v>
      </c>
      <c r="E100" s="2">
        <f t="shared" si="8"/>
        <v>-1.1000793805966119E-5</v>
      </c>
    </row>
  </sheetData>
  <hyperlinks>
    <hyperlink ref="P24" r:id="rId1" xr:uid="{CD5523E3-E94D-4192-8E87-263DEEDA0CC4}"/>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BF719-CD06-4062-A6EA-EC7B0C952A6B}">
  <sheetPr codeName="Sheet4"/>
  <dimension ref="B1:J35"/>
  <sheetViews>
    <sheetView zoomScale="96" zoomScaleNormal="96" workbookViewId="0">
      <selection activeCell="C3" sqref="C3"/>
    </sheetView>
  </sheetViews>
  <sheetFormatPr defaultColWidth="9.1796875" defaultRowHeight="14.5"/>
  <cols>
    <col min="1" max="1" width="5.1796875" style="2" customWidth="1"/>
    <col min="2" max="4" width="9.1796875" style="2"/>
    <col min="5" max="5" width="11.81640625" style="2" customWidth="1"/>
    <col min="6" max="6" width="9.1796875" style="2"/>
    <col min="7" max="7" width="11" style="2" customWidth="1"/>
    <col min="8" max="16384" width="9.1796875" style="2"/>
  </cols>
  <sheetData>
    <row r="1" spans="2:9" ht="46">
      <c r="B1" s="1" t="s">
        <v>41</v>
      </c>
    </row>
    <row r="2" spans="2:9" ht="15" thickBot="1">
      <c r="B2" s="2" t="s">
        <v>42</v>
      </c>
      <c r="G2" s="6" t="s">
        <v>36</v>
      </c>
    </row>
    <row r="3" spans="2:9" ht="15" thickBot="1">
      <c r="B3" s="2" t="s">
        <v>12</v>
      </c>
      <c r="C3" s="4">
        <v>1</v>
      </c>
      <c r="D3" s="2" t="s">
        <v>16</v>
      </c>
      <c r="G3" s="2" t="s">
        <v>9</v>
      </c>
      <c r="H3" s="4">
        <v>12</v>
      </c>
      <c r="I3" s="2" t="s">
        <v>18</v>
      </c>
    </row>
    <row r="4" spans="2:9" ht="15" thickBot="1">
      <c r="B4" s="2" t="s">
        <v>15</v>
      </c>
      <c r="C4" s="4">
        <v>5</v>
      </c>
      <c r="D4" s="2" t="s">
        <v>16</v>
      </c>
      <c r="G4" s="2" t="s">
        <v>10</v>
      </c>
      <c r="H4" s="5">
        <v>-12</v>
      </c>
      <c r="I4" s="2" t="s">
        <v>19</v>
      </c>
    </row>
    <row r="5" spans="2:9" ht="15" thickBot="1">
      <c r="B5" s="2" t="s">
        <v>0</v>
      </c>
      <c r="C5" s="3">
        <v>0</v>
      </c>
      <c r="D5" s="2" t="s">
        <v>17</v>
      </c>
      <c r="G5" s="2" t="s">
        <v>31</v>
      </c>
      <c r="H5" s="4">
        <v>1</v>
      </c>
      <c r="I5" s="2" t="s">
        <v>32</v>
      </c>
    </row>
    <row r="6" spans="2:9" ht="15" thickBot="1">
      <c r="B6" s="2" t="s">
        <v>1</v>
      </c>
      <c r="C6" s="3">
        <f>-C4/C3</f>
        <v>-5</v>
      </c>
      <c r="D6" s="2" t="s">
        <v>39</v>
      </c>
    </row>
    <row r="7" spans="2:9" ht="15" thickBot="1">
      <c r="B7" s="2" t="s">
        <v>25</v>
      </c>
      <c r="C7" s="4">
        <v>1</v>
      </c>
      <c r="D7" s="2" t="s">
        <v>38</v>
      </c>
    </row>
    <row r="8" spans="2:9" ht="15" thickBot="1">
      <c r="E8" s="6" t="s">
        <v>30</v>
      </c>
      <c r="G8" s="6" t="s">
        <v>33</v>
      </c>
    </row>
    <row r="9" spans="2:9" ht="15" thickBot="1">
      <c r="B9" s="7" t="s">
        <v>6</v>
      </c>
      <c r="C9" s="7" t="s">
        <v>7</v>
      </c>
      <c r="D9" s="7" t="s">
        <v>3</v>
      </c>
      <c r="E9" s="7" t="s">
        <v>3</v>
      </c>
      <c r="G9" s="6" t="s">
        <v>29</v>
      </c>
      <c r="H9" s="4">
        <v>3</v>
      </c>
      <c r="I9" s="2" t="s">
        <v>17</v>
      </c>
    </row>
    <row r="10" spans="2:9">
      <c r="B10" s="2">
        <v>0</v>
      </c>
      <c r="C10" s="2">
        <f t="shared" ref="C10:C35" si="0">$C$7*SIN($B10)</f>
        <v>0</v>
      </c>
      <c r="D10" s="2">
        <f>$C$6*C10</f>
        <v>0</v>
      </c>
      <c r="E10" s="2">
        <f t="shared" ref="E10:E35" si="1">IF(D10&gt;($H$3-$H$5),($H$3-$H$5),IF(D10&lt;($H$4+$H$5),($H$4+$H$5),D10))</f>
        <v>0</v>
      </c>
      <c r="G10" s="6" t="s">
        <v>34</v>
      </c>
      <c r="H10" s="3">
        <f>IF(H9*C6&gt;($H$3-$H$5),($H$3-$H$5),IF(H9*C6&lt;($H$4+$H$5),($H$4+$H$5),H9*C6))</f>
        <v>-11</v>
      </c>
      <c r="I10" s="2" t="s">
        <v>17</v>
      </c>
    </row>
    <row r="11" spans="2:9">
      <c r="B11" s="2">
        <v>0.1</v>
      </c>
      <c r="C11" s="2">
        <f t="shared" si="0"/>
        <v>9.9833416646828155E-2</v>
      </c>
      <c r="D11" s="2">
        <f t="shared" ref="D11:D35" si="2">$C$6*C11</f>
        <v>-0.49916708323414077</v>
      </c>
      <c r="E11" s="2">
        <f t="shared" si="1"/>
        <v>-0.49916708323414077</v>
      </c>
    </row>
    <row r="12" spans="2:9">
      <c r="B12" s="2">
        <v>0.2</v>
      </c>
      <c r="C12" s="2">
        <f t="shared" si="0"/>
        <v>0.19866933079506122</v>
      </c>
      <c r="D12" s="2">
        <f t="shared" si="2"/>
        <v>-0.99334665397530608</v>
      </c>
      <c r="E12" s="2">
        <f t="shared" si="1"/>
        <v>-0.99334665397530608</v>
      </c>
    </row>
    <row r="13" spans="2:9">
      <c r="B13" s="2">
        <v>1.2</v>
      </c>
      <c r="C13" s="2">
        <f t="shared" si="0"/>
        <v>0.93203908596722629</v>
      </c>
      <c r="D13" s="2">
        <f t="shared" si="2"/>
        <v>-4.660195429836131</v>
      </c>
      <c r="E13" s="2">
        <f t="shared" si="1"/>
        <v>-4.660195429836131</v>
      </c>
    </row>
    <row r="14" spans="2:9">
      <c r="B14" s="2">
        <v>2.2000000000000002</v>
      </c>
      <c r="C14" s="2">
        <f t="shared" si="0"/>
        <v>0.80849640381959009</v>
      </c>
      <c r="D14" s="2">
        <f t="shared" si="2"/>
        <v>-4.0424820190979505</v>
      </c>
      <c r="E14" s="2">
        <f t="shared" si="1"/>
        <v>-4.0424820190979505</v>
      </c>
    </row>
    <row r="15" spans="2:9">
      <c r="B15" s="2">
        <v>3.2</v>
      </c>
      <c r="C15" s="2">
        <f t="shared" si="0"/>
        <v>-5.8374143427580086E-2</v>
      </c>
      <c r="D15" s="2">
        <f t="shared" si="2"/>
        <v>0.29187071713790042</v>
      </c>
      <c r="E15" s="2">
        <f t="shared" si="1"/>
        <v>0.29187071713790042</v>
      </c>
    </row>
    <row r="16" spans="2:9">
      <c r="B16" s="2">
        <v>4.2</v>
      </c>
      <c r="C16" s="2">
        <f t="shared" si="0"/>
        <v>-0.87157577241358819</v>
      </c>
      <c r="D16" s="2">
        <f t="shared" si="2"/>
        <v>4.357878862067941</v>
      </c>
      <c r="E16" s="2">
        <f t="shared" si="1"/>
        <v>4.357878862067941</v>
      </c>
    </row>
    <row r="17" spans="2:10">
      <c r="B17" s="2">
        <v>5.2</v>
      </c>
      <c r="C17" s="2">
        <f t="shared" si="0"/>
        <v>-0.88345465572015314</v>
      </c>
      <c r="D17" s="2">
        <f t="shared" si="2"/>
        <v>4.4172732786007654</v>
      </c>
      <c r="E17" s="2">
        <f t="shared" si="1"/>
        <v>4.4172732786007654</v>
      </c>
    </row>
    <row r="18" spans="2:10">
      <c r="B18" s="2">
        <v>6.2</v>
      </c>
      <c r="C18" s="2">
        <f t="shared" si="0"/>
        <v>-8.3089402817496397E-2</v>
      </c>
      <c r="D18" s="2">
        <f t="shared" si="2"/>
        <v>0.41544701408748197</v>
      </c>
      <c r="E18" s="2">
        <f t="shared" si="1"/>
        <v>0.41544701408748197</v>
      </c>
    </row>
    <row r="19" spans="2:10">
      <c r="B19" s="2">
        <v>7.2</v>
      </c>
      <c r="C19" s="2">
        <f t="shared" si="0"/>
        <v>0.79366786384915311</v>
      </c>
      <c r="D19" s="2">
        <f t="shared" si="2"/>
        <v>-3.9683393192457657</v>
      </c>
      <c r="E19" s="2">
        <f t="shared" si="1"/>
        <v>-3.9683393192457657</v>
      </c>
    </row>
    <row r="20" spans="2:10">
      <c r="B20" s="2">
        <v>8.1999999999999993</v>
      </c>
      <c r="C20" s="2">
        <f t="shared" si="0"/>
        <v>0.94073055667977312</v>
      </c>
      <c r="D20" s="2">
        <f t="shared" si="2"/>
        <v>-4.7036527833988657</v>
      </c>
      <c r="E20" s="2">
        <f t="shared" si="1"/>
        <v>-4.7036527833988657</v>
      </c>
    </row>
    <row r="21" spans="2:10">
      <c r="B21" s="2">
        <v>9.1999999999999993</v>
      </c>
      <c r="C21" s="2">
        <f t="shared" si="0"/>
        <v>0.22288991410024764</v>
      </c>
      <c r="D21" s="2">
        <f t="shared" si="2"/>
        <v>-1.1144495705012383</v>
      </c>
      <c r="E21" s="2">
        <f t="shared" si="1"/>
        <v>-1.1144495705012383</v>
      </c>
    </row>
    <row r="22" spans="2:10">
      <c r="B22" s="2">
        <v>10.199999999999999</v>
      </c>
      <c r="C22" s="2">
        <f t="shared" si="0"/>
        <v>-0.69987468759354232</v>
      </c>
      <c r="D22" s="2">
        <f t="shared" si="2"/>
        <v>3.4993734379677117</v>
      </c>
      <c r="E22" s="2">
        <f t="shared" si="1"/>
        <v>3.4993734379677117</v>
      </c>
    </row>
    <row r="23" spans="2:10">
      <c r="B23" s="2">
        <v>11.2</v>
      </c>
      <c r="C23" s="2">
        <f t="shared" si="0"/>
        <v>-0.9791777291513174</v>
      </c>
      <c r="D23" s="2">
        <f t="shared" si="2"/>
        <v>4.8958886457565871</v>
      </c>
      <c r="E23" s="2">
        <f t="shared" si="1"/>
        <v>4.8958886457565871</v>
      </c>
    </row>
    <row r="24" spans="2:10">
      <c r="B24" s="2">
        <v>12.2</v>
      </c>
      <c r="C24" s="2">
        <f t="shared" si="0"/>
        <v>-0.35822928223682871</v>
      </c>
      <c r="D24" s="2">
        <f t="shared" si="2"/>
        <v>1.7911464111841435</v>
      </c>
      <c r="E24" s="2">
        <f t="shared" si="1"/>
        <v>1.7911464111841435</v>
      </c>
    </row>
    <row r="25" spans="2:10">
      <c r="B25" s="2">
        <v>13.2</v>
      </c>
      <c r="C25" s="2">
        <f t="shared" si="0"/>
        <v>0.59207351470722303</v>
      </c>
      <c r="D25" s="2">
        <f t="shared" si="2"/>
        <v>-2.9603675735361152</v>
      </c>
      <c r="E25" s="2">
        <f t="shared" si="1"/>
        <v>-2.9603675735361152</v>
      </c>
    </row>
    <row r="26" spans="2:10">
      <c r="B26" s="2">
        <v>14.2</v>
      </c>
      <c r="C26" s="2">
        <f t="shared" si="0"/>
        <v>0.99802665271636171</v>
      </c>
      <c r="D26" s="2">
        <f t="shared" si="2"/>
        <v>-4.990133263581809</v>
      </c>
      <c r="E26" s="2">
        <f t="shared" si="1"/>
        <v>-4.990133263581809</v>
      </c>
    </row>
    <row r="27" spans="2:10">
      <c r="B27" s="2">
        <v>15.2</v>
      </c>
      <c r="C27" s="2">
        <f t="shared" si="0"/>
        <v>0.48639868885379967</v>
      </c>
      <c r="D27" s="2">
        <f t="shared" si="2"/>
        <v>-2.4319934442689983</v>
      </c>
      <c r="E27" s="2">
        <f t="shared" si="1"/>
        <v>-2.4319934442689983</v>
      </c>
    </row>
    <row r="28" spans="2:10">
      <c r="B28" s="2">
        <v>16.2</v>
      </c>
      <c r="C28" s="2">
        <f t="shared" si="0"/>
        <v>-0.47242198639846616</v>
      </c>
      <c r="D28" s="2">
        <f t="shared" si="2"/>
        <v>2.3621099319923307</v>
      </c>
      <c r="E28" s="2">
        <f t="shared" si="1"/>
        <v>2.3621099319923307</v>
      </c>
    </row>
    <row r="29" spans="2:10">
      <c r="B29" s="2">
        <v>17.2</v>
      </c>
      <c r="C29" s="2">
        <f t="shared" si="0"/>
        <v>-0.99690006604159609</v>
      </c>
      <c r="D29" s="2">
        <f t="shared" si="2"/>
        <v>4.9845003302079807</v>
      </c>
      <c r="E29" s="2">
        <f t="shared" si="1"/>
        <v>4.9845003302079807</v>
      </c>
      <c r="G29" s="6" t="s">
        <v>65</v>
      </c>
    </row>
    <row r="30" spans="2:10">
      <c r="B30" s="2">
        <v>18.2</v>
      </c>
      <c r="C30" s="2">
        <f t="shared" si="0"/>
        <v>-0.60483282240628411</v>
      </c>
      <c r="D30" s="2">
        <f t="shared" si="2"/>
        <v>3.0241641120314204</v>
      </c>
      <c r="E30" s="2">
        <f t="shared" si="1"/>
        <v>3.0241641120314204</v>
      </c>
      <c r="G30" s="12" t="s">
        <v>64</v>
      </c>
      <c r="H30" s="12">
        <f>H3</f>
        <v>12</v>
      </c>
      <c r="I30" s="12" t="s">
        <v>17</v>
      </c>
      <c r="J30" s="13" t="str">
        <f>TRIM(G30)&amp;"   "&amp;IF(H30&gt;0,"+","")&amp;TRIM(H30)&amp;" "&amp;TRIM(I30)</f>
        <v>V+:   +12 V</v>
      </c>
    </row>
    <row r="31" spans="2:10">
      <c r="B31" s="2">
        <v>19.2</v>
      </c>
      <c r="C31" s="2">
        <f t="shared" si="0"/>
        <v>0.34331492881989539</v>
      </c>
      <c r="D31" s="2">
        <f t="shared" si="2"/>
        <v>-1.7165746440994769</v>
      </c>
      <c r="E31" s="2">
        <f t="shared" si="1"/>
        <v>-1.7165746440994769</v>
      </c>
      <c r="G31" s="12" t="s">
        <v>66</v>
      </c>
      <c r="H31" s="12">
        <f>H4</f>
        <v>-12</v>
      </c>
      <c r="I31" s="12" t="s">
        <v>17</v>
      </c>
      <c r="J31" s="13" t="str">
        <f t="shared" ref="J31:J32" si="3">TRIM(G31)&amp;"   "&amp;IF(H31&gt;0,"+","")&amp;TRIM(H31)&amp;" "&amp;TRIM(I31)</f>
        <v>V-:   -12 V</v>
      </c>
    </row>
    <row r="32" spans="2:10">
      <c r="B32" s="2">
        <v>20.2</v>
      </c>
      <c r="C32" s="2">
        <f t="shared" si="0"/>
        <v>0.97582051776697554</v>
      </c>
      <c r="D32" s="2">
        <f t="shared" si="2"/>
        <v>-4.8791025888348774</v>
      </c>
      <c r="E32" s="2">
        <f t="shared" si="1"/>
        <v>-4.8791025888348774</v>
      </c>
      <c r="G32" s="12" t="s">
        <v>29</v>
      </c>
      <c r="H32" s="12">
        <f>H9</f>
        <v>3</v>
      </c>
      <c r="I32" s="12" t="s">
        <v>17</v>
      </c>
      <c r="J32" s="13" t="str">
        <f t="shared" si="3"/>
        <v>Vin:   +3 V</v>
      </c>
    </row>
    <row r="33" spans="2:10">
      <c r="B33" s="2">
        <v>21.2</v>
      </c>
      <c r="C33" s="2">
        <f t="shared" si="0"/>
        <v>0.71116122290598238</v>
      </c>
      <c r="D33" s="2">
        <f t="shared" si="2"/>
        <v>-3.5558061145299118</v>
      </c>
      <c r="E33" s="2">
        <f t="shared" si="1"/>
        <v>-3.5558061145299118</v>
      </c>
      <c r="G33" s="12" t="s">
        <v>67</v>
      </c>
      <c r="H33" s="12">
        <f>C3</f>
        <v>1</v>
      </c>
      <c r="I33" s="12" t="s">
        <v>16</v>
      </c>
      <c r="J33" s="13" t="str">
        <f>TRIM(G33)&amp;"   "&amp;TRIM(H33)&amp;" "&amp;TRIM(I33)</f>
        <v>R1:   1 K</v>
      </c>
    </row>
    <row r="34" spans="2:10">
      <c r="B34" s="2">
        <v>22.2</v>
      </c>
      <c r="C34" s="2">
        <f t="shared" si="0"/>
        <v>-0.20733642060675878</v>
      </c>
      <c r="D34" s="2">
        <f t="shared" si="2"/>
        <v>1.0366821030337938</v>
      </c>
      <c r="E34" s="2">
        <f t="shared" si="1"/>
        <v>1.0366821030337938</v>
      </c>
      <c r="G34" s="12" t="s">
        <v>68</v>
      </c>
      <c r="H34" s="12">
        <f>C4</f>
        <v>5</v>
      </c>
      <c r="I34" s="12" t="s">
        <v>16</v>
      </c>
      <c r="J34" s="13" t="str">
        <f>TRIM(G34)&amp;"   "&amp;TRIM(H34)&amp;" "&amp;TRIM(I34)</f>
        <v>RF:   5 K</v>
      </c>
    </row>
    <row r="35" spans="2:10">
      <c r="B35" s="2">
        <v>23.2</v>
      </c>
      <c r="C35" s="2">
        <f t="shared" si="0"/>
        <v>-0.93520991519453889</v>
      </c>
      <c r="D35" s="2">
        <f t="shared" si="2"/>
        <v>4.6760495759726943</v>
      </c>
      <c r="E35" s="2">
        <f t="shared" si="1"/>
        <v>4.6760495759726943</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733F0-035B-475C-8055-CF1F8692E33B}">
  <dimension ref="B1:AC101"/>
  <sheetViews>
    <sheetView zoomScaleNormal="100" workbookViewId="0">
      <selection activeCell="C3" sqref="C3"/>
    </sheetView>
  </sheetViews>
  <sheetFormatPr defaultColWidth="9.1796875" defaultRowHeight="14.5"/>
  <cols>
    <col min="1" max="1" width="5.1796875" style="2" customWidth="1"/>
    <col min="2" max="2" width="9.1796875" style="2"/>
    <col min="3" max="3" width="13.1796875" style="2" bestFit="1" customWidth="1"/>
    <col min="4" max="4" width="9.1796875" style="2"/>
    <col min="5" max="5" width="11.81640625" style="2" customWidth="1"/>
    <col min="6" max="7" width="9.1796875" style="2"/>
    <col min="8" max="8" width="11" style="2" customWidth="1"/>
    <col min="9" max="16384" width="9.1796875" style="2"/>
  </cols>
  <sheetData>
    <row r="1" spans="2:29" ht="46">
      <c r="B1" s="1" t="s">
        <v>91</v>
      </c>
    </row>
    <row r="2" spans="2:29" ht="15" thickBot="1">
      <c r="B2" s="2" t="s">
        <v>42</v>
      </c>
      <c r="H2" s="6" t="s">
        <v>36</v>
      </c>
    </row>
    <row r="3" spans="2:29" ht="15" thickBot="1">
      <c r="B3" s="2" t="s">
        <v>12</v>
      </c>
      <c r="C3" s="4">
        <v>1</v>
      </c>
      <c r="D3" s="2" t="s">
        <v>16</v>
      </c>
      <c r="H3" s="2" t="s">
        <v>9</v>
      </c>
      <c r="I3" s="4">
        <v>5</v>
      </c>
      <c r="J3" s="2" t="s">
        <v>18</v>
      </c>
      <c r="AC3"/>
    </row>
    <row r="4" spans="2:29" ht="15" thickBot="1">
      <c r="B4" s="2" t="s">
        <v>15</v>
      </c>
      <c r="C4" s="4">
        <v>1</v>
      </c>
      <c r="D4" s="2" t="s">
        <v>16</v>
      </c>
      <c r="H4" s="2" t="s">
        <v>10</v>
      </c>
      <c r="I4" s="5">
        <v>-5</v>
      </c>
      <c r="J4" s="2" t="s">
        <v>19</v>
      </c>
    </row>
    <row r="5" spans="2:29" ht="15" thickBot="1">
      <c r="B5" s="2" t="s">
        <v>82</v>
      </c>
      <c r="C5" s="4">
        <v>0.1</v>
      </c>
      <c r="D5" s="2" t="s">
        <v>83</v>
      </c>
      <c r="H5" s="2" t="s">
        <v>31</v>
      </c>
      <c r="I5" s="4">
        <v>0</v>
      </c>
      <c r="J5" s="2" t="s">
        <v>32</v>
      </c>
    </row>
    <row r="6" spans="2:29">
      <c r="B6" s="2" t="s">
        <v>0</v>
      </c>
      <c r="C6" s="3">
        <v>0</v>
      </c>
      <c r="D6" s="2" t="s">
        <v>17</v>
      </c>
    </row>
    <row r="7" spans="2:29">
      <c r="B7" s="2" t="s">
        <v>1</v>
      </c>
      <c r="C7" s="3">
        <f>-C4/C3</f>
        <v>-1</v>
      </c>
      <c r="D7" s="2" t="s">
        <v>39</v>
      </c>
      <c r="H7" s="6" t="s">
        <v>33</v>
      </c>
    </row>
    <row r="8" spans="2:29" ht="15" thickBot="1">
      <c r="B8" s="2" t="s">
        <v>97</v>
      </c>
      <c r="C8" s="3">
        <f>1/(2*PI()*C10*C5*0.000001)</f>
        <v>10000.310593270207</v>
      </c>
      <c r="D8" s="2" t="s">
        <v>176</v>
      </c>
      <c r="H8" s="6"/>
    </row>
    <row r="9" spans="2:29" ht="15" thickBot="1">
      <c r="B9" s="2" t="s">
        <v>25</v>
      </c>
      <c r="C9" s="4">
        <v>1</v>
      </c>
      <c r="D9" s="2" t="s">
        <v>38</v>
      </c>
      <c r="H9" s="6" t="s">
        <v>29</v>
      </c>
      <c r="I9" s="4">
        <v>1</v>
      </c>
      <c r="J9" s="2" t="s">
        <v>17</v>
      </c>
    </row>
    <row r="10" spans="2:29" ht="15" thickBot="1">
      <c r="B10" s="2" t="s">
        <v>84</v>
      </c>
      <c r="C10" s="4">
        <v>159.15</v>
      </c>
      <c r="D10" s="2" t="s">
        <v>80</v>
      </c>
      <c r="H10" s="6" t="s">
        <v>34</v>
      </c>
      <c r="I10" s="3">
        <f>IF($C$7*I9/SQRT(1+($C$10/$C$12)^2)&gt;($I$3-$I$5),($I$3-$I$5),IF($C$7*I9/SQRT(1+($C$10/$C$12)^2)&lt;($I$4+$I$5),($I$4+$I$5),$C$7*I9/SQRT(1+($C$10/$C$12)^2)))</f>
        <v>-0.99503749618781046</v>
      </c>
      <c r="J10" s="2" t="s">
        <v>17</v>
      </c>
    </row>
    <row r="11" spans="2:29">
      <c r="B11" s="2" t="s">
        <v>87</v>
      </c>
      <c r="C11" s="3">
        <f>1/C10</f>
        <v>6.2833804586867733E-3</v>
      </c>
      <c r="D11" s="2" t="s">
        <v>86</v>
      </c>
    </row>
    <row r="12" spans="2:29" ht="15" thickBot="1">
      <c r="B12" s="2" t="s">
        <v>81</v>
      </c>
      <c r="C12" s="3">
        <f>1/(2*PI()*(C4*1000)*(C5*0.000001))</f>
        <v>1591.5494309189537</v>
      </c>
      <c r="D12" s="2" t="s">
        <v>80</v>
      </c>
      <c r="H12" s="6" t="s">
        <v>105</v>
      </c>
    </row>
    <row r="13" spans="2:29" ht="15" thickBot="1">
      <c r="B13" s="2" t="s">
        <v>89</v>
      </c>
      <c r="C13" s="4">
        <v>4</v>
      </c>
      <c r="D13" s="2" t="s">
        <v>90</v>
      </c>
      <c r="H13" s="17" t="s">
        <v>106</v>
      </c>
      <c r="I13" s="3">
        <f>1000*(C4*1000)*(C5*0.000001)</f>
        <v>9.9999999999999992E-2</v>
      </c>
      <c r="J13" s="2" t="s">
        <v>107</v>
      </c>
    </row>
    <row r="14" spans="2:29">
      <c r="B14" s="2" t="s">
        <v>88</v>
      </c>
      <c r="C14" s="3">
        <f>C11*C13/25</f>
        <v>1.0053408733898838E-3</v>
      </c>
      <c r="D14" s="2" t="s">
        <v>86</v>
      </c>
    </row>
    <row r="15" spans="2:29">
      <c r="E15" s="6" t="s">
        <v>30</v>
      </c>
    </row>
    <row r="16" spans="2:29">
      <c r="B16" s="7" t="s">
        <v>85</v>
      </c>
      <c r="C16" s="7" t="s">
        <v>7</v>
      </c>
      <c r="D16" s="7" t="s">
        <v>3</v>
      </c>
      <c r="E16" s="7" t="s">
        <v>3</v>
      </c>
      <c r="F16" s="30" t="s">
        <v>231</v>
      </c>
      <c r="G16" s="30"/>
    </row>
    <row r="17" spans="2:7">
      <c r="B17" s="2">
        <v>0</v>
      </c>
      <c r="C17" s="2">
        <f>$C$9*SIN($B17*$C$10*2*PI())</f>
        <v>0</v>
      </c>
      <c r="D17" s="2">
        <f>C17*$C$7*(1/(1+($C$10/$C$12)))</f>
        <v>0</v>
      </c>
      <c r="E17" s="2">
        <f t="shared" ref="E17:E42" si="0">IF(D17&gt;($I$3-$I$5),($I$3-$I$5),IF(D17&lt;($I$4+$I$5),($I$4+$I$5),D17))</f>
        <v>0</v>
      </c>
      <c r="F17" s="30">
        <f>-C17*(($C$4*1000)/($C$3*1000))*(1/(1+2*PI()*$C$10*$C$5*0.000001*$C$4*1000))</f>
        <v>0</v>
      </c>
      <c r="G17" s="30"/>
    </row>
    <row r="18" spans="2:7">
      <c r="B18" s="2">
        <f>B17+$C$14</f>
        <v>1.0053408733898838E-3</v>
      </c>
      <c r="C18" s="2">
        <f t="shared" ref="C18:C42" si="1">$C$9*SIN($B18*$C$10*2*PI())</f>
        <v>0.84432792550201508</v>
      </c>
      <c r="D18" s="2">
        <f t="shared" ref="D18:D42" si="2">C18*$C$7*(1/(1+($C$10/$C$12)))</f>
        <v>-0.76757300859825428</v>
      </c>
      <c r="E18" s="2">
        <f t="shared" si="0"/>
        <v>-0.76757300859825428</v>
      </c>
      <c r="F18" s="30">
        <f t="shared" ref="F18:F42" si="3">-C18*(($C$4*1000)/($C$3*1000))*(1/(1+2*PI()*$C$10*$C$5*0.000001*$C$4*1000))</f>
        <v>-0.76757300859825428</v>
      </c>
      <c r="G18" s="30"/>
    </row>
    <row r="19" spans="2:7">
      <c r="B19" s="2">
        <f t="shared" ref="B19:B42" si="4">B18+$C$14</f>
        <v>2.0106817467797676E-3</v>
      </c>
      <c r="C19" s="2">
        <f t="shared" si="1"/>
        <v>0.90482705246601947</v>
      </c>
      <c r="D19" s="2">
        <f t="shared" si="2"/>
        <v>-0.82257237021917684</v>
      </c>
      <c r="E19" s="2">
        <f t="shared" si="0"/>
        <v>-0.82257237021917684</v>
      </c>
      <c r="F19" s="30">
        <f t="shared" si="3"/>
        <v>-0.82257237021917684</v>
      </c>
      <c r="G19" s="30"/>
    </row>
    <row r="20" spans="2:7">
      <c r="B20" s="2">
        <f t="shared" si="4"/>
        <v>3.0160226201696515E-3</v>
      </c>
      <c r="C20" s="2">
        <f t="shared" si="1"/>
        <v>0.12533323356430409</v>
      </c>
      <c r="D20" s="2">
        <f t="shared" si="2"/>
        <v>-0.1139396249473819</v>
      </c>
      <c r="E20" s="2">
        <f t="shared" si="0"/>
        <v>-0.1139396249473819</v>
      </c>
      <c r="F20" s="30">
        <f t="shared" si="3"/>
        <v>-0.1139396249473819</v>
      </c>
      <c r="G20" s="30"/>
    </row>
    <row r="21" spans="2:7">
      <c r="B21" s="2">
        <f t="shared" si="4"/>
        <v>4.0213634935595353E-3</v>
      </c>
      <c r="C21" s="2">
        <f t="shared" si="1"/>
        <v>-0.77051324277578936</v>
      </c>
      <c r="D21" s="2">
        <f t="shared" si="2"/>
        <v>0.70046856210584774</v>
      </c>
      <c r="E21" s="2">
        <f t="shared" si="0"/>
        <v>0.70046856210584774</v>
      </c>
      <c r="F21" s="30">
        <f t="shared" si="3"/>
        <v>0.70046856210584774</v>
      </c>
      <c r="G21" s="30"/>
    </row>
    <row r="22" spans="2:7">
      <c r="B22" s="2">
        <f t="shared" si="4"/>
        <v>5.0267043669494187E-3</v>
      </c>
      <c r="C22" s="2">
        <f t="shared" si="1"/>
        <v>-0.95105651629515364</v>
      </c>
      <c r="D22" s="2">
        <f t="shared" si="2"/>
        <v>0.86459927418082716</v>
      </c>
      <c r="E22" s="2">
        <f t="shared" si="0"/>
        <v>0.86459927418082716</v>
      </c>
      <c r="F22" s="30">
        <f t="shared" si="3"/>
        <v>0.86459927418082716</v>
      </c>
      <c r="G22" s="30"/>
    </row>
    <row r="23" spans="2:7">
      <c r="B23" s="2">
        <f t="shared" si="4"/>
        <v>6.032045240339302E-3</v>
      </c>
      <c r="C23" s="2">
        <f t="shared" si="1"/>
        <v>-0.24868988716485535</v>
      </c>
      <c r="D23" s="2">
        <f t="shared" si="2"/>
        <v>0.22608235394511161</v>
      </c>
      <c r="E23" s="2">
        <f t="shared" si="0"/>
        <v>0.22608235394511161</v>
      </c>
      <c r="F23" s="30">
        <f t="shared" si="3"/>
        <v>0.22608235394511161</v>
      </c>
      <c r="G23" s="30"/>
    </row>
    <row r="24" spans="2:7">
      <c r="B24" s="2">
        <f t="shared" si="4"/>
        <v>7.0373861137291854E-3</v>
      </c>
      <c r="C24" s="2">
        <f t="shared" si="1"/>
        <v>0.68454710592868795</v>
      </c>
      <c r="D24" s="2">
        <f t="shared" si="2"/>
        <v>-0.62231730794939444</v>
      </c>
      <c r="E24" s="2">
        <f t="shared" si="0"/>
        <v>-0.62231730794939444</v>
      </c>
      <c r="F24" s="30">
        <f t="shared" si="3"/>
        <v>-0.62231730794939444</v>
      </c>
      <c r="G24" s="30"/>
    </row>
    <row r="25" spans="2:7">
      <c r="B25" s="2">
        <f t="shared" si="4"/>
        <v>8.0427269871190688E-3</v>
      </c>
      <c r="C25" s="2">
        <f t="shared" si="1"/>
        <v>0.98228725072868894</v>
      </c>
      <c r="D25" s="2">
        <f t="shared" si="2"/>
        <v>-0.89299093110207461</v>
      </c>
      <c r="E25" s="2">
        <f t="shared" si="0"/>
        <v>-0.89299093110207461</v>
      </c>
      <c r="F25" s="30">
        <f t="shared" si="3"/>
        <v>-0.89299093110207461</v>
      </c>
      <c r="G25" s="30"/>
    </row>
    <row r="26" spans="2:7">
      <c r="B26" s="2">
        <f t="shared" si="4"/>
        <v>9.0480678605089522E-3</v>
      </c>
      <c r="C26" s="2">
        <f t="shared" si="1"/>
        <v>0.36812455268467958</v>
      </c>
      <c r="D26" s="2">
        <f t="shared" si="2"/>
        <v>-0.33465962916607539</v>
      </c>
      <c r="E26" s="2">
        <f t="shared" si="0"/>
        <v>-0.33465962916607539</v>
      </c>
      <c r="F26" s="30">
        <f t="shared" si="3"/>
        <v>-0.33465962916607539</v>
      </c>
      <c r="G26" s="30"/>
    </row>
    <row r="27" spans="2:7">
      <c r="B27" s="2">
        <f t="shared" si="4"/>
        <v>1.0053408733898836E-2</v>
      </c>
      <c r="C27" s="2">
        <f t="shared" si="1"/>
        <v>-0.58778525229247136</v>
      </c>
      <c r="D27" s="2">
        <f t="shared" si="2"/>
        <v>0.5343517380922389</v>
      </c>
      <c r="E27" s="2">
        <f t="shared" si="0"/>
        <v>0.5343517380922389</v>
      </c>
      <c r="F27" s="30">
        <f t="shared" si="3"/>
        <v>0.5343517380922389</v>
      </c>
      <c r="G27" s="30"/>
    </row>
    <row r="28" spans="2:7">
      <c r="B28" s="2">
        <f t="shared" si="4"/>
        <v>1.1058749607288719E-2</v>
      </c>
      <c r="C28" s="2">
        <f t="shared" si="1"/>
        <v>-0.99802672842827167</v>
      </c>
      <c r="D28" s="2">
        <f t="shared" si="2"/>
        <v>0.90729958759291696</v>
      </c>
      <c r="E28" s="2">
        <f t="shared" si="0"/>
        <v>0.90729958759291696</v>
      </c>
      <c r="F28" s="30">
        <f t="shared" si="3"/>
        <v>0.90729958759291696</v>
      </c>
      <c r="G28" s="30"/>
    </row>
    <row r="29" spans="2:7">
      <c r="B29" s="2">
        <f t="shared" si="4"/>
        <v>1.2064090480678602E-2</v>
      </c>
      <c r="C29" s="2">
        <f t="shared" si="1"/>
        <v>-0.48175367410171788</v>
      </c>
      <c r="D29" s="2">
        <f t="shared" si="2"/>
        <v>0.43795912211911792</v>
      </c>
      <c r="E29" s="2">
        <f t="shared" si="0"/>
        <v>0.43795912211911792</v>
      </c>
      <c r="F29" s="30">
        <f t="shared" si="3"/>
        <v>0.43795912211911792</v>
      </c>
      <c r="G29" s="30"/>
    </row>
    <row r="30" spans="2:7">
      <c r="B30" s="2">
        <f t="shared" si="4"/>
        <v>1.3069431354068486E-2</v>
      </c>
      <c r="C30" s="2">
        <f t="shared" si="1"/>
        <v>0.48175367410171233</v>
      </c>
      <c r="D30" s="2">
        <f t="shared" si="2"/>
        <v>-0.43795912211911286</v>
      </c>
      <c r="E30" s="2">
        <f t="shared" si="0"/>
        <v>-0.43795912211911286</v>
      </c>
      <c r="F30" s="30">
        <f t="shared" si="3"/>
        <v>-0.43795912211911286</v>
      </c>
      <c r="G30" s="30"/>
    </row>
    <row r="31" spans="2:7">
      <c r="B31" s="2">
        <f t="shared" si="4"/>
        <v>1.4074772227458369E-2</v>
      </c>
      <c r="C31" s="2">
        <f t="shared" si="1"/>
        <v>0.99802672842827123</v>
      </c>
      <c r="D31" s="2">
        <f t="shared" si="2"/>
        <v>-0.90729958759291651</v>
      </c>
      <c r="E31" s="2">
        <f t="shared" si="0"/>
        <v>-0.90729958759291651</v>
      </c>
      <c r="F31" s="30">
        <f t="shared" si="3"/>
        <v>-0.90729958759291651</v>
      </c>
      <c r="G31" s="30"/>
    </row>
    <row r="32" spans="2:7">
      <c r="B32" s="2">
        <f t="shared" si="4"/>
        <v>1.5080113100848253E-2</v>
      </c>
      <c r="C32" s="2">
        <f t="shared" si="1"/>
        <v>0.58778525229247647</v>
      </c>
      <c r="D32" s="2">
        <f t="shared" si="2"/>
        <v>-0.53435173809224357</v>
      </c>
      <c r="E32" s="2">
        <f t="shared" si="0"/>
        <v>-0.53435173809224357</v>
      </c>
      <c r="F32" s="30">
        <f t="shared" si="3"/>
        <v>-0.53435173809224357</v>
      </c>
      <c r="G32" s="30"/>
    </row>
    <row r="33" spans="2:16">
      <c r="B33" s="2">
        <f t="shared" si="4"/>
        <v>1.6085453974238138E-2</v>
      </c>
      <c r="C33" s="2">
        <f t="shared" si="1"/>
        <v>-0.36812455268467542</v>
      </c>
      <c r="D33" s="2">
        <f t="shared" si="2"/>
        <v>0.33465962916607161</v>
      </c>
      <c r="E33" s="2">
        <f t="shared" si="0"/>
        <v>0.33465962916607161</v>
      </c>
      <c r="F33" s="30">
        <f t="shared" si="3"/>
        <v>0.33465962916607161</v>
      </c>
      <c r="G33" s="30"/>
    </row>
    <row r="34" spans="2:16">
      <c r="B34" s="2">
        <f t="shared" si="4"/>
        <v>1.7090794847628023E-2</v>
      </c>
      <c r="C34" s="2">
        <f t="shared" si="1"/>
        <v>-0.98228725072868839</v>
      </c>
      <c r="D34" s="2">
        <f t="shared" si="2"/>
        <v>0.89299093110207417</v>
      </c>
      <c r="E34" s="2">
        <f t="shared" si="0"/>
        <v>0.89299093110207417</v>
      </c>
      <c r="F34" s="30">
        <f t="shared" si="3"/>
        <v>0.89299093110207417</v>
      </c>
      <c r="G34" s="30"/>
    </row>
    <row r="35" spans="2:16">
      <c r="B35" s="2">
        <f t="shared" si="4"/>
        <v>1.8096135721017908E-2</v>
      </c>
      <c r="C35" s="2">
        <f t="shared" si="1"/>
        <v>-0.68454710592868862</v>
      </c>
      <c r="D35" s="2">
        <f t="shared" si="2"/>
        <v>0.6223173079493951</v>
      </c>
      <c r="E35" s="2">
        <f t="shared" si="0"/>
        <v>0.6223173079493951</v>
      </c>
      <c r="F35" s="30">
        <f t="shared" si="3"/>
        <v>0.6223173079493951</v>
      </c>
      <c r="G35" s="30"/>
    </row>
    <row r="36" spans="2:16">
      <c r="B36" s="2">
        <f t="shared" si="4"/>
        <v>1.9101476594407793E-2</v>
      </c>
      <c r="C36" s="2">
        <f t="shared" si="1"/>
        <v>0.24868988716485613</v>
      </c>
      <c r="D36" s="2">
        <f t="shared" si="2"/>
        <v>-0.22608235394511234</v>
      </c>
      <c r="E36" s="2">
        <f t="shared" si="0"/>
        <v>-0.22608235394511234</v>
      </c>
      <c r="F36" s="30">
        <f t="shared" si="3"/>
        <v>-0.22608235394511234</v>
      </c>
      <c r="G36" s="30"/>
      <c r="H36" s="6" t="s">
        <v>65</v>
      </c>
    </row>
    <row r="37" spans="2:16">
      <c r="B37" s="2">
        <f t="shared" si="4"/>
        <v>2.0106817467797678E-2</v>
      </c>
      <c r="C37" s="2">
        <f t="shared" si="1"/>
        <v>0.95105651629515442</v>
      </c>
      <c r="D37" s="2">
        <f t="shared" si="2"/>
        <v>-0.86459927418082794</v>
      </c>
      <c r="E37" s="2">
        <f t="shared" si="0"/>
        <v>-0.86459927418082794</v>
      </c>
      <c r="F37" s="30">
        <f t="shared" si="3"/>
        <v>-0.86459927418082794</v>
      </c>
      <c r="G37" s="30"/>
      <c r="H37" s="12" t="s">
        <v>64</v>
      </c>
      <c r="I37" s="12">
        <f>I3</f>
        <v>5</v>
      </c>
      <c r="J37" s="12" t="s">
        <v>17</v>
      </c>
      <c r="K37" s="13" t="str">
        <f>TRIM(H37)&amp;"   "&amp;IF(I37&gt;0,"+","")&amp;TRIM(I37)&amp;" "&amp;TRIM(J37)</f>
        <v>V+:   +5 V</v>
      </c>
    </row>
    <row r="38" spans="2:16">
      <c r="B38" s="2">
        <f t="shared" si="4"/>
        <v>2.1112158341187563E-2</v>
      </c>
      <c r="C38" s="2">
        <f t="shared" si="1"/>
        <v>0.77051324277578659</v>
      </c>
      <c r="D38" s="2">
        <f t="shared" si="2"/>
        <v>-0.70046856210584518</v>
      </c>
      <c r="E38" s="2">
        <f t="shared" si="0"/>
        <v>-0.70046856210584518</v>
      </c>
      <c r="F38" s="30">
        <f t="shared" si="3"/>
        <v>-0.70046856210584518</v>
      </c>
      <c r="G38" s="30"/>
      <c r="H38" s="12" t="s">
        <v>66</v>
      </c>
      <c r="I38" s="12">
        <f>I4</f>
        <v>-5</v>
      </c>
      <c r="J38" s="12" t="s">
        <v>17</v>
      </c>
      <c r="K38" s="13" t="str">
        <f t="shared" ref="K38:K39" si="5">TRIM(H38)&amp;"   "&amp;IF(I38&gt;0,"+","")&amp;TRIM(I38)&amp;" "&amp;TRIM(J38)</f>
        <v>V-:   -5 V</v>
      </c>
    </row>
    <row r="39" spans="2:16">
      <c r="B39" s="2">
        <f t="shared" si="4"/>
        <v>2.2117499214577448E-2</v>
      </c>
      <c r="C39" s="2">
        <f t="shared" si="1"/>
        <v>-0.12533323356430973</v>
      </c>
      <c r="D39" s="2">
        <f t="shared" si="2"/>
        <v>0.11393962494738702</v>
      </c>
      <c r="E39" s="2">
        <f t="shared" si="0"/>
        <v>0.11393962494738702</v>
      </c>
      <c r="F39" s="30">
        <f t="shared" si="3"/>
        <v>0.11393962494738702</v>
      </c>
      <c r="G39" s="30"/>
      <c r="H39" s="12" t="s">
        <v>29</v>
      </c>
      <c r="I39" s="12">
        <f>I9</f>
        <v>1</v>
      </c>
      <c r="J39" s="12" t="s">
        <v>17</v>
      </c>
      <c r="K39" s="13" t="str">
        <f t="shared" si="5"/>
        <v>Vin:   +1 V</v>
      </c>
    </row>
    <row r="40" spans="2:16">
      <c r="B40" s="2">
        <f t="shared" si="4"/>
        <v>2.3122840087967333E-2</v>
      </c>
      <c r="C40" s="2">
        <f t="shared" si="1"/>
        <v>-0.90482705246602246</v>
      </c>
      <c r="D40" s="2">
        <f t="shared" si="2"/>
        <v>0.82257237021917951</v>
      </c>
      <c r="E40" s="2">
        <f t="shared" si="0"/>
        <v>0.82257237021917951</v>
      </c>
      <c r="F40" s="30">
        <f t="shared" si="3"/>
        <v>0.82257237021917951</v>
      </c>
      <c r="G40" s="30"/>
      <c r="H40" s="12" t="s">
        <v>67</v>
      </c>
      <c r="I40" s="12">
        <f>C3</f>
        <v>1</v>
      </c>
      <c r="J40" s="12" t="s">
        <v>16</v>
      </c>
      <c r="K40" s="13" t="str">
        <f>TRIM(H40)&amp;"   "&amp;TRIM(I40)&amp;" "&amp;TRIM(J40)</f>
        <v>R1:   1 K</v>
      </c>
    </row>
    <row r="41" spans="2:16">
      <c r="B41" s="2">
        <f t="shared" si="4"/>
        <v>2.4128180961357219E-2</v>
      </c>
      <c r="C41" s="2">
        <f t="shared" si="1"/>
        <v>-0.84432792550201063</v>
      </c>
      <c r="D41" s="2">
        <f t="shared" si="2"/>
        <v>0.76757300859825028</v>
      </c>
      <c r="E41" s="2">
        <f t="shared" si="0"/>
        <v>0.76757300859825028</v>
      </c>
      <c r="F41" s="30">
        <f t="shared" si="3"/>
        <v>0.76757300859825028</v>
      </c>
      <c r="G41" s="30"/>
      <c r="H41" s="12" t="s">
        <v>68</v>
      </c>
      <c r="I41" s="12">
        <f>C4</f>
        <v>1</v>
      </c>
      <c r="J41" s="12" t="s">
        <v>16</v>
      </c>
      <c r="K41" s="13" t="str">
        <f>TRIM(H41)&amp;"   "&amp;TRIM(I41)&amp;" "&amp;TRIM(J41)</f>
        <v>RF:   1 K</v>
      </c>
      <c r="P41" s="32" t="s">
        <v>230</v>
      </c>
    </row>
    <row r="42" spans="2:16">
      <c r="B42" s="2">
        <f t="shared" si="4"/>
        <v>2.5133521834747104E-2</v>
      </c>
      <c r="C42" s="2">
        <f t="shared" si="1"/>
        <v>9.6780222724746068E-15</v>
      </c>
      <c r="D42" s="2">
        <f t="shared" si="2"/>
        <v>-8.7982269075695984E-15</v>
      </c>
      <c r="E42" s="2">
        <f t="shared" si="0"/>
        <v>-8.7982269075695984E-15</v>
      </c>
      <c r="F42" s="30">
        <f t="shared" si="3"/>
        <v>-8.7982269075695984E-15</v>
      </c>
      <c r="G42" s="30"/>
      <c r="H42" s="12" t="s">
        <v>102</v>
      </c>
      <c r="I42" s="12">
        <f>C5</f>
        <v>0.1</v>
      </c>
      <c r="J42" s="12" t="s">
        <v>83</v>
      </c>
      <c r="K42" s="13" t="str">
        <f>TRIM(H42)&amp;"   "&amp;TRIM(I42)&amp;" "&amp;TRIM(J42)</f>
        <v>C1:   0.1 uF</v>
      </c>
    </row>
    <row r="43" spans="2:16">
      <c r="H43" s="12" t="s">
        <v>103</v>
      </c>
      <c r="I43" s="12">
        <f>ROUND(C10,0)</f>
        <v>159</v>
      </c>
      <c r="J43" s="12" t="s">
        <v>80</v>
      </c>
      <c r="K43" s="13" t="str">
        <f>TRIM(H43)&amp;"   "&amp;TRIM(I43)&amp;" "&amp;TRIM(J43)</f>
        <v>f,signal:   159 Hz</v>
      </c>
    </row>
    <row r="44" spans="2:16">
      <c r="B44" s="6" t="s">
        <v>92</v>
      </c>
    </row>
    <row r="45" spans="2:16" ht="15.5">
      <c r="B45" s="14"/>
      <c r="C45" s="2" t="s">
        <v>95</v>
      </c>
    </row>
    <row r="46" spans="2:16">
      <c r="B46" s="7" t="s">
        <v>93</v>
      </c>
      <c r="C46" s="7" t="s">
        <v>94</v>
      </c>
      <c r="D46" s="7" t="s">
        <v>97</v>
      </c>
      <c r="E46" s="7" t="s">
        <v>225</v>
      </c>
    </row>
    <row r="47" spans="2:16">
      <c r="B47" s="2">
        <v>1</v>
      </c>
      <c r="C47" s="2">
        <f>20*LOG(-$C$7*(1/(1+(B47/$C$12))))</f>
        <v>-5.4557916073157782E-3</v>
      </c>
      <c r="D47" s="2">
        <f t="shared" ref="D47:D78" si="6">1/(2*PI()*B47*$C$5*0.000001)</f>
        <v>1591549.4309189534</v>
      </c>
      <c r="E47" s="2">
        <f>20*LOG(((D47*$C$4*1000)/(D47+($C$4*1000)))/($C$3*1000))</f>
        <v>-5.4557916073167435E-3</v>
      </c>
    </row>
    <row r="48" spans="2:16">
      <c r="B48" s="2">
        <v>2</v>
      </c>
      <c r="C48" s="2">
        <f t="shared" ref="C48:C101" si="7">20*LOG(-$C$7*(1/(1+(B48/$C$12))))</f>
        <v>-1.090815846718938E-2</v>
      </c>
      <c r="D48" s="2">
        <f t="shared" si="6"/>
        <v>795774.71545947669</v>
      </c>
      <c r="E48" s="2">
        <f t="shared" ref="E48:E101" si="8">20*LOG(((D48*$C$4*1000)/(D48+($C$4*1000)))/($C$3*1000))</f>
        <v>-1.0908158467188412E-2</v>
      </c>
    </row>
    <row r="49" spans="2:5">
      <c r="B49" s="2">
        <v>3</v>
      </c>
      <c r="C49" s="2">
        <f t="shared" si="7"/>
        <v>-1.6357104876533385E-2</v>
      </c>
      <c r="D49" s="2">
        <f t="shared" si="6"/>
        <v>530516.4769729845</v>
      </c>
      <c r="E49" s="2">
        <f t="shared" si="8"/>
        <v>-1.6357104876534353E-2</v>
      </c>
    </row>
    <row r="50" spans="2:5">
      <c r="B50" s="2">
        <v>4</v>
      </c>
      <c r="C50" s="2">
        <f t="shared" si="7"/>
        <v>-2.1802635124185114E-2</v>
      </c>
      <c r="D50" s="2">
        <f t="shared" si="6"/>
        <v>397887.35772973835</v>
      </c>
      <c r="E50" s="2">
        <f t="shared" si="8"/>
        <v>-2.1802635124184146E-2</v>
      </c>
    </row>
    <row r="51" spans="2:5">
      <c r="B51" s="2">
        <v>5</v>
      </c>
      <c r="C51" s="2">
        <f t="shared" si="7"/>
        <v>-2.7244753490912502E-2</v>
      </c>
      <c r="D51" s="2">
        <f t="shared" si="6"/>
        <v>318309.88618379069</v>
      </c>
      <c r="E51" s="2">
        <f t="shared" si="8"/>
        <v>-2.7244753490912502E-2</v>
      </c>
    </row>
    <row r="52" spans="2:5">
      <c r="B52" s="2">
        <v>6</v>
      </c>
      <c r="C52" s="2">
        <f t="shared" si="7"/>
        <v>-3.2683464249448388E-2</v>
      </c>
      <c r="D52" s="2">
        <f t="shared" si="6"/>
        <v>265258.23848649225</v>
      </c>
      <c r="E52" s="2">
        <f t="shared" si="8"/>
        <v>-3.2683464249449352E-2</v>
      </c>
    </row>
    <row r="53" spans="2:5">
      <c r="B53" s="2">
        <v>7</v>
      </c>
      <c r="C53" s="2">
        <f t="shared" si="7"/>
        <v>-3.8118771664505703E-2</v>
      </c>
      <c r="D53" s="2">
        <f t="shared" si="6"/>
        <v>227364.20441699337</v>
      </c>
      <c r="E53" s="2">
        <f t="shared" si="8"/>
        <v>-3.8118771664503767E-2</v>
      </c>
    </row>
    <row r="54" spans="2:5">
      <c r="B54" s="2">
        <v>8</v>
      </c>
      <c r="C54" s="2">
        <f t="shared" si="7"/>
        <v>-4.3550679992788194E-2</v>
      </c>
      <c r="D54" s="2">
        <f t="shared" si="6"/>
        <v>198943.67886486917</v>
      </c>
      <c r="E54" s="2">
        <f t="shared" si="8"/>
        <v>-4.3550679992788194E-2</v>
      </c>
    </row>
    <row r="55" spans="2:5">
      <c r="B55" s="2">
        <v>9</v>
      </c>
      <c r="C55" s="2">
        <f t="shared" si="7"/>
        <v>-4.8979193483025638E-2</v>
      </c>
      <c r="D55" s="2">
        <f t="shared" si="6"/>
        <v>176838.82565766151</v>
      </c>
      <c r="E55" s="2">
        <f t="shared" si="8"/>
        <v>-4.897919348302758E-2</v>
      </c>
    </row>
    <row r="56" spans="2:5">
      <c r="B56" s="2">
        <v>10</v>
      </c>
      <c r="C56" s="2">
        <f t="shared" si="7"/>
        <v>-5.4404316375986098E-2</v>
      </c>
      <c r="D56" s="2">
        <f t="shared" si="6"/>
        <v>159154.94309189534</v>
      </c>
      <c r="E56" s="2">
        <f t="shared" si="8"/>
        <v>-5.4404316375986098E-2</v>
      </c>
    </row>
    <row r="57" spans="2:5">
      <c r="B57" s="2">
        <v>20</v>
      </c>
      <c r="C57" s="2">
        <f t="shared" si="7"/>
        <v>-0.10846998977127834</v>
      </c>
      <c r="D57" s="2">
        <f t="shared" si="6"/>
        <v>79577.471545947672</v>
      </c>
      <c r="E57" s="2">
        <f t="shared" si="8"/>
        <v>-0.10846998977127736</v>
      </c>
    </row>
    <row r="58" spans="2:5">
      <c r="B58" s="2">
        <v>30</v>
      </c>
      <c r="C58" s="2">
        <f t="shared" si="7"/>
        <v>-0.1622012099277301</v>
      </c>
      <c r="D58" s="2">
        <f t="shared" si="6"/>
        <v>53051.647697298446</v>
      </c>
      <c r="E58" s="2">
        <f t="shared" si="8"/>
        <v>-0.16220120992773107</v>
      </c>
    </row>
    <row r="59" spans="2:5">
      <c r="B59" s="2">
        <v>40</v>
      </c>
      <c r="C59" s="2">
        <f t="shared" si="7"/>
        <v>-0.21560208931082014</v>
      </c>
      <c r="D59" s="2">
        <f t="shared" si="6"/>
        <v>39788.735772973836</v>
      </c>
      <c r="E59" s="2">
        <f t="shared" si="8"/>
        <v>-0.21560208931082114</v>
      </c>
    </row>
    <row r="60" spans="2:5">
      <c r="B60" s="2">
        <v>50</v>
      </c>
      <c r="C60" s="2">
        <f t="shared" si="7"/>
        <v>-0.26867666499843473</v>
      </c>
      <c r="D60" s="2">
        <f t="shared" si="6"/>
        <v>31830.988618379066</v>
      </c>
      <c r="E60" s="2">
        <f t="shared" si="8"/>
        <v>-0.26867666499843373</v>
      </c>
    </row>
    <row r="61" spans="2:5">
      <c r="B61" s="2">
        <v>60</v>
      </c>
      <c r="C61" s="2">
        <f t="shared" si="7"/>
        <v>-0.32142890051230716</v>
      </c>
      <c r="D61" s="2">
        <f t="shared" si="6"/>
        <v>26525.823848649223</v>
      </c>
      <c r="E61" s="2">
        <f t="shared" si="8"/>
        <v>-0.32142890051230616</v>
      </c>
    </row>
    <row r="62" spans="2:5">
      <c r="B62" s="2">
        <v>70</v>
      </c>
      <c r="C62" s="2">
        <f t="shared" si="7"/>
        <v>-0.37386268759417796</v>
      </c>
      <c r="D62" s="2">
        <f t="shared" si="6"/>
        <v>22736.420441699334</v>
      </c>
      <c r="E62" s="2">
        <f t="shared" si="8"/>
        <v>-0.37386268759417995</v>
      </c>
    </row>
    <row r="63" spans="2:5">
      <c r="B63" s="2">
        <v>80</v>
      </c>
      <c r="C63" s="2">
        <f t="shared" si="7"/>
        <v>-0.42598184792866362</v>
      </c>
      <c r="D63" s="2">
        <f t="shared" si="6"/>
        <v>19894.367886486918</v>
      </c>
      <c r="E63" s="2">
        <f t="shared" si="8"/>
        <v>-0.42598184792866467</v>
      </c>
    </row>
    <row r="64" spans="2:5">
      <c r="B64" s="2">
        <v>90</v>
      </c>
      <c r="C64" s="2">
        <f t="shared" si="7"/>
        <v>-0.47779013481473209</v>
      </c>
      <c r="D64" s="2">
        <f t="shared" si="6"/>
        <v>17683.882565766147</v>
      </c>
      <c r="E64" s="2">
        <f t="shared" si="8"/>
        <v>-0.47779013481473109</v>
      </c>
    </row>
    <row r="65" spans="2:5">
      <c r="B65" s="2">
        <v>100</v>
      </c>
      <c r="C65" s="2">
        <f t="shared" si="7"/>
        <v>-0.5292912347876414</v>
      </c>
      <c r="D65" s="2">
        <f t="shared" si="6"/>
        <v>15915.494309189533</v>
      </c>
      <c r="E65" s="2">
        <f t="shared" si="8"/>
        <v>-0.52929123478763929</v>
      </c>
    </row>
    <row r="66" spans="2:5">
      <c r="B66" s="2">
        <v>200</v>
      </c>
      <c r="C66" s="2">
        <f t="shared" si="7"/>
        <v>-1.0281732742428631</v>
      </c>
      <c r="D66" s="2">
        <f t="shared" si="6"/>
        <v>7957.7471545947665</v>
      </c>
      <c r="E66" s="2">
        <f t="shared" si="8"/>
        <v>-1.0281732742428631</v>
      </c>
    </row>
    <row r="67" spans="2:5">
      <c r="B67" s="2">
        <v>300</v>
      </c>
      <c r="C67" s="2">
        <f t="shared" si="7"/>
        <v>-1.4999512667302486</v>
      </c>
      <c r="D67" s="2">
        <f t="shared" si="6"/>
        <v>5305.1647697298449</v>
      </c>
      <c r="E67" s="2">
        <f t="shared" si="8"/>
        <v>-1.4999512667302475</v>
      </c>
    </row>
    <row r="68" spans="2:5">
      <c r="B68" s="2">
        <v>400</v>
      </c>
      <c r="C68" s="2">
        <f t="shared" si="7"/>
        <v>-1.9474191714131335</v>
      </c>
      <c r="D68" s="2">
        <f t="shared" si="6"/>
        <v>3978.8735772973832</v>
      </c>
      <c r="E68" s="2">
        <f t="shared" si="8"/>
        <v>-1.9474191714131335</v>
      </c>
    </row>
    <row r="69" spans="2:5">
      <c r="B69" s="2">
        <v>500</v>
      </c>
      <c r="C69" s="2">
        <f t="shared" si="7"/>
        <v>-2.3729600270793743</v>
      </c>
      <c r="D69" s="2">
        <f t="shared" si="6"/>
        <v>3183.098861837907</v>
      </c>
      <c r="E69" s="2">
        <f t="shared" si="8"/>
        <v>-2.3729600270793743</v>
      </c>
    </row>
    <row r="70" spans="2:5">
      <c r="B70" s="2">
        <v>600</v>
      </c>
      <c r="C70" s="2">
        <f t="shared" si="7"/>
        <v>-2.7786227814791493</v>
      </c>
      <c r="D70" s="2">
        <f t="shared" si="6"/>
        <v>2652.5823848649225</v>
      </c>
      <c r="E70" s="2">
        <f t="shared" si="8"/>
        <v>-2.7786227814791493</v>
      </c>
    </row>
    <row r="71" spans="2:5">
      <c r="B71" s="2">
        <v>700</v>
      </c>
      <c r="C71" s="2">
        <f t="shared" si="7"/>
        <v>-3.1661819637690014</v>
      </c>
      <c r="D71" s="2">
        <f t="shared" si="6"/>
        <v>2273.6420441699333</v>
      </c>
      <c r="E71" s="2">
        <f t="shared" si="8"/>
        <v>-3.1661819637689996</v>
      </c>
    </row>
    <row r="72" spans="2:5">
      <c r="B72" s="2">
        <v>800</v>
      </c>
      <c r="C72" s="2">
        <f t="shared" si="7"/>
        <v>-3.53718460177129</v>
      </c>
      <c r="D72" s="2">
        <f t="shared" si="6"/>
        <v>1989.4367886486916</v>
      </c>
      <c r="E72" s="2">
        <f t="shared" si="8"/>
        <v>-3.5371846017712909</v>
      </c>
    </row>
    <row r="73" spans="2:5">
      <c r="B73" s="2">
        <v>900</v>
      </c>
      <c r="C73" s="2">
        <f t="shared" si="7"/>
        <v>-3.8929875221072119</v>
      </c>
      <c r="D73" s="2">
        <f t="shared" si="6"/>
        <v>1768.388256576615</v>
      </c>
      <c r="E73" s="2">
        <f t="shared" si="8"/>
        <v>-3.8929875221072132</v>
      </c>
    </row>
    <row r="74" spans="2:5">
      <c r="B74" s="2">
        <v>1000</v>
      </c>
      <c r="C74" s="2">
        <f t="shared" si="7"/>
        <v>-4.2347873059239323</v>
      </c>
      <c r="D74" s="2">
        <f t="shared" si="6"/>
        <v>1591.5494309189535</v>
      </c>
      <c r="E74" s="2">
        <f t="shared" si="8"/>
        <v>-4.2347873059239323</v>
      </c>
    </row>
    <row r="75" spans="2:5">
      <c r="B75" s="2">
        <v>2000</v>
      </c>
      <c r="C75" s="2">
        <f t="shared" si="7"/>
        <v>-7.0692343282961474</v>
      </c>
      <c r="D75" s="2">
        <f t="shared" si="6"/>
        <v>795.77471545947674</v>
      </c>
      <c r="E75" s="2">
        <f t="shared" si="8"/>
        <v>-7.0692343282961474</v>
      </c>
    </row>
    <row r="76" spans="2:5">
      <c r="B76" s="2">
        <v>3000</v>
      </c>
      <c r="C76" s="2">
        <f t="shared" si="7"/>
        <v>-9.2027826497936953</v>
      </c>
      <c r="D76" s="2">
        <f t="shared" si="6"/>
        <v>530.51647697298449</v>
      </c>
      <c r="E76" s="2">
        <f t="shared" si="8"/>
        <v>-9.2027826497936971</v>
      </c>
    </row>
    <row r="77" spans="2:5">
      <c r="B77" s="2">
        <v>4000</v>
      </c>
      <c r="C77" s="2">
        <f t="shared" si="7"/>
        <v>-10.9142407379757</v>
      </c>
      <c r="D77" s="2">
        <f t="shared" si="6"/>
        <v>397.88735772973837</v>
      </c>
      <c r="E77" s="2">
        <f t="shared" si="8"/>
        <v>-10.914240737975703</v>
      </c>
    </row>
    <row r="78" spans="2:5">
      <c r="B78" s="2">
        <v>5000</v>
      </c>
      <c r="C78" s="2">
        <f t="shared" si="7"/>
        <v>-12.343347632347131</v>
      </c>
      <c r="D78" s="2">
        <f t="shared" si="6"/>
        <v>318.30988618379064</v>
      </c>
      <c r="E78" s="2">
        <f t="shared" si="8"/>
        <v>-12.343347632347133</v>
      </c>
    </row>
    <row r="79" spans="2:5">
      <c r="B79" s="2">
        <v>6000</v>
      </c>
      <c r="C79" s="2">
        <f t="shared" si="7"/>
        <v>-13.570205851141253</v>
      </c>
      <c r="D79" s="2">
        <f t="shared" ref="D79:D101" si="9">1/(2*PI()*B79*$C$5*0.000001)</f>
        <v>265.25823848649225</v>
      </c>
      <c r="E79" s="2">
        <f t="shared" si="8"/>
        <v>-13.570205851141255</v>
      </c>
    </row>
    <row r="80" spans="2:5">
      <c r="B80" s="2">
        <v>7000</v>
      </c>
      <c r="C80" s="2">
        <f t="shared" si="7"/>
        <v>-14.645027229624404</v>
      </c>
      <c r="D80" s="2">
        <f t="shared" si="9"/>
        <v>227.36420441699337</v>
      </c>
      <c r="E80" s="2">
        <f t="shared" si="8"/>
        <v>-14.645027229624404</v>
      </c>
    </row>
    <row r="81" spans="2:5">
      <c r="B81" s="2">
        <v>8000</v>
      </c>
      <c r="C81" s="2">
        <f t="shared" si="7"/>
        <v>-15.601372753420115</v>
      </c>
      <c r="D81" s="2">
        <f t="shared" si="9"/>
        <v>198.94367886486918</v>
      </c>
      <c r="E81" s="2">
        <f t="shared" si="8"/>
        <v>-15.601372753420115</v>
      </c>
    </row>
    <row r="82" spans="2:5">
      <c r="B82" s="2">
        <v>9000</v>
      </c>
      <c r="C82" s="2">
        <f t="shared" si="7"/>
        <v>-16.462787315442423</v>
      </c>
      <c r="D82" s="2">
        <f t="shared" si="9"/>
        <v>176.83882565766146</v>
      </c>
      <c r="E82" s="2">
        <f t="shared" si="8"/>
        <v>-16.462787315442423</v>
      </c>
    </row>
    <row r="83" spans="2:5">
      <c r="B83" s="2">
        <v>10000</v>
      </c>
      <c r="C83" s="2">
        <f t="shared" si="7"/>
        <v>-17.246427198293802</v>
      </c>
      <c r="D83" s="2">
        <f t="shared" si="9"/>
        <v>159.15494309189532</v>
      </c>
      <c r="E83" s="2">
        <f t="shared" si="8"/>
        <v>-17.246427198293805</v>
      </c>
    </row>
    <row r="84" spans="2:5">
      <c r="B84" s="2">
        <v>20000</v>
      </c>
      <c r="C84" s="2">
        <f t="shared" si="7"/>
        <v>-22.649273544234404</v>
      </c>
      <c r="D84" s="2">
        <f t="shared" si="9"/>
        <v>79.57747154594766</v>
      </c>
      <c r="E84" s="2">
        <f t="shared" si="8"/>
        <v>-22.649273544234411</v>
      </c>
    </row>
    <row r="85" spans="2:5">
      <c r="B85" s="2">
        <v>30000</v>
      </c>
      <c r="C85" s="2">
        <f t="shared" si="7"/>
        <v>-25.955015901597189</v>
      </c>
      <c r="D85" s="2">
        <f t="shared" si="9"/>
        <v>53.051647697298449</v>
      </c>
      <c r="E85" s="2">
        <f t="shared" si="8"/>
        <v>-25.955015901597189</v>
      </c>
    </row>
    <row r="86" spans="2:5">
      <c r="B86" s="2">
        <v>40000</v>
      </c>
      <c r="C86" s="2">
        <f t="shared" si="7"/>
        <v>-28.343699360305607</v>
      </c>
      <c r="D86" s="2">
        <f t="shared" si="9"/>
        <v>39.78873577297383</v>
      </c>
      <c r="E86" s="2">
        <f t="shared" si="8"/>
        <v>-28.343699360305614</v>
      </c>
    </row>
    <row r="87" spans="2:5">
      <c r="B87" s="2">
        <v>50000</v>
      </c>
      <c r="C87" s="2">
        <f t="shared" si="7"/>
        <v>-30.215168788824421</v>
      </c>
      <c r="D87" s="2">
        <f t="shared" si="9"/>
        <v>31.830988618379067</v>
      </c>
      <c r="E87" s="2">
        <f t="shared" si="8"/>
        <v>-30.215168788824421</v>
      </c>
    </row>
    <row r="88" spans="2:5">
      <c r="B88" s="2">
        <v>60000</v>
      </c>
      <c r="C88" s="2">
        <f t="shared" si="7"/>
        <v>-31.754019958736531</v>
      </c>
      <c r="D88" s="2">
        <f t="shared" si="9"/>
        <v>26.525823848649225</v>
      </c>
      <c r="E88" s="2">
        <f t="shared" si="8"/>
        <v>-31.754019958736531</v>
      </c>
    </row>
    <row r="89" spans="2:5">
      <c r="B89" s="2">
        <v>70000</v>
      </c>
      <c r="C89" s="2">
        <f t="shared" si="7"/>
        <v>-33.060832603231333</v>
      </c>
      <c r="D89" s="2">
        <f t="shared" si="9"/>
        <v>22.736420441699334</v>
      </c>
      <c r="E89" s="2">
        <f t="shared" si="8"/>
        <v>-33.060832603231333</v>
      </c>
    </row>
    <row r="90" spans="2:5">
      <c r="B90" s="2">
        <v>80000</v>
      </c>
      <c r="C90" s="2">
        <f t="shared" si="7"/>
        <v>-34.19650097714883</v>
      </c>
      <c r="D90" s="2">
        <f t="shared" si="9"/>
        <v>19.894367886486915</v>
      </c>
      <c r="E90" s="2">
        <f t="shared" si="8"/>
        <v>-34.19650097714883</v>
      </c>
    </row>
    <row r="91" spans="2:5">
      <c r="B91" s="2">
        <v>90000</v>
      </c>
      <c r="C91" s="2">
        <f t="shared" si="7"/>
        <v>-35.200705485754888</v>
      </c>
      <c r="D91" s="2">
        <f t="shared" si="9"/>
        <v>17.683882565766147</v>
      </c>
      <c r="E91" s="2">
        <f t="shared" si="8"/>
        <v>-35.200705485754888</v>
      </c>
    </row>
    <row r="92" spans="2:5">
      <c r="B92" s="2">
        <v>100000</v>
      </c>
      <c r="C92" s="2">
        <f t="shared" si="7"/>
        <v>-36.100749048136706</v>
      </c>
      <c r="D92" s="2">
        <f t="shared" si="9"/>
        <v>15.915494309189533</v>
      </c>
      <c r="E92" s="2">
        <f t="shared" si="8"/>
        <v>-36.100749048136706</v>
      </c>
    </row>
    <row r="93" spans="2:5">
      <c r="B93" s="2">
        <v>200000</v>
      </c>
      <c r="C93" s="2">
        <f t="shared" si="7"/>
        <v>-42.053043824175461</v>
      </c>
      <c r="D93" s="2">
        <f t="shared" si="9"/>
        <v>7.9577471545947667</v>
      </c>
      <c r="E93" s="2">
        <f t="shared" si="8"/>
        <v>-42.053043824175475</v>
      </c>
    </row>
    <row r="94" spans="2:5">
      <c r="B94" s="2">
        <v>300000</v>
      </c>
      <c r="C94" s="2">
        <f t="shared" si="7"/>
        <v>-45.551980736651679</v>
      </c>
      <c r="D94" s="2">
        <f t="shared" si="9"/>
        <v>5.3051647697298447</v>
      </c>
      <c r="E94" s="2">
        <f t="shared" si="8"/>
        <v>-45.551980736651679</v>
      </c>
    </row>
    <row r="95" spans="2:5">
      <c r="B95" s="2">
        <v>400000</v>
      </c>
      <c r="C95" s="2">
        <f t="shared" si="7"/>
        <v>-48.039288677285306</v>
      </c>
      <c r="D95" s="2">
        <f t="shared" si="9"/>
        <v>3.9788735772973833</v>
      </c>
      <c r="E95" s="2">
        <f t="shared" si="8"/>
        <v>-48.039288677285306</v>
      </c>
    </row>
    <row r="96" spans="2:5">
      <c r="B96" s="2">
        <v>500000</v>
      </c>
      <c r="C96" s="2">
        <f t="shared" si="7"/>
        <v>-49.970601589228096</v>
      </c>
      <c r="D96" s="2">
        <f t="shared" si="9"/>
        <v>3.1830988618379075</v>
      </c>
      <c r="E96" s="2">
        <f t="shared" si="8"/>
        <v>-49.970601589228096</v>
      </c>
    </row>
    <row r="97" spans="2:5">
      <c r="B97" s="2">
        <v>600000</v>
      </c>
      <c r="C97" s="2">
        <f t="shared" si="7"/>
        <v>-51.549631908817481</v>
      </c>
      <c r="D97" s="2">
        <f t="shared" si="9"/>
        <v>2.6525823848649224</v>
      </c>
      <c r="E97" s="2">
        <f t="shared" si="8"/>
        <v>-51.549631908817481</v>
      </c>
    </row>
    <row r="98" spans="2:5">
      <c r="B98" s="2">
        <v>700000</v>
      </c>
      <c r="C98" s="2">
        <f t="shared" si="7"/>
        <v>-52.885284354663391</v>
      </c>
      <c r="D98" s="2">
        <f t="shared" si="9"/>
        <v>2.2736420441699337</v>
      </c>
      <c r="E98" s="2">
        <f t="shared" si="8"/>
        <v>-52.885284354663391</v>
      </c>
    </row>
    <row r="99" spans="2:5">
      <c r="B99" s="2">
        <v>800000</v>
      </c>
      <c r="C99" s="2">
        <f t="shared" si="7"/>
        <v>-54.042659969390527</v>
      </c>
      <c r="D99" s="2">
        <f t="shared" si="9"/>
        <v>1.9894367886486917</v>
      </c>
      <c r="E99" s="2">
        <f t="shared" si="8"/>
        <v>-54.042659969390535</v>
      </c>
    </row>
    <row r="100" spans="2:5">
      <c r="B100" s="2">
        <v>900000</v>
      </c>
      <c r="C100" s="2">
        <f t="shared" si="7"/>
        <v>-55.063794015928622</v>
      </c>
      <c r="D100" s="2">
        <f t="shared" si="9"/>
        <v>1.7683882565766149</v>
      </c>
      <c r="E100" s="2">
        <f t="shared" si="8"/>
        <v>-55.063794015928622</v>
      </c>
    </row>
    <row r="101" spans="2:5">
      <c r="B101" s="2">
        <v>1000000</v>
      </c>
      <c r="C101" s="2">
        <f t="shared" si="7"/>
        <v>-55.97741040072335</v>
      </c>
      <c r="D101" s="2">
        <f t="shared" si="9"/>
        <v>1.5915494309189537</v>
      </c>
      <c r="E101" s="2">
        <f t="shared" si="8"/>
        <v>-55.97741040072335</v>
      </c>
    </row>
  </sheetData>
  <hyperlinks>
    <hyperlink ref="P41" r:id="rId1" xr:uid="{D945DD9A-8D5E-4591-8DE6-6DD00A3EDCD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A266E-1CF8-42B1-90C3-B9BB69FF12FD}">
  <dimension ref="B1:AA101"/>
  <sheetViews>
    <sheetView zoomScale="85" zoomScaleNormal="85" workbookViewId="0">
      <selection activeCell="C2" sqref="C2"/>
    </sheetView>
  </sheetViews>
  <sheetFormatPr defaultColWidth="9.1796875" defaultRowHeight="14.5"/>
  <cols>
    <col min="1" max="1" width="5.1796875" style="2" customWidth="1"/>
    <col min="2" max="2" width="9.1796875" style="2"/>
    <col min="3" max="4" width="13.1796875" style="2" bestFit="1" customWidth="1"/>
    <col min="5" max="5" width="11.81640625" style="2" customWidth="1"/>
    <col min="6" max="7" width="9.1796875" style="2"/>
    <col min="8" max="8" width="11" style="2" customWidth="1"/>
    <col min="9" max="16384" width="9.1796875" style="2"/>
  </cols>
  <sheetData>
    <row r="1" spans="2:27" ht="46.5" thickBot="1">
      <c r="B1" s="1" t="s">
        <v>100</v>
      </c>
    </row>
    <row r="2" spans="2:27" ht="15" thickBot="1">
      <c r="B2" s="2" t="s">
        <v>12</v>
      </c>
      <c r="C2" s="4">
        <v>1</v>
      </c>
      <c r="D2" s="2" t="s">
        <v>16</v>
      </c>
      <c r="H2" s="6" t="s">
        <v>36</v>
      </c>
      <c r="AA2"/>
    </row>
    <row r="3" spans="2:27" ht="15" thickBot="1">
      <c r="B3" s="2" t="s">
        <v>82</v>
      </c>
      <c r="C3" s="4">
        <v>0.1</v>
      </c>
      <c r="D3" s="2" t="s">
        <v>83</v>
      </c>
      <c r="H3" s="2" t="s">
        <v>9</v>
      </c>
      <c r="I3" s="4">
        <v>5</v>
      </c>
      <c r="J3" s="2" t="s">
        <v>18</v>
      </c>
    </row>
    <row r="4" spans="2:27" ht="15" thickBot="1">
      <c r="B4" s="2" t="s">
        <v>99</v>
      </c>
      <c r="C4" s="4">
        <v>1</v>
      </c>
      <c r="D4" s="2" t="s">
        <v>16</v>
      </c>
      <c r="H4" s="2" t="s">
        <v>10</v>
      </c>
      <c r="I4" s="5">
        <v>-5</v>
      </c>
      <c r="J4" s="2" t="s">
        <v>19</v>
      </c>
    </row>
    <row r="5" spans="2:27" ht="15" thickBot="1">
      <c r="B5" s="2" t="s">
        <v>0</v>
      </c>
      <c r="C5" s="3">
        <v>0</v>
      </c>
      <c r="D5" s="2" t="s">
        <v>17</v>
      </c>
      <c r="H5" s="2" t="s">
        <v>31</v>
      </c>
      <c r="I5" s="4">
        <v>1.2</v>
      </c>
      <c r="J5" s="2" t="s">
        <v>32</v>
      </c>
    </row>
    <row r="6" spans="2:27">
      <c r="B6" s="2" t="s">
        <v>1</v>
      </c>
      <c r="C6" s="3">
        <f>-C4/C2</f>
        <v>-1</v>
      </c>
      <c r="D6" s="2" t="s">
        <v>39</v>
      </c>
    </row>
    <row r="7" spans="2:27" ht="15" thickBot="1">
      <c r="B7" s="2" t="s">
        <v>97</v>
      </c>
      <c r="C7" s="3">
        <f>1/(2*PI()*C9*C3*0.000001)</f>
        <v>999.99999999999977</v>
      </c>
      <c r="D7" s="2" t="s">
        <v>219</v>
      </c>
      <c r="H7" s="6" t="s">
        <v>33</v>
      </c>
    </row>
    <row r="8" spans="2:27" ht="15" thickBot="1">
      <c r="B8" s="2" t="s">
        <v>25</v>
      </c>
      <c r="C8" s="4">
        <v>1</v>
      </c>
      <c r="D8" s="2" t="s">
        <v>38</v>
      </c>
      <c r="H8" s="6"/>
    </row>
    <row r="9" spans="2:27" ht="15" thickBot="1">
      <c r="B9" s="2" t="s">
        <v>84</v>
      </c>
      <c r="C9" s="4">
        <f>C11</f>
        <v>1591.5494309189537</v>
      </c>
      <c r="D9" s="2" t="s">
        <v>80</v>
      </c>
      <c r="H9" s="6" t="s">
        <v>29</v>
      </c>
      <c r="I9" s="4">
        <v>1</v>
      </c>
      <c r="J9" s="2" t="s">
        <v>17</v>
      </c>
    </row>
    <row r="10" spans="2:27">
      <c r="B10" s="2" t="s">
        <v>87</v>
      </c>
      <c r="C10" s="3">
        <f>1/C9</f>
        <v>6.2831853071795851E-4</v>
      </c>
      <c r="D10" s="2" t="s">
        <v>86</v>
      </c>
      <c r="H10" s="6" t="s">
        <v>34</v>
      </c>
      <c r="I10" s="3">
        <f>IF($C$6*I9/SQRT(1+($C$9/$C$11)^2)&gt;($I$3-$I$5),($I$3-$I$5),IF($C$6*I9/SQRT(1+($C$9/$C$11)^2)&lt;($I$4+$I$5),($I$4+$I$5),$C$6*I9/SQRT(1+($C$9/$C$11)^2)))</f>
        <v>-0.70710678118654746</v>
      </c>
      <c r="J10" s="2" t="s">
        <v>17</v>
      </c>
    </row>
    <row r="11" spans="2:27" ht="15" thickBot="1">
      <c r="B11" s="2" t="s">
        <v>81</v>
      </c>
      <c r="C11" s="3">
        <f>1/(2*PI()*(C2*1000)*(C3*0.000001))</f>
        <v>1591.5494309189537</v>
      </c>
      <c r="D11" s="2" t="s">
        <v>80</v>
      </c>
    </row>
    <row r="12" spans="2:27" ht="15" thickBot="1">
      <c r="B12" s="2" t="s">
        <v>89</v>
      </c>
      <c r="C12" s="4">
        <v>4</v>
      </c>
      <c r="D12" s="2" t="s">
        <v>90</v>
      </c>
      <c r="H12" s="6" t="s">
        <v>105</v>
      </c>
    </row>
    <row r="13" spans="2:27">
      <c r="B13" s="2" t="s">
        <v>88</v>
      </c>
      <c r="C13" s="3">
        <f>C10*C12/25</f>
        <v>1.0053096491487336E-4</v>
      </c>
      <c r="D13" s="2" t="s">
        <v>86</v>
      </c>
      <c r="H13" s="17" t="s">
        <v>106</v>
      </c>
      <c r="I13" s="3">
        <f>1000*(C2*1000)*(C3*0.000001)</f>
        <v>9.9999999999999992E-2</v>
      </c>
      <c r="J13" s="2" t="s">
        <v>107</v>
      </c>
    </row>
    <row r="15" spans="2:27">
      <c r="E15" s="6" t="s">
        <v>30</v>
      </c>
    </row>
    <row r="16" spans="2:27">
      <c r="B16" s="7" t="s">
        <v>85</v>
      </c>
      <c r="C16" s="7" t="s">
        <v>7</v>
      </c>
      <c r="D16" s="7" t="s">
        <v>3</v>
      </c>
      <c r="E16" s="7" t="s">
        <v>3</v>
      </c>
      <c r="F16" s="30" t="s">
        <v>232</v>
      </c>
      <c r="G16" s="30"/>
    </row>
    <row r="17" spans="2:7">
      <c r="B17" s="2">
        <v>0</v>
      </c>
      <c r="C17" s="2">
        <f t="shared" ref="C17:C42" si="0">$C$8*SIN($B17*$C$9*2*PI())</f>
        <v>0</v>
      </c>
      <c r="D17" s="2">
        <f t="shared" ref="D17:D42" si="1">C17*$C$6*($C$9/$C$11)/SQRT(1+($C$9/$C$11)^2)</f>
        <v>0</v>
      </c>
      <c r="E17" s="2">
        <f t="shared" ref="E17:E42" si="2">IF(D17&gt;($I$3-$I$5),($I$3-$I$5),IF(D17&lt;($I$4+$I$5),($I$4+$I$5),D17))</f>
        <v>0</v>
      </c>
      <c r="F17" s="30">
        <f t="shared" ref="F17:F42" si="3">-C17*($C$4*1000)/SQRT(($C$2*1000)^2+$C$7^2)</f>
        <v>0</v>
      </c>
      <c r="G17" s="30"/>
    </row>
    <row r="18" spans="2:7">
      <c r="B18" s="2">
        <f t="shared" ref="B18:B42" si="4">B17+$C$13</f>
        <v>1.0053096491487336E-4</v>
      </c>
      <c r="C18" s="2">
        <f t="shared" si="0"/>
        <v>0.84432792550201508</v>
      </c>
      <c r="D18" s="2">
        <f t="shared" si="1"/>
        <v>-0.59703000166764497</v>
      </c>
      <c r="E18" s="2">
        <f t="shared" si="2"/>
        <v>-0.59703000166764497</v>
      </c>
      <c r="F18" s="30">
        <f t="shared" si="3"/>
        <v>-0.59703000166764508</v>
      </c>
      <c r="G18" s="30"/>
    </row>
    <row r="19" spans="2:7">
      <c r="B19" s="2">
        <f t="shared" si="4"/>
        <v>2.0106192982974672E-4</v>
      </c>
      <c r="C19" s="2">
        <f t="shared" si="0"/>
        <v>0.90482705246601947</v>
      </c>
      <c r="D19" s="2">
        <f t="shared" si="1"/>
        <v>-0.63980934459975836</v>
      </c>
      <c r="E19" s="2">
        <f t="shared" si="2"/>
        <v>-0.63980934459975836</v>
      </c>
      <c r="F19" s="30">
        <f t="shared" si="3"/>
        <v>-0.63980934459975847</v>
      </c>
      <c r="G19" s="30"/>
    </row>
    <row r="20" spans="2:7">
      <c r="B20" s="2">
        <f t="shared" si="4"/>
        <v>3.0159289474462008E-4</v>
      </c>
      <c r="C20" s="2">
        <f t="shared" si="0"/>
        <v>0.12533323356430454</v>
      </c>
      <c r="D20" s="2">
        <f t="shared" si="1"/>
        <v>-8.862397936135713E-2</v>
      </c>
      <c r="E20" s="2">
        <f t="shared" si="2"/>
        <v>-8.862397936135713E-2</v>
      </c>
      <c r="F20" s="30">
        <f t="shared" si="3"/>
        <v>-8.8623979361357158E-2</v>
      </c>
      <c r="G20" s="30"/>
    </row>
    <row r="21" spans="2:7">
      <c r="B21" s="2">
        <f t="shared" si="4"/>
        <v>4.0212385965949344E-4</v>
      </c>
      <c r="C21" s="2">
        <f t="shared" si="0"/>
        <v>-0.77051324277578936</v>
      </c>
      <c r="D21" s="2">
        <f t="shared" si="1"/>
        <v>0.54483513896079727</v>
      </c>
      <c r="E21" s="2">
        <f t="shared" si="2"/>
        <v>0.54483513896079727</v>
      </c>
      <c r="F21" s="30">
        <f t="shared" si="3"/>
        <v>0.54483513896079727</v>
      </c>
      <c r="G21" s="30"/>
    </row>
    <row r="22" spans="2:7">
      <c r="B22" s="2">
        <f t="shared" si="4"/>
        <v>5.0265482457436685E-4</v>
      </c>
      <c r="C22" s="2">
        <f t="shared" si="0"/>
        <v>-0.95105651629515364</v>
      </c>
      <c r="D22" s="2">
        <f t="shared" si="1"/>
        <v>0.67249851196395738</v>
      </c>
      <c r="E22" s="2">
        <f t="shared" si="2"/>
        <v>0.67249851196395738</v>
      </c>
      <c r="F22" s="30">
        <f t="shared" si="3"/>
        <v>0.67249851196395749</v>
      </c>
      <c r="G22" s="30"/>
    </row>
    <row r="23" spans="2:7">
      <c r="B23" s="2">
        <f t="shared" si="4"/>
        <v>6.0318578948924026E-4</v>
      </c>
      <c r="C23" s="2">
        <f t="shared" si="0"/>
        <v>-0.24868988716485363</v>
      </c>
      <c r="D23" s="2">
        <f t="shared" si="1"/>
        <v>0.17585030562678533</v>
      </c>
      <c r="E23" s="2">
        <f t="shared" si="2"/>
        <v>0.17585030562678533</v>
      </c>
      <c r="F23" s="30">
        <f t="shared" si="3"/>
        <v>0.17585030562678536</v>
      </c>
      <c r="G23" s="30"/>
    </row>
    <row r="24" spans="2:7">
      <c r="B24" s="2">
        <f t="shared" si="4"/>
        <v>7.0371675440411368E-4</v>
      </c>
      <c r="C24" s="2">
        <f t="shared" si="0"/>
        <v>0.68454710592868995</v>
      </c>
      <c r="D24" s="2">
        <f t="shared" si="1"/>
        <v>-0.48404790064380249</v>
      </c>
      <c r="E24" s="2">
        <f t="shared" si="2"/>
        <v>-0.48404790064380249</v>
      </c>
      <c r="F24" s="30">
        <f t="shared" si="3"/>
        <v>-0.4840479006438026</v>
      </c>
      <c r="G24" s="30"/>
    </row>
    <row r="25" spans="2:7">
      <c r="B25" s="2">
        <f t="shared" si="4"/>
        <v>8.0424771931898709E-4</v>
      </c>
      <c r="C25" s="2">
        <f t="shared" si="0"/>
        <v>0.98228725072868861</v>
      </c>
      <c r="D25" s="2">
        <f t="shared" si="1"/>
        <v>-0.69458197606334615</v>
      </c>
      <c r="E25" s="2">
        <f t="shared" si="2"/>
        <v>-0.69458197606334615</v>
      </c>
      <c r="F25" s="30">
        <f t="shared" si="3"/>
        <v>-0.69458197606334626</v>
      </c>
      <c r="G25" s="30"/>
    </row>
    <row r="26" spans="2:7">
      <c r="B26" s="2">
        <f t="shared" si="4"/>
        <v>9.0477868423386051E-4</v>
      </c>
      <c r="C26" s="2">
        <f t="shared" si="0"/>
        <v>0.36812455268467631</v>
      </c>
      <c r="D26" s="2">
        <f t="shared" si="1"/>
        <v>-0.26030336752459909</v>
      </c>
      <c r="E26" s="2">
        <f t="shared" si="2"/>
        <v>-0.26030336752459909</v>
      </c>
      <c r="F26" s="30">
        <f t="shared" si="3"/>
        <v>-0.26030336752459915</v>
      </c>
      <c r="G26" s="30"/>
    </row>
    <row r="27" spans="2:7">
      <c r="B27" s="2">
        <f t="shared" si="4"/>
        <v>1.0053096491487339E-3</v>
      </c>
      <c r="C27" s="2">
        <f t="shared" si="0"/>
        <v>-0.58778525229247569</v>
      </c>
      <c r="D27" s="2">
        <f t="shared" si="1"/>
        <v>0.41562693777745519</v>
      </c>
      <c r="E27" s="2">
        <f t="shared" si="2"/>
        <v>0.41562693777745519</v>
      </c>
      <c r="F27" s="30">
        <f t="shared" si="3"/>
        <v>0.4156269377774553</v>
      </c>
      <c r="G27" s="30"/>
    </row>
    <row r="28" spans="2:7">
      <c r="B28" s="2">
        <f t="shared" si="4"/>
        <v>1.1058406140636073E-3</v>
      </c>
      <c r="C28" s="2">
        <f t="shared" si="0"/>
        <v>-0.99802672842827134</v>
      </c>
      <c r="D28" s="2">
        <f t="shared" si="1"/>
        <v>0.70571146747705549</v>
      </c>
      <c r="E28" s="2">
        <f t="shared" si="2"/>
        <v>0.70571146747705549</v>
      </c>
      <c r="F28" s="30">
        <f t="shared" si="3"/>
        <v>0.7057114674770556</v>
      </c>
      <c r="G28" s="30"/>
    </row>
    <row r="29" spans="2:7">
      <c r="B29" s="2">
        <f t="shared" si="4"/>
        <v>1.2063715789784807E-3</v>
      </c>
      <c r="C29" s="2">
        <f t="shared" si="0"/>
        <v>-0.48175367410171166</v>
      </c>
      <c r="D29" s="2">
        <f t="shared" si="1"/>
        <v>0.34065128981885434</v>
      </c>
      <c r="E29" s="2">
        <f t="shared" si="2"/>
        <v>0.34065128981885434</v>
      </c>
      <c r="F29" s="30">
        <f t="shared" si="3"/>
        <v>0.3406512898188544</v>
      </c>
      <c r="G29" s="30"/>
    </row>
    <row r="30" spans="2:7">
      <c r="B30" s="2">
        <f t="shared" si="4"/>
        <v>1.3069025438933542E-3</v>
      </c>
      <c r="C30" s="2">
        <f t="shared" si="0"/>
        <v>0.48175367410171699</v>
      </c>
      <c r="D30" s="2">
        <f t="shared" si="1"/>
        <v>-0.34065128981885812</v>
      </c>
      <c r="E30" s="2">
        <f t="shared" si="2"/>
        <v>-0.34065128981885812</v>
      </c>
      <c r="F30" s="30">
        <f t="shared" si="3"/>
        <v>-0.34065128981885817</v>
      </c>
      <c r="G30" s="30"/>
    </row>
    <row r="31" spans="2:7">
      <c r="B31" s="2">
        <f t="shared" si="4"/>
        <v>1.4074335088082276E-3</v>
      </c>
      <c r="C31" s="2">
        <f t="shared" si="0"/>
        <v>0.99802672842827178</v>
      </c>
      <c r="D31" s="2">
        <f t="shared" si="1"/>
        <v>-0.70571146747705582</v>
      </c>
      <c r="E31" s="2">
        <f t="shared" si="2"/>
        <v>-0.70571146747705582</v>
      </c>
      <c r="F31" s="30">
        <f t="shared" si="3"/>
        <v>-0.70571146747705593</v>
      </c>
      <c r="G31" s="30"/>
    </row>
    <row r="32" spans="2:7">
      <c r="B32" s="2">
        <f t="shared" si="4"/>
        <v>1.507964473723101E-3</v>
      </c>
      <c r="C32" s="2">
        <f t="shared" si="0"/>
        <v>0.58778525229246925</v>
      </c>
      <c r="D32" s="2">
        <f t="shared" si="1"/>
        <v>-0.41562693777745063</v>
      </c>
      <c r="E32" s="2">
        <f t="shared" si="2"/>
        <v>-0.41562693777745063</v>
      </c>
      <c r="F32" s="30">
        <f t="shared" si="3"/>
        <v>-0.41562693777745074</v>
      </c>
      <c r="G32" s="30"/>
    </row>
    <row r="33" spans="2:11">
      <c r="B33" s="2">
        <f t="shared" si="4"/>
        <v>1.6084954386379744E-3</v>
      </c>
      <c r="C33" s="2">
        <f t="shared" si="0"/>
        <v>-0.36812455268468203</v>
      </c>
      <c r="D33" s="2">
        <f t="shared" si="1"/>
        <v>0.26030336752460315</v>
      </c>
      <c r="E33" s="2">
        <f t="shared" si="2"/>
        <v>0.26030336752460315</v>
      </c>
      <c r="F33" s="30">
        <f t="shared" si="3"/>
        <v>0.2603033675246032</v>
      </c>
      <c r="G33" s="30"/>
    </row>
    <row r="34" spans="2:11">
      <c r="B34" s="2">
        <f t="shared" si="4"/>
        <v>1.7090264035528478E-3</v>
      </c>
      <c r="C34" s="2">
        <f t="shared" si="0"/>
        <v>-0.98228725072868972</v>
      </c>
      <c r="D34" s="2">
        <f t="shared" si="1"/>
        <v>0.69458197606334693</v>
      </c>
      <c r="E34" s="2">
        <f t="shared" si="2"/>
        <v>0.69458197606334693</v>
      </c>
      <c r="F34" s="30">
        <f t="shared" si="3"/>
        <v>0.69458197606334704</v>
      </c>
      <c r="G34" s="30"/>
    </row>
    <row r="35" spans="2:11">
      <c r="B35" s="2">
        <f t="shared" si="4"/>
        <v>1.8095573684677212E-3</v>
      </c>
      <c r="C35" s="2">
        <f t="shared" si="0"/>
        <v>-0.68454710592868351</v>
      </c>
      <c r="D35" s="2">
        <f t="shared" si="1"/>
        <v>0.48404790064379793</v>
      </c>
      <c r="E35" s="2">
        <f t="shared" si="2"/>
        <v>0.48404790064379793</v>
      </c>
      <c r="F35" s="30">
        <f t="shared" si="3"/>
        <v>0.48404790064379805</v>
      </c>
      <c r="G35" s="30"/>
    </row>
    <row r="36" spans="2:11">
      <c r="B36" s="2">
        <f t="shared" si="4"/>
        <v>1.9100883333825946E-3</v>
      </c>
      <c r="C36" s="2">
        <f t="shared" si="0"/>
        <v>0.24868988716486301</v>
      </c>
      <c r="D36" s="2">
        <f t="shared" si="1"/>
        <v>-0.17585030562679196</v>
      </c>
      <c r="E36" s="2">
        <f t="shared" si="2"/>
        <v>-0.17585030562679196</v>
      </c>
      <c r="F36" s="30">
        <f t="shared" si="3"/>
        <v>-0.17585030562679202</v>
      </c>
      <c r="G36" s="30"/>
      <c r="H36" s="6" t="s">
        <v>65</v>
      </c>
    </row>
    <row r="37" spans="2:11">
      <c r="B37" s="2">
        <f t="shared" si="4"/>
        <v>2.0106192982974678E-3</v>
      </c>
      <c r="C37" s="2">
        <f t="shared" si="0"/>
        <v>0.95105651629515553</v>
      </c>
      <c r="D37" s="2">
        <f t="shared" si="1"/>
        <v>-0.67249851196395871</v>
      </c>
      <c r="E37" s="2">
        <f t="shared" si="2"/>
        <v>-0.67249851196395871</v>
      </c>
      <c r="F37" s="30">
        <f t="shared" si="3"/>
        <v>-0.67249851196395882</v>
      </c>
      <c r="G37" s="30"/>
      <c r="H37" s="12" t="s">
        <v>64</v>
      </c>
      <c r="I37" s="12">
        <f>I3</f>
        <v>5</v>
      </c>
      <c r="J37" s="12" t="s">
        <v>17</v>
      </c>
      <c r="K37" s="13" t="str">
        <f>TRIM(H37)&amp;"   "&amp;IF(I37&gt;0,"+","")&amp;TRIM(I37)&amp;" "&amp;TRIM(J37)</f>
        <v>V+:   +5 V</v>
      </c>
    </row>
    <row r="38" spans="2:11">
      <c r="B38" s="2">
        <f t="shared" si="4"/>
        <v>2.1111502632123413E-3</v>
      </c>
      <c r="C38" s="2">
        <f t="shared" si="0"/>
        <v>0.77051324277578437</v>
      </c>
      <c r="D38" s="2">
        <f t="shared" si="1"/>
        <v>-0.54483513896079372</v>
      </c>
      <c r="E38" s="2">
        <f t="shared" si="2"/>
        <v>-0.54483513896079372</v>
      </c>
      <c r="F38" s="30">
        <f t="shared" si="3"/>
        <v>-0.54483513896079383</v>
      </c>
      <c r="G38" s="30"/>
      <c r="H38" s="12" t="s">
        <v>66</v>
      </c>
      <c r="I38" s="12">
        <f>I4</f>
        <v>-5</v>
      </c>
      <c r="J38" s="12" t="s">
        <v>17</v>
      </c>
      <c r="K38" s="13" t="str">
        <f t="shared" ref="K38:K39" si="5">TRIM(H38)&amp;"   "&amp;IF(I38&gt;0,"+","")&amp;TRIM(I38)&amp;" "&amp;TRIM(J38)</f>
        <v>V-:   -5 V</v>
      </c>
    </row>
    <row r="39" spans="2:11">
      <c r="B39" s="2">
        <f t="shared" si="4"/>
        <v>2.2116812281272147E-3</v>
      </c>
      <c r="C39" s="2">
        <f t="shared" si="0"/>
        <v>-0.12533323356430973</v>
      </c>
      <c r="D39" s="2">
        <f t="shared" si="1"/>
        <v>8.8623979361360808E-2</v>
      </c>
      <c r="E39" s="2">
        <f t="shared" si="2"/>
        <v>8.8623979361360808E-2</v>
      </c>
      <c r="F39" s="30">
        <f t="shared" si="3"/>
        <v>8.8623979361360822E-2</v>
      </c>
      <c r="G39" s="30"/>
      <c r="H39" s="12" t="s">
        <v>29</v>
      </c>
      <c r="I39" s="12">
        <f>I9</f>
        <v>1</v>
      </c>
      <c r="J39" s="12" t="s">
        <v>17</v>
      </c>
      <c r="K39" s="13" t="str">
        <f t="shared" si="5"/>
        <v>Vin:   +1 V</v>
      </c>
    </row>
    <row r="40" spans="2:11">
      <c r="B40" s="2">
        <f t="shared" si="4"/>
        <v>2.3122121930420881E-3</v>
      </c>
      <c r="C40" s="2">
        <f t="shared" si="0"/>
        <v>-0.90482705246602246</v>
      </c>
      <c r="D40" s="2">
        <f t="shared" si="1"/>
        <v>0.63980934459976047</v>
      </c>
      <c r="E40" s="2">
        <f t="shared" si="2"/>
        <v>0.63980934459976047</v>
      </c>
      <c r="F40" s="30">
        <f t="shared" si="3"/>
        <v>0.63980934459976058</v>
      </c>
      <c r="G40" s="30"/>
      <c r="H40" s="12" t="s">
        <v>67</v>
      </c>
      <c r="I40" s="12">
        <f>C2</f>
        <v>1</v>
      </c>
      <c r="J40" s="12" t="s">
        <v>16</v>
      </c>
      <c r="K40" s="13" t="str">
        <f>TRIM(H40)&amp;"   "&amp;TRIM(I40)&amp;" "&amp;TRIM(J40)</f>
        <v>R1:   1 K</v>
      </c>
    </row>
    <row r="41" spans="2:11">
      <c r="B41" s="2">
        <f t="shared" si="4"/>
        <v>2.4127431579569615E-3</v>
      </c>
      <c r="C41" s="2">
        <f t="shared" si="0"/>
        <v>-0.84432792550201063</v>
      </c>
      <c r="D41" s="2">
        <f t="shared" si="1"/>
        <v>0.59703000166764175</v>
      </c>
      <c r="E41" s="2">
        <f t="shared" si="2"/>
        <v>0.59703000166764175</v>
      </c>
      <c r="F41" s="30">
        <f t="shared" si="3"/>
        <v>0.59703000166764197</v>
      </c>
      <c r="G41" s="30"/>
      <c r="H41" s="12" t="s">
        <v>102</v>
      </c>
      <c r="I41" s="12">
        <f>C3</f>
        <v>0.1</v>
      </c>
      <c r="J41" s="12" t="s">
        <v>83</v>
      </c>
      <c r="K41" s="13" t="str">
        <f>TRIM(H41)&amp;"   "&amp;TRIM(I41)&amp;" "&amp;TRIM(J41)</f>
        <v>C1:   0.1 uF</v>
      </c>
    </row>
    <row r="42" spans="2:11">
      <c r="B42" s="2">
        <f t="shared" si="4"/>
        <v>2.5132741228718349E-3</v>
      </c>
      <c r="C42" s="2">
        <f t="shared" si="0"/>
        <v>9.6780222724746068E-15</v>
      </c>
      <c r="D42" s="2">
        <f t="shared" si="1"/>
        <v>-6.843395177341235E-15</v>
      </c>
      <c r="E42" s="2">
        <f t="shared" si="2"/>
        <v>-6.843395177341235E-15</v>
      </c>
      <c r="F42" s="30">
        <f t="shared" si="3"/>
        <v>-6.8433951773412358E-15</v>
      </c>
      <c r="G42" s="30"/>
      <c r="H42" s="12" t="s">
        <v>103</v>
      </c>
      <c r="I42" s="12">
        <f>ROUND(C9,0)</f>
        <v>1592</v>
      </c>
      <c r="J42" s="12" t="s">
        <v>80</v>
      </c>
      <c r="K42" s="13" t="str">
        <f>TRIM(H42)&amp;"   "&amp;TRIM(I42)&amp;" "&amp;TRIM(J42)</f>
        <v>f,signal:   1592 Hz</v>
      </c>
    </row>
    <row r="44" spans="2:11">
      <c r="B44" s="6" t="s">
        <v>92</v>
      </c>
    </row>
    <row r="45" spans="2:11" ht="15.5">
      <c r="B45" s="14"/>
      <c r="C45" s="2" t="s">
        <v>95</v>
      </c>
    </row>
    <row r="46" spans="2:11">
      <c r="B46" s="7" t="s">
        <v>93</v>
      </c>
      <c r="C46" s="7" t="s">
        <v>94</v>
      </c>
      <c r="D46" s="7" t="s">
        <v>97</v>
      </c>
      <c r="E46" s="7" t="s">
        <v>225</v>
      </c>
    </row>
    <row r="47" spans="2:11">
      <c r="B47" s="2">
        <v>1</v>
      </c>
      <c r="C47" s="2">
        <f t="shared" ref="C47:C78" si="6">20*LOG(-$C$6*(B47/$C$11)/SQRT(1+(B47/$C$11)^2))</f>
        <v>-64.036404347363259</v>
      </c>
      <c r="D47" s="2">
        <f t="shared" ref="D47:D78" si="7">1/(2*PI()*B47*$C$3*0.000001)</f>
        <v>1591549.4309189534</v>
      </c>
      <c r="E47" s="2">
        <f t="shared" ref="E47:E78" si="8">20*LOG(($C$4*1000)/SQRT(($C$2*1000)^2+D47^2))</f>
        <v>-64.036404347363259</v>
      </c>
    </row>
    <row r="48" spans="2:11">
      <c r="B48" s="2">
        <v>2</v>
      </c>
      <c r="C48" s="2">
        <f t="shared" si="6"/>
        <v>-58.015809577656228</v>
      </c>
      <c r="D48" s="2">
        <f t="shared" si="7"/>
        <v>795774.71545947669</v>
      </c>
      <c r="E48" s="2">
        <f t="shared" si="8"/>
        <v>-58.015809577656228</v>
      </c>
    </row>
    <row r="49" spans="2:5">
      <c r="B49" s="2">
        <v>3</v>
      </c>
      <c r="C49" s="2">
        <f t="shared" si="6"/>
        <v>-54.493992969150071</v>
      </c>
      <c r="D49" s="2">
        <f t="shared" si="7"/>
        <v>530516.4769729845</v>
      </c>
      <c r="E49" s="2">
        <f t="shared" si="8"/>
        <v>-54.493992969150071</v>
      </c>
    </row>
    <row r="50" spans="2:5">
      <c r="B50" s="2">
        <v>4</v>
      </c>
      <c r="C50" s="2">
        <f t="shared" si="6"/>
        <v>-51.995230238606084</v>
      </c>
      <c r="D50" s="2">
        <f t="shared" si="7"/>
        <v>397887.35772973835</v>
      </c>
      <c r="E50" s="2">
        <f t="shared" si="8"/>
        <v>-51.995230238606084</v>
      </c>
    </row>
    <row r="51" spans="2:5">
      <c r="B51" s="2">
        <v>5</v>
      </c>
      <c r="C51" s="2">
        <f t="shared" si="6"/>
        <v>-50.057045409053103</v>
      </c>
      <c r="D51" s="2">
        <f t="shared" si="7"/>
        <v>318309.88618379069</v>
      </c>
      <c r="E51" s="2">
        <f t="shared" si="8"/>
        <v>-50.057045409053103</v>
      </c>
    </row>
    <row r="52" spans="2:5">
      <c r="B52" s="2">
        <v>6</v>
      </c>
      <c r="C52" s="2">
        <f t="shared" si="6"/>
        <v>-48.473439347658328</v>
      </c>
      <c r="D52" s="2">
        <f t="shared" si="7"/>
        <v>265258.23848649225</v>
      </c>
      <c r="E52" s="2">
        <f t="shared" si="8"/>
        <v>-48.473439347658328</v>
      </c>
    </row>
    <row r="53" spans="2:5">
      <c r="B53" s="2">
        <v>7</v>
      </c>
      <c r="C53" s="2">
        <f t="shared" si="6"/>
        <v>-47.134525843508698</v>
      </c>
      <c r="D53" s="2">
        <f t="shared" si="7"/>
        <v>227364.20441699337</v>
      </c>
      <c r="E53" s="2">
        <f t="shared" si="8"/>
        <v>-47.134525843508698</v>
      </c>
    </row>
    <row r="54" spans="2:5">
      <c r="B54" s="2">
        <v>8</v>
      </c>
      <c r="C54" s="2">
        <f t="shared" si="6"/>
        <v>-45.974712621269717</v>
      </c>
      <c r="D54" s="2">
        <f t="shared" si="7"/>
        <v>198943.67886486917</v>
      </c>
      <c r="E54" s="2">
        <f t="shared" si="8"/>
        <v>-45.974712621269717</v>
      </c>
    </row>
    <row r="55" spans="2:5">
      <c r="B55" s="2">
        <v>9</v>
      </c>
      <c r="C55" s="2">
        <f t="shared" si="6"/>
        <v>-44.95169131842804</v>
      </c>
      <c r="D55" s="2">
        <f t="shared" si="7"/>
        <v>176838.82565766151</v>
      </c>
      <c r="E55" s="2">
        <f t="shared" si="8"/>
        <v>-44.95169131842804</v>
      </c>
    </row>
    <row r="56" spans="2:5">
      <c r="B56" s="2">
        <v>10</v>
      </c>
      <c r="C56" s="2">
        <f t="shared" si="6"/>
        <v>-44.036574082042648</v>
      </c>
      <c r="D56" s="2">
        <f t="shared" si="7"/>
        <v>159154.94309189534</v>
      </c>
      <c r="E56" s="2">
        <f t="shared" si="8"/>
        <v>-44.036574082042648</v>
      </c>
    </row>
    <row r="57" spans="2:5">
      <c r="B57" s="2">
        <v>20</v>
      </c>
      <c r="C57" s="2">
        <f t="shared" si="6"/>
        <v>-38.016488475771155</v>
      </c>
      <c r="D57" s="2">
        <f t="shared" si="7"/>
        <v>79577.471545947672</v>
      </c>
      <c r="E57" s="2">
        <f t="shared" si="8"/>
        <v>-38.016488475771155</v>
      </c>
    </row>
    <row r="58" spans="2:5">
      <c r="B58" s="2">
        <v>30</v>
      </c>
      <c r="C58" s="2">
        <f t="shared" si="6"/>
        <v>-34.495520337680738</v>
      </c>
      <c r="D58" s="2">
        <f t="shared" si="7"/>
        <v>53051.647697298446</v>
      </c>
      <c r="E58" s="2">
        <f t="shared" si="8"/>
        <v>-34.495520337680738</v>
      </c>
    </row>
    <row r="59" spans="2:5">
      <c r="B59" s="2">
        <v>40</v>
      </c>
      <c r="C59" s="2">
        <f t="shared" si="6"/>
        <v>-31.997945181679654</v>
      </c>
      <c r="D59" s="2">
        <f t="shared" si="7"/>
        <v>39788.735772973836</v>
      </c>
      <c r="E59" s="2">
        <f t="shared" si="8"/>
        <v>-31.997945181679647</v>
      </c>
    </row>
    <row r="60" spans="2:5">
      <c r="B60" s="2">
        <v>50</v>
      </c>
      <c r="C60" s="2">
        <f t="shared" si="6"/>
        <v>-30.061286747026475</v>
      </c>
      <c r="D60" s="2">
        <f t="shared" si="7"/>
        <v>31830.988618379066</v>
      </c>
      <c r="E60" s="2">
        <f t="shared" si="8"/>
        <v>-30.061286747026472</v>
      </c>
    </row>
    <row r="61" spans="2:5">
      <c r="B61" s="2">
        <v>60</v>
      </c>
      <c r="C61" s="2">
        <f t="shared" si="6"/>
        <v>-28.479545536424663</v>
      </c>
      <c r="D61" s="2">
        <f t="shared" si="7"/>
        <v>26525.823848649223</v>
      </c>
      <c r="E61" s="2">
        <f t="shared" si="8"/>
        <v>-28.479545536424659</v>
      </c>
    </row>
    <row r="62" spans="2:5">
      <c r="B62" s="2">
        <v>70</v>
      </c>
      <c r="C62" s="2">
        <f t="shared" si="6"/>
        <v>-27.142834894090729</v>
      </c>
      <c r="D62" s="2">
        <f t="shared" si="7"/>
        <v>22736.420441699334</v>
      </c>
      <c r="E62" s="2">
        <f t="shared" si="8"/>
        <v>-27.142834894090726</v>
      </c>
    </row>
    <row r="63" spans="2:5">
      <c r="B63" s="2">
        <v>80</v>
      </c>
      <c r="C63" s="2">
        <f t="shared" si="6"/>
        <v>-25.985562019762796</v>
      </c>
      <c r="D63" s="2">
        <f t="shared" si="7"/>
        <v>19894.367886486918</v>
      </c>
      <c r="E63" s="2">
        <f t="shared" si="8"/>
        <v>-25.985562019762796</v>
      </c>
    </row>
    <row r="64" spans="2:5">
      <c r="B64" s="2">
        <v>90</v>
      </c>
      <c r="C64" s="2">
        <f t="shared" si="6"/>
        <v>-24.965417946355046</v>
      </c>
      <c r="D64" s="2">
        <f t="shared" si="7"/>
        <v>17683.882565766147</v>
      </c>
      <c r="E64" s="2">
        <f t="shared" si="8"/>
        <v>-24.965417946355043</v>
      </c>
    </row>
    <row r="65" spans="2:5">
      <c r="B65" s="2">
        <v>100</v>
      </c>
      <c r="C65" s="2">
        <f t="shared" si="6"/>
        <v>-24.053514137182283</v>
      </c>
      <c r="D65" s="2">
        <f t="shared" si="7"/>
        <v>15915.494309189533</v>
      </c>
      <c r="E65" s="2">
        <f t="shared" si="8"/>
        <v>-24.053514137182283</v>
      </c>
    </row>
    <row r="66" spans="2:5">
      <c r="B66" s="2">
        <v>200</v>
      </c>
      <c r="C66" s="2">
        <f t="shared" si="6"/>
        <v>-18.083847895032541</v>
      </c>
      <c r="D66" s="2">
        <f t="shared" si="7"/>
        <v>7957.7471545947665</v>
      </c>
      <c r="E66" s="2">
        <f t="shared" si="8"/>
        <v>-18.083847895032541</v>
      </c>
    </row>
    <row r="67" spans="2:5">
      <c r="B67" s="2">
        <v>300</v>
      </c>
      <c r="C67" s="2">
        <f t="shared" si="6"/>
        <v>-14.645606805642606</v>
      </c>
      <c r="D67" s="2">
        <f t="shared" si="7"/>
        <v>5305.1647697298449</v>
      </c>
      <c r="E67" s="2">
        <f t="shared" si="8"/>
        <v>-14.645606805642604</v>
      </c>
    </row>
    <row r="68" spans="2:5">
      <c r="B68" s="2">
        <v>400</v>
      </c>
      <c r="C68" s="2">
        <f t="shared" si="6"/>
        <v>-12.261211428175207</v>
      </c>
      <c r="D68" s="2">
        <f t="shared" si="7"/>
        <v>3978.8735772973832</v>
      </c>
      <c r="E68" s="2">
        <f t="shared" si="8"/>
        <v>-12.261211428175205</v>
      </c>
    </row>
    <row r="69" spans="2:5">
      <c r="B69" s="2">
        <v>500</v>
      </c>
      <c r="C69" s="2">
        <f t="shared" si="6"/>
        <v>-10.465778154000846</v>
      </c>
      <c r="D69" s="2">
        <f t="shared" si="7"/>
        <v>3183.098861837907</v>
      </c>
      <c r="E69" s="2">
        <f t="shared" si="8"/>
        <v>-10.465778154000844</v>
      </c>
    </row>
    <row r="70" spans="2:5">
      <c r="B70" s="2">
        <v>600</v>
      </c>
      <c r="C70" s="2">
        <f t="shared" si="6"/>
        <v>-9.0505037504027825</v>
      </c>
      <c r="D70" s="2">
        <f t="shared" si="7"/>
        <v>2652.5823848649225</v>
      </c>
      <c r="E70" s="2">
        <f t="shared" si="8"/>
        <v>-9.0505037504027825</v>
      </c>
    </row>
    <row r="71" spans="2:5">
      <c r="B71" s="2">
        <v>700</v>
      </c>
      <c r="C71" s="2">
        <f t="shared" si="6"/>
        <v>-7.902463182807951</v>
      </c>
      <c r="D71" s="2">
        <f t="shared" si="7"/>
        <v>2273.6420441699333</v>
      </c>
      <c r="E71" s="2">
        <f t="shared" si="8"/>
        <v>-7.9024631828079475</v>
      </c>
    </row>
    <row r="72" spans="2:5">
      <c r="B72" s="2">
        <v>800</v>
      </c>
      <c r="C72" s="2">
        <f t="shared" si="6"/>
        <v>-6.9529414828150209</v>
      </c>
      <c r="D72" s="2">
        <f t="shared" si="7"/>
        <v>1989.4367886486916</v>
      </c>
      <c r="E72" s="2">
        <f t="shared" si="8"/>
        <v>-6.9529414828150191</v>
      </c>
    </row>
    <row r="73" spans="2:5">
      <c r="B73" s="2">
        <v>900</v>
      </c>
      <c r="C73" s="2">
        <f t="shared" si="6"/>
        <v>-6.1565520191868082</v>
      </c>
      <c r="D73" s="2">
        <f t="shared" si="7"/>
        <v>1768.388256576615</v>
      </c>
      <c r="E73" s="2">
        <f t="shared" si="8"/>
        <v>-6.1565520191868082</v>
      </c>
    </row>
    <row r="74" spans="2:5">
      <c r="B74" s="2">
        <v>1000</v>
      </c>
      <c r="C74" s="2">
        <f t="shared" si="6"/>
        <v>-5.4814727490429869</v>
      </c>
      <c r="D74" s="2">
        <f t="shared" si="7"/>
        <v>1591.5494309189535</v>
      </c>
      <c r="E74" s="2">
        <f t="shared" si="8"/>
        <v>-5.481472749042986</v>
      </c>
    </row>
    <row r="75" spans="2:5">
      <c r="B75" s="2">
        <v>2000</v>
      </c>
      <c r="C75" s="2">
        <f t="shared" si="6"/>
        <v>-2.1305463398327849</v>
      </c>
      <c r="D75" s="2">
        <f t="shared" si="7"/>
        <v>795.77471545947674</v>
      </c>
      <c r="E75" s="2">
        <f t="shared" si="8"/>
        <v>-2.1305463398327862</v>
      </c>
    </row>
    <row r="76" spans="2:5">
      <c r="B76" s="2">
        <v>3000</v>
      </c>
      <c r="C76" s="2">
        <f t="shared" si="6"/>
        <v>-1.0770089688832909</v>
      </c>
      <c r="D76" s="2">
        <f t="shared" si="7"/>
        <v>530.51647697298449</v>
      </c>
      <c r="E76" s="2">
        <f t="shared" si="8"/>
        <v>-1.0770089688832887</v>
      </c>
    </row>
    <row r="77" spans="2:5">
      <c r="B77" s="2">
        <v>4000</v>
      </c>
      <c r="C77" s="2">
        <f t="shared" si="6"/>
        <v>-0.63826436508185269</v>
      </c>
      <c r="D77" s="2">
        <f t="shared" si="7"/>
        <v>397.88735772973837</v>
      </c>
      <c r="E77" s="2">
        <f t="shared" si="8"/>
        <v>-0.6382643650818538</v>
      </c>
    </row>
    <row r="78" spans="2:5">
      <c r="B78" s="2">
        <v>5000</v>
      </c>
      <c r="C78" s="2">
        <f t="shared" si="6"/>
        <v>-0.41913992851628978</v>
      </c>
      <c r="D78" s="2">
        <f t="shared" si="7"/>
        <v>318.30988618379064</v>
      </c>
      <c r="E78" s="2">
        <f t="shared" si="8"/>
        <v>-0.41913992851628978</v>
      </c>
    </row>
    <row r="79" spans="2:5">
      <c r="B79" s="2">
        <v>6000</v>
      </c>
      <c r="C79" s="2">
        <f t="shared" ref="C79:C101" si="9">20*LOG(-$C$6*(B79/$C$11)/SQRT(1+(B79/$C$11)^2))</f>
        <v>-0.29530655220904345</v>
      </c>
      <c r="D79" s="2">
        <f t="shared" ref="D79:D101" si="10">1/(2*PI()*B79*$C$3*0.000001)</f>
        <v>265.25823848649225</v>
      </c>
      <c r="E79" s="2">
        <f t="shared" ref="E79:E101" si="11">20*LOG(($C$4*1000)/SQRT(($C$2*1000)^2+D79^2))</f>
        <v>-0.29530655220904345</v>
      </c>
    </row>
    <row r="80" spans="2:5">
      <c r="B80" s="2">
        <v>7000</v>
      </c>
      <c r="C80" s="2">
        <f t="shared" si="9"/>
        <v>-0.21889595054388702</v>
      </c>
      <c r="D80" s="2">
        <f t="shared" si="10"/>
        <v>227.36420441699337</v>
      </c>
      <c r="E80" s="2">
        <f t="shared" si="11"/>
        <v>-0.21889595054388805</v>
      </c>
    </row>
    <row r="81" spans="2:5">
      <c r="B81" s="2">
        <v>8000</v>
      </c>
      <c r="C81" s="2">
        <f t="shared" si="9"/>
        <v>-0.16857325574029966</v>
      </c>
      <c r="D81" s="2">
        <f t="shared" si="10"/>
        <v>198.94367886486918</v>
      </c>
      <c r="E81" s="2">
        <f t="shared" si="11"/>
        <v>-0.16857325574029966</v>
      </c>
    </row>
    <row r="82" spans="2:5">
      <c r="B82" s="2">
        <v>9000</v>
      </c>
      <c r="C82" s="2">
        <f t="shared" si="9"/>
        <v>-0.13373213883836513</v>
      </c>
      <c r="D82" s="2">
        <f t="shared" si="10"/>
        <v>176.83882565766146</v>
      </c>
      <c r="E82" s="2">
        <f t="shared" si="11"/>
        <v>-0.13373213883836513</v>
      </c>
    </row>
    <row r="83" spans="2:5">
      <c r="B83" s="2">
        <v>10000</v>
      </c>
      <c r="C83" s="2">
        <f t="shared" si="9"/>
        <v>-0.1086378986432171</v>
      </c>
      <c r="D83" s="2">
        <f t="shared" si="10"/>
        <v>159.15494309189532</v>
      </c>
      <c r="E83" s="2">
        <f t="shared" si="11"/>
        <v>-0.1086378986432171</v>
      </c>
    </row>
    <row r="84" spans="2:5">
      <c r="B84" s="2">
        <v>20000</v>
      </c>
      <c r="C84" s="2">
        <f t="shared" si="9"/>
        <v>-2.7415305948140126E-2</v>
      </c>
      <c r="D84" s="2">
        <f t="shared" si="10"/>
        <v>79.57747154594766</v>
      </c>
      <c r="E84" s="2">
        <f t="shared" si="11"/>
        <v>-2.7415305948140126E-2</v>
      </c>
    </row>
    <row r="85" spans="2:5">
      <c r="B85" s="2">
        <v>30000</v>
      </c>
      <c r="C85" s="2">
        <f t="shared" si="9"/>
        <v>-1.2205951069602282E-2</v>
      </c>
      <c r="D85" s="2">
        <f t="shared" si="10"/>
        <v>53.051647697298449</v>
      </c>
      <c r="E85" s="2">
        <f t="shared" si="11"/>
        <v>-1.2205951069602282E-2</v>
      </c>
    </row>
    <row r="86" spans="2:5">
      <c r="B86" s="2">
        <v>40000</v>
      </c>
      <c r="C86" s="2">
        <f t="shared" si="9"/>
        <v>-6.8700681187759752E-3</v>
      </c>
      <c r="D86" s="2">
        <f t="shared" si="10"/>
        <v>39.78873577297383</v>
      </c>
      <c r="E86" s="2">
        <f t="shared" si="11"/>
        <v>-6.8700681187759752E-3</v>
      </c>
    </row>
    <row r="87" spans="2:5">
      <c r="B87" s="2">
        <v>50000</v>
      </c>
      <c r="C87" s="2">
        <f t="shared" si="9"/>
        <v>-4.3980953704993043E-3</v>
      </c>
      <c r="D87" s="2">
        <f t="shared" si="10"/>
        <v>31.830988618379067</v>
      </c>
      <c r="E87" s="2">
        <f t="shared" si="11"/>
        <v>-4.3980953704993043E-3</v>
      </c>
    </row>
    <row r="88" spans="2:5">
      <c r="B88" s="2">
        <v>60000</v>
      </c>
      <c r="C88" s="2">
        <f t="shared" si="9"/>
        <v>-3.0547053785892125E-3</v>
      </c>
      <c r="D88" s="2">
        <f t="shared" si="10"/>
        <v>26.525823848649225</v>
      </c>
      <c r="E88" s="2">
        <f t="shared" si="11"/>
        <v>-3.0547053785901774E-3</v>
      </c>
    </row>
    <row r="89" spans="2:5">
      <c r="B89" s="2">
        <v>70000</v>
      </c>
      <c r="C89" s="2">
        <f t="shared" si="9"/>
        <v>-2.2444827169850251E-3</v>
      </c>
      <c r="D89" s="2">
        <f t="shared" si="10"/>
        <v>22.736420441699334</v>
      </c>
      <c r="E89" s="2">
        <f t="shared" si="11"/>
        <v>-2.2444827169850251E-3</v>
      </c>
    </row>
    <row r="90" spans="2:5">
      <c r="B90" s="2">
        <v>80000</v>
      </c>
      <c r="C90" s="2">
        <f t="shared" si="9"/>
        <v>-1.7185361454735751E-3</v>
      </c>
      <c r="D90" s="2">
        <f t="shared" si="10"/>
        <v>19.894367886486915</v>
      </c>
      <c r="E90" s="2">
        <f t="shared" si="11"/>
        <v>-1.7185361454735751E-3</v>
      </c>
    </row>
    <row r="91" spans="2:5">
      <c r="B91" s="2">
        <v>90000</v>
      </c>
      <c r="C91" s="2">
        <f t="shared" si="9"/>
        <v>-1.3579121003449407E-3</v>
      </c>
      <c r="D91" s="2">
        <f t="shared" si="10"/>
        <v>17.683882565766147</v>
      </c>
      <c r="E91" s="2">
        <f t="shared" si="11"/>
        <v>-1.3579121003459054E-3</v>
      </c>
    </row>
    <row r="92" spans="2:5">
      <c r="B92" s="2">
        <v>100000</v>
      </c>
      <c r="C92" s="2">
        <f t="shared" si="9"/>
        <v>-1.0999414705602853E-3</v>
      </c>
      <c r="D92" s="2">
        <f t="shared" si="10"/>
        <v>15.915494309189533</v>
      </c>
      <c r="E92" s="2">
        <f t="shared" si="11"/>
        <v>-1.0999414705593208E-3</v>
      </c>
    </row>
    <row r="93" spans="2:5">
      <c r="B93" s="2">
        <v>200000</v>
      </c>
      <c r="C93" s="2">
        <f t="shared" si="9"/>
        <v>-2.7501148591186036E-4</v>
      </c>
      <c r="D93" s="2">
        <f t="shared" si="10"/>
        <v>7.9577471545947667</v>
      </c>
      <c r="E93" s="2">
        <f t="shared" si="11"/>
        <v>-2.7501148591282476E-4</v>
      </c>
    </row>
    <row r="94" spans="2:5">
      <c r="B94" s="2">
        <v>300000</v>
      </c>
      <c r="C94" s="2">
        <f t="shared" si="9"/>
        <v>-1.2222947704761892E-4</v>
      </c>
      <c r="D94" s="2">
        <f t="shared" si="10"/>
        <v>5.3051647697298447</v>
      </c>
      <c r="E94" s="2">
        <f t="shared" si="11"/>
        <v>-1.2222947704761892E-4</v>
      </c>
    </row>
    <row r="95" spans="2:5">
      <c r="B95" s="2">
        <v>400000</v>
      </c>
      <c r="C95" s="2">
        <f t="shared" si="9"/>
        <v>-6.8754504128880093E-5</v>
      </c>
      <c r="D95" s="2">
        <f t="shared" si="10"/>
        <v>3.9788735772973833</v>
      </c>
      <c r="E95" s="2">
        <f t="shared" si="11"/>
        <v>-6.8754504127915749E-5</v>
      </c>
    </row>
    <row r="96" spans="2:5">
      <c r="B96" s="2">
        <v>500000</v>
      </c>
      <c r="C96" s="2">
        <f t="shared" si="9"/>
        <v>-4.4003008033814247E-5</v>
      </c>
      <c r="D96" s="2">
        <f t="shared" si="10"/>
        <v>3.1830988618379075</v>
      </c>
      <c r="E96" s="2">
        <f t="shared" si="11"/>
        <v>-4.4003008034778577E-5</v>
      </c>
    </row>
    <row r="97" spans="2:5">
      <c r="B97" s="2">
        <v>600000</v>
      </c>
      <c r="C97" s="2">
        <f t="shared" si="9"/>
        <v>-3.0557691770040345E-5</v>
      </c>
      <c r="D97" s="2">
        <f t="shared" si="10"/>
        <v>2.6525823848649224</v>
      </c>
      <c r="E97" s="2">
        <f t="shared" si="11"/>
        <v>-3.0557691771004675E-5</v>
      </c>
    </row>
    <row r="98" spans="2:5">
      <c r="B98" s="2">
        <v>700000</v>
      </c>
      <c r="C98" s="2">
        <f t="shared" si="9"/>
        <v>-2.2450570011073854E-5</v>
      </c>
      <c r="D98" s="2">
        <f t="shared" si="10"/>
        <v>2.2736420441699337</v>
      </c>
      <c r="E98" s="2">
        <f t="shared" si="11"/>
        <v>-2.2450570010109524E-5</v>
      </c>
    </row>
    <row r="99" spans="2:5">
      <c r="B99" s="2">
        <v>800000</v>
      </c>
      <c r="C99" s="2">
        <f t="shared" si="9"/>
        <v>-1.7188728077354363E-5</v>
      </c>
      <c r="D99" s="2">
        <f t="shared" si="10"/>
        <v>1.9894367886486917</v>
      </c>
      <c r="E99" s="2">
        <f t="shared" si="11"/>
        <v>-1.7188728076390032E-5</v>
      </c>
    </row>
    <row r="100" spans="2:5">
      <c r="B100" s="2">
        <v>900000</v>
      </c>
      <c r="C100" s="2">
        <f t="shared" si="9"/>
        <v>-1.3581222887220424E-5</v>
      </c>
      <c r="D100" s="2">
        <f t="shared" si="10"/>
        <v>1.7683882565766149</v>
      </c>
      <c r="E100" s="2">
        <f t="shared" si="11"/>
        <v>-1.3581222886256095E-5</v>
      </c>
    </row>
    <row r="101" spans="2:5">
      <c r="B101" s="2">
        <v>1000000</v>
      </c>
      <c r="C101" s="2">
        <f t="shared" si="9"/>
        <v>-1.1000793805966119E-5</v>
      </c>
      <c r="D101" s="2">
        <f t="shared" si="10"/>
        <v>1.5915494309189537</v>
      </c>
      <c r="E101" s="2">
        <f t="shared" si="11"/>
        <v>-1.1000793806930447E-5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Signal Generator</vt:lpstr>
      <vt:lpstr>Comparator</vt:lpstr>
      <vt:lpstr>Buffer</vt:lpstr>
      <vt:lpstr>Attenuator</vt:lpstr>
      <vt:lpstr>Unity LPF</vt:lpstr>
      <vt:lpstr>Unity HPF</vt:lpstr>
      <vt:lpstr>Inv</vt:lpstr>
      <vt:lpstr>Inv LPF</vt:lpstr>
      <vt:lpstr>Inv HPF</vt:lpstr>
      <vt:lpstr>InvAmp-BAD</vt:lpstr>
      <vt:lpstr>Inv+Bias</vt:lpstr>
      <vt:lpstr>Inv+Bias Vhalf</vt:lpstr>
      <vt:lpstr>Inv+Bias - Calculate R</vt:lpstr>
      <vt:lpstr>Inv + Bias LPF</vt:lpstr>
      <vt:lpstr>NonInv</vt:lpstr>
      <vt:lpstr>NonInv CMC</vt:lpstr>
      <vt:lpstr>NonInv Thermocouple</vt:lpstr>
      <vt:lpstr>NonInv LPF</vt:lpstr>
      <vt:lpstr>NonInv LPF (Unity)</vt:lpstr>
      <vt:lpstr>NonInv HPF1</vt:lpstr>
      <vt:lpstr>NonInv HPF2</vt:lpstr>
      <vt:lpstr>NonInv+Bias</vt:lpstr>
      <vt:lpstr>NonInv+Bias Vhalf</vt:lpstr>
      <vt:lpstr>NonInv+Bias - Calculate R</vt:lpstr>
      <vt:lpstr>Diff</vt:lpstr>
      <vt:lpstr>Sum Inv</vt:lpstr>
      <vt:lpstr>Sum Inv - 3 inputs</vt:lpstr>
      <vt:lpstr>Sum Non-Inv</vt:lpstr>
      <vt:lpstr>Sum Non-Inv - Calculate R</vt:lpstr>
      <vt:lpstr>Transimpedance</vt:lpstr>
      <vt:lpstr>Transimpedance + Bias</vt:lpstr>
      <vt:lpstr>Op-Amps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Dubins</dc:creator>
  <cp:lastModifiedBy>David Dubins</cp:lastModifiedBy>
  <dcterms:created xsi:type="dcterms:W3CDTF">2019-10-24T19:55:34Z</dcterms:created>
  <dcterms:modified xsi:type="dcterms:W3CDTF">2024-11-20T16:42:49Z</dcterms:modified>
</cp:coreProperties>
</file>