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drawings/drawing13.xml" ContentType="application/vnd.openxmlformats-officedocument.drawing+xml"/>
  <Override PartName="/xl/charts/chart18.xml" ContentType="application/vnd.openxmlformats-officedocument.drawingml.chart+xml"/>
  <Override PartName="/xl/drawings/drawing14.xml" ContentType="application/vnd.openxmlformats-officedocument.drawing+xml"/>
  <Override PartName="/xl/charts/chart19.xml" ContentType="application/vnd.openxmlformats-officedocument.drawingml.chart+xml"/>
  <Override PartName="/xl/drawings/drawing1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xml"/>
  <Override PartName="/xl/charts/chart35.xml" ContentType="application/vnd.openxmlformats-officedocument.drawingml.chart+xml"/>
  <Override PartName="/xl/drawings/drawing24.xml" ContentType="application/vnd.openxmlformats-officedocument.drawing+xml"/>
  <Override PartName="/xl/charts/chart36.xml" ContentType="application/vnd.openxmlformats-officedocument.drawingml.chart+xml"/>
  <Override PartName="/xl/drawings/drawing25.xml" ContentType="application/vnd.openxmlformats-officedocument.drawing+xml"/>
  <Override PartName="/xl/charts/chart37.xml" ContentType="application/vnd.openxmlformats-officedocument.drawingml.chart+xml"/>
  <Override PartName="/xl/drawings/drawing26.xml" ContentType="application/vnd.openxmlformats-officedocument.drawing+xml"/>
  <Override PartName="/xl/charts/chart38.xml" ContentType="application/vnd.openxmlformats-officedocument.drawingml.chart+xml"/>
  <Override PartName="/xl/drawings/drawing27.xml" ContentType="application/vnd.openxmlformats-officedocument.drawing+xml"/>
  <Override PartName="/xl/charts/chart39.xml" ContentType="application/vnd.openxmlformats-officedocument.drawingml.chart+xml"/>
  <Override PartName="/xl/drawings/drawing28.xml" ContentType="application/vnd.openxmlformats-officedocument.drawing+xml"/>
  <Override PartName="/xl/charts/chart40.xml" ContentType="application/vnd.openxmlformats-officedocument.drawingml.chart+xml"/>
  <Override PartName="/xl/drawings/drawing29.xml" ContentType="application/vnd.openxmlformats-officedocument.drawing+xml"/>
  <Override PartName="/xl/charts/chart41.xml" ContentType="application/vnd.openxmlformats-officedocument.drawingml.chart+xml"/>
  <Override PartName="/xl/drawings/drawing30.xml" ContentType="application/vnd.openxmlformats-officedocument.drawing+xml"/>
  <Override PartName="/xl/charts/chart42.xml" ContentType="application/vnd.openxmlformats-officedocument.drawingml.chart+xml"/>
  <Override PartName="/xl/drawings/drawing31.xml" ContentType="application/vnd.openxmlformats-officedocument.drawing+xml"/>
  <Override PartName="/xl/charts/chart43.xml" ContentType="application/vnd.openxmlformats-officedocument.drawingml.chart+xml"/>
  <Override PartName="/xl/drawings/drawing32.xml" ContentType="application/vnd.openxmlformats-officedocument.drawing+xml"/>
  <Override PartName="/xl/charts/chart44.xml" ContentType="application/vnd.openxmlformats-officedocument.drawingml.chart+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ddubi\Downloads\"/>
    </mc:Choice>
  </mc:AlternateContent>
  <xr:revisionPtr revIDLastSave="0" documentId="13_ncr:1_{AAC12548-E136-468F-8703-30452CDAD3AF}" xr6:coauthVersionLast="47" xr6:coauthVersionMax="47" xr10:uidLastSave="{00000000-0000-0000-0000-000000000000}"/>
  <bookViews>
    <workbookView xWindow="-120" yWindow="-120" windowWidth="29040" windowHeight="1572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Unity BPF" sheetId="46" r:id="rId7"/>
    <sheet name="Inv" sheetId="12" r:id="rId8"/>
    <sheet name="Inv LPF" sheetId="25" r:id="rId9"/>
    <sheet name="Inv HPF" sheetId="30" r:id="rId10"/>
    <sheet name="InvAmp-BAD" sheetId="13" r:id="rId11"/>
    <sheet name="Inv+Bias" sheetId="14" r:id="rId12"/>
    <sheet name="Inv+Bias Vhalf" sheetId="45" r:id="rId13"/>
    <sheet name="Inv+Bias - Calculate R" sheetId="22" r:id="rId14"/>
    <sheet name="Inv + Bias LPF" sheetId="33" r:id="rId15"/>
    <sheet name="NonInv" sheetId="15" r:id="rId16"/>
    <sheet name="NonInv CMC" sheetId="36" r:id="rId17"/>
    <sheet name="NonInv Thermocouple" sheetId="43" r:id="rId18"/>
    <sheet name="NonInv LPF" sheetId="42" r:id="rId19"/>
    <sheet name="NonInv LPF (Unity)" sheetId="27" r:id="rId20"/>
    <sheet name="NonInv HPF1" sheetId="31" r:id="rId21"/>
    <sheet name="NonInv HPF2" sheetId="41" r:id="rId22"/>
    <sheet name="NonInv+Bias" sheetId="16" r:id="rId23"/>
    <sheet name="NonInv+Bias Vhalf" sheetId="44" r:id="rId24"/>
    <sheet name="NonInv+Bias - Calculate R" sheetId="21" r:id="rId25"/>
    <sheet name="Diff" sheetId="18" r:id="rId26"/>
    <sheet name="Sum Inv" sheetId="19" r:id="rId27"/>
    <sheet name="Sum Inv - 3 inputs" sheetId="23" r:id="rId28"/>
    <sheet name="Sum Non-Inv" sheetId="11" r:id="rId29"/>
    <sheet name="Sum Non-Inv - Calculate R" sheetId="24" r:id="rId30"/>
    <sheet name="Transimpedance" sheetId="39" r:id="rId31"/>
    <sheet name="Transimpedance + Bias" sheetId="38" r:id="rId32"/>
    <sheet name="Op-Amps" sheetId="34"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46" l="1"/>
  <c r="I44" i="46"/>
  <c r="I43" i="46"/>
  <c r="K44" i="46"/>
  <c r="K43" i="46"/>
  <c r="F11" i="46"/>
  <c r="F10" i="46"/>
  <c r="F9"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82" i="46"/>
  <c r="E83" i="46"/>
  <c r="E84" i="46"/>
  <c r="E85" i="46"/>
  <c r="E86" i="46"/>
  <c r="E87" i="46"/>
  <c r="E88" i="46"/>
  <c r="E89" i="46"/>
  <c r="E90" i="46"/>
  <c r="E91" i="46"/>
  <c r="E92" i="46"/>
  <c r="E93" i="46"/>
  <c r="E94" i="46"/>
  <c r="E95" i="46"/>
  <c r="E96" i="46"/>
  <c r="E97" i="46"/>
  <c r="E98" i="46"/>
  <c r="E99" i="46"/>
  <c r="E100" i="46"/>
  <c r="E101" i="46"/>
  <c r="E102" i="46"/>
  <c r="E48" i="46"/>
  <c r="F49" i="46"/>
  <c r="F50" i="46"/>
  <c r="F51" i="46"/>
  <c r="F52" i="46"/>
  <c r="F53" i="46"/>
  <c r="F54" i="46"/>
  <c r="F55" i="46"/>
  <c r="F56" i="46"/>
  <c r="F57" i="46"/>
  <c r="F58" i="46"/>
  <c r="F59" i="46"/>
  <c r="F60" i="46"/>
  <c r="F61" i="46"/>
  <c r="F62" i="46"/>
  <c r="F63" i="46"/>
  <c r="F64" i="46"/>
  <c r="F65" i="46"/>
  <c r="F66" i="46"/>
  <c r="F67" i="46"/>
  <c r="F68" i="46"/>
  <c r="F69" i="46"/>
  <c r="F70" i="46"/>
  <c r="F71" i="46"/>
  <c r="F72" i="46"/>
  <c r="F73" i="46"/>
  <c r="F74" i="46"/>
  <c r="F75" i="46"/>
  <c r="F76" i="46"/>
  <c r="F77" i="46"/>
  <c r="F78" i="46"/>
  <c r="F79" i="46"/>
  <c r="F80" i="46"/>
  <c r="F81" i="46"/>
  <c r="F82" i="46"/>
  <c r="F83" i="46"/>
  <c r="F84" i="46"/>
  <c r="F85" i="46"/>
  <c r="F86" i="46"/>
  <c r="F87" i="46"/>
  <c r="F88" i="46"/>
  <c r="F89" i="46"/>
  <c r="F90" i="46"/>
  <c r="F91" i="46"/>
  <c r="F92" i="46"/>
  <c r="F93" i="46"/>
  <c r="F94" i="46"/>
  <c r="F95" i="46"/>
  <c r="F96" i="46"/>
  <c r="F97" i="46"/>
  <c r="F98" i="46"/>
  <c r="F99" i="46"/>
  <c r="F100" i="46"/>
  <c r="F101" i="46"/>
  <c r="F102" i="46"/>
  <c r="F48" i="46"/>
  <c r="F7" i="46"/>
  <c r="D49" i="46"/>
  <c r="D50" i="46"/>
  <c r="D51" i="46"/>
  <c r="D52" i="46"/>
  <c r="D53" i="46"/>
  <c r="D54" i="46"/>
  <c r="D55" i="46"/>
  <c r="D56" i="46"/>
  <c r="D57" i="46"/>
  <c r="D58" i="46"/>
  <c r="D59" i="46"/>
  <c r="D60" i="46"/>
  <c r="D61" i="46"/>
  <c r="D62" i="46"/>
  <c r="D63" i="46"/>
  <c r="D64" i="46"/>
  <c r="D65" i="46"/>
  <c r="D66" i="46"/>
  <c r="D67" i="46"/>
  <c r="D68" i="46"/>
  <c r="D69" i="46"/>
  <c r="D70" i="46"/>
  <c r="D71" i="46"/>
  <c r="D72" i="46"/>
  <c r="D73" i="46"/>
  <c r="D74" i="46"/>
  <c r="D75" i="46"/>
  <c r="D76" i="46"/>
  <c r="D77" i="46"/>
  <c r="D78" i="46"/>
  <c r="D79" i="46"/>
  <c r="D80" i="46"/>
  <c r="D81" i="46"/>
  <c r="D82" i="46"/>
  <c r="D83" i="46"/>
  <c r="D84" i="46"/>
  <c r="D85" i="46"/>
  <c r="D86" i="46"/>
  <c r="D87" i="46"/>
  <c r="D88" i="46"/>
  <c r="D89" i="46"/>
  <c r="D90" i="46"/>
  <c r="D91" i="46"/>
  <c r="D92" i="46"/>
  <c r="D93" i="46"/>
  <c r="D94" i="46"/>
  <c r="D95" i="46"/>
  <c r="D96" i="46"/>
  <c r="D97" i="46"/>
  <c r="D98" i="46"/>
  <c r="D99" i="46"/>
  <c r="D100" i="46"/>
  <c r="D101" i="46"/>
  <c r="D102" i="46"/>
  <c r="D48" i="46"/>
  <c r="C102" i="46"/>
  <c r="C101" i="46"/>
  <c r="C100" i="46"/>
  <c r="C99" i="46"/>
  <c r="C98" i="46"/>
  <c r="C97" i="46"/>
  <c r="C96" i="46"/>
  <c r="C95" i="46"/>
  <c r="C94" i="46"/>
  <c r="C93" i="46"/>
  <c r="C92" i="46"/>
  <c r="C91" i="46"/>
  <c r="C90" i="46"/>
  <c r="C89" i="46"/>
  <c r="C88" i="46"/>
  <c r="C87" i="46"/>
  <c r="C86" i="46"/>
  <c r="C85" i="46"/>
  <c r="C84" i="46"/>
  <c r="C83" i="46"/>
  <c r="C82" i="46"/>
  <c r="C81" i="46"/>
  <c r="C80" i="46"/>
  <c r="C79" i="46"/>
  <c r="C78" i="46"/>
  <c r="C77" i="46"/>
  <c r="C76" i="46"/>
  <c r="C75" i="46"/>
  <c r="C74" i="46"/>
  <c r="C73" i="46"/>
  <c r="C72" i="46"/>
  <c r="C71" i="46"/>
  <c r="C70" i="46"/>
  <c r="C69" i="46"/>
  <c r="C68" i="46"/>
  <c r="C67" i="46"/>
  <c r="C66" i="46"/>
  <c r="C65" i="46"/>
  <c r="C64" i="46"/>
  <c r="C63" i="46"/>
  <c r="C62" i="46"/>
  <c r="C61" i="46"/>
  <c r="C60" i="46"/>
  <c r="C59" i="46"/>
  <c r="C58" i="46"/>
  <c r="C57" i="46"/>
  <c r="C56" i="46"/>
  <c r="C55" i="46"/>
  <c r="C54" i="46"/>
  <c r="C53" i="46"/>
  <c r="C52" i="46"/>
  <c r="C51" i="46"/>
  <c r="C50" i="46"/>
  <c r="C49" i="46"/>
  <c r="C48" i="46"/>
  <c r="I42" i="46"/>
  <c r="K42" i="46" s="1"/>
  <c r="I41" i="46"/>
  <c r="K41" i="46" s="1"/>
  <c r="I40" i="46"/>
  <c r="K40" i="46" s="1"/>
  <c r="I39" i="46"/>
  <c r="K39" i="46" s="1"/>
  <c r="I38" i="46"/>
  <c r="K38" i="46" s="1"/>
  <c r="I12" i="46"/>
  <c r="C7" i="46"/>
  <c r="C9" i="46"/>
  <c r="H27" i="1"/>
  <c r="H11" i="43"/>
  <c r="C13" i="45"/>
  <c r="C14" i="45"/>
  <c r="C15" i="45"/>
  <c r="C16" i="45"/>
  <c r="D16" i="45" s="1"/>
  <c r="E16" i="45" s="1"/>
  <c r="C17" i="45"/>
  <c r="C18" i="45"/>
  <c r="C19" i="45"/>
  <c r="C20" i="45"/>
  <c r="C21" i="45"/>
  <c r="C22" i="45"/>
  <c r="C25" i="45"/>
  <c r="C26" i="45"/>
  <c r="C27" i="45"/>
  <c r="C28" i="45"/>
  <c r="C29" i="45"/>
  <c r="C30" i="45"/>
  <c r="C31" i="45"/>
  <c r="D31" i="45" s="1"/>
  <c r="E31" i="45" s="1"/>
  <c r="C32" i="45"/>
  <c r="C33" i="45"/>
  <c r="C34" i="45"/>
  <c r="C4" i="45"/>
  <c r="C10" i="45" s="1"/>
  <c r="H35" i="45"/>
  <c r="J35" i="45" s="1"/>
  <c r="H34" i="45"/>
  <c r="J34" i="45" s="1"/>
  <c r="H33" i="45"/>
  <c r="J33" i="45" s="1"/>
  <c r="H32" i="45"/>
  <c r="J32" i="45" s="1"/>
  <c r="H31" i="45"/>
  <c r="J31" i="45" s="1"/>
  <c r="H30" i="45"/>
  <c r="J30" i="45" s="1"/>
  <c r="D28" i="45"/>
  <c r="E28" i="45" s="1"/>
  <c r="D20" i="45"/>
  <c r="E20" i="45" s="1"/>
  <c r="C6" i="45"/>
  <c r="C5" i="45"/>
  <c r="C11" i="44"/>
  <c r="C12" i="44"/>
  <c r="C13" i="44"/>
  <c r="C14" i="44"/>
  <c r="C15" i="44"/>
  <c r="C16" i="44"/>
  <c r="C17" i="44"/>
  <c r="C18" i="44"/>
  <c r="C19" i="44"/>
  <c r="C20" i="44"/>
  <c r="D20" i="44" s="1"/>
  <c r="C21" i="44"/>
  <c r="C22" i="44"/>
  <c r="D22" i="44" s="1"/>
  <c r="C23" i="44"/>
  <c r="C24" i="44"/>
  <c r="C25" i="44"/>
  <c r="C26" i="44"/>
  <c r="C27" i="44"/>
  <c r="C28" i="44"/>
  <c r="C29" i="44"/>
  <c r="C30" i="44"/>
  <c r="C31" i="44"/>
  <c r="C32" i="44"/>
  <c r="C33" i="44"/>
  <c r="C34" i="44"/>
  <c r="D34" i="44" s="1"/>
  <c r="C35" i="44"/>
  <c r="C10" i="44"/>
  <c r="D10" i="16"/>
  <c r="D11" i="16"/>
  <c r="D12" i="16"/>
  <c r="D13" i="16"/>
  <c r="D15" i="16"/>
  <c r="D16" i="16"/>
  <c r="D17" i="16"/>
  <c r="D18" i="16"/>
  <c r="D19" i="16"/>
  <c r="D20" i="16"/>
  <c r="D21" i="16"/>
  <c r="D22" i="16"/>
  <c r="D23" i="16"/>
  <c r="D24" i="16"/>
  <c r="D25" i="16"/>
  <c r="D26" i="16"/>
  <c r="D27" i="16"/>
  <c r="D28" i="16"/>
  <c r="D29" i="16"/>
  <c r="D30" i="16"/>
  <c r="D31" i="16"/>
  <c r="D32" i="16"/>
  <c r="D33" i="16"/>
  <c r="D34" i="16"/>
  <c r="D35" i="16"/>
  <c r="D14" i="16"/>
  <c r="C4" i="44"/>
  <c r="H33" i="44"/>
  <c r="J33" i="44" s="1"/>
  <c r="H35" i="44"/>
  <c r="J35" i="44" s="1"/>
  <c r="H34" i="44"/>
  <c r="J34" i="44" s="1"/>
  <c r="H32" i="44"/>
  <c r="J32" i="44" s="1"/>
  <c r="H31" i="44"/>
  <c r="J31" i="44" s="1"/>
  <c r="H30" i="44"/>
  <c r="J30" i="44" s="1"/>
  <c r="C6" i="44"/>
  <c r="D23" i="44" s="1"/>
  <c r="H38" i="43"/>
  <c r="H37" i="43"/>
  <c r="J38" i="43"/>
  <c r="J37" i="43"/>
  <c r="H36" i="43"/>
  <c r="J36" i="43"/>
  <c r="H35" i="43"/>
  <c r="J35" i="43"/>
  <c r="H34" i="43"/>
  <c r="J34" i="43" s="1"/>
  <c r="H33" i="43"/>
  <c r="J33" i="43"/>
  <c r="C19" i="43"/>
  <c r="C20" i="43"/>
  <c r="C11" i="43"/>
  <c r="C10"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C24" i="45" l="1"/>
  <c r="D24" i="45" s="1"/>
  <c r="E24" i="45" s="1"/>
  <c r="C12" i="45"/>
  <c r="D12" i="45" s="1"/>
  <c r="E12" i="45" s="1"/>
  <c r="C35" i="45"/>
  <c r="C23" i="45"/>
  <c r="C11" i="45"/>
  <c r="D25" i="45"/>
  <c r="E25" i="45" s="1"/>
  <c r="D34" i="45"/>
  <c r="E34" i="45" s="1"/>
  <c r="D17" i="45"/>
  <c r="E17" i="45" s="1"/>
  <c r="D10" i="45"/>
  <c r="E10" i="45" s="1"/>
  <c r="D14" i="45"/>
  <c r="E14" i="45" s="1"/>
  <c r="D18" i="45"/>
  <c r="E18" i="45" s="1"/>
  <c r="D22" i="45"/>
  <c r="E22" i="45" s="1"/>
  <c r="D26" i="45"/>
  <c r="E26" i="45" s="1"/>
  <c r="D30" i="45"/>
  <c r="E30" i="45" s="1"/>
  <c r="H10" i="45"/>
  <c r="D35" i="45"/>
  <c r="E35" i="45" s="1"/>
  <c r="D13" i="45"/>
  <c r="E13" i="45" s="1"/>
  <c r="D21" i="45"/>
  <c r="E21" i="45" s="1"/>
  <c r="D29" i="45"/>
  <c r="E29" i="45" s="1"/>
  <c r="D32" i="45"/>
  <c r="E32" i="45" s="1"/>
  <c r="D11" i="45"/>
  <c r="E11" i="45" s="1"/>
  <c r="D15" i="45"/>
  <c r="E15" i="45" s="1"/>
  <c r="D19" i="45"/>
  <c r="E19" i="45" s="1"/>
  <c r="D23" i="45"/>
  <c r="E23" i="45" s="1"/>
  <c r="D27" i="45"/>
  <c r="E27" i="45" s="1"/>
  <c r="D33" i="45"/>
  <c r="E33" i="45" s="1"/>
  <c r="D17" i="44"/>
  <c r="D16" i="44"/>
  <c r="D29" i="44"/>
  <c r="D14" i="44"/>
  <c r="E14" i="44" s="1"/>
  <c r="D27" i="44"/>
  <c r="D13" i="44"/>
  <c r="D26" i="44"/>
  <c r="E26" i="44" s="1"/>
  <c r="D25" i="44"/>
  <c r="E25" i="44" s="1"/>
  <c r="D11" i="44"/>
  <c r="E11" i="44" s="1"/>
  <c r="D24" i="44"/>
  <c r="D10" i="44"/>
  <c r="E10" i="44" s="1"/>
  <c r="D35" i="44"/>
  <c r="E35" i="44" s="1"/>
  <c r="D19" i="44"/>
  <c r="D33" i="44"/>
  <c r="D21" i="44"/>
  <c r="D32" i="44"/>
  <c r="E32" i="44" s="1"/>
  <c r="D18" i="44"/>
  <c r="D31" i="44"/>
  <c r="E31" i="44" s="1"/>
  <c r="D30" i="44"/>
  <c r="D15" i="44"/>
  <c r="E15" i="44" s="1"/>
  <c r="D28" i="44"/>
  <c r="E28" i="44" s="1"/>
  <c r="D12" i="44"/>
  <c r="E12" i="44" s="1"/>
  <c r="E16" i="44"/>
  <c r="E24" i="44"/>
  <c r="C5" i="44"/>
  <c r="E22" i="44"/>
  <c r="E33" i="44"/>
  <c r="E34" i="44"/>
  <c r="E13" i="44"/>
  <c r="E21" i="44"/>
  <c r="E29" i="44"/>
  <c r="E17" i="44"/>
  <c r="E30" i="44"/>
  <c r="H10" i="44"/>
  <c r="E19" i="44"/>
  <c r="E23" i="44"/>
  <c r="E18" i="44"/>
  <c r="E27" i="44"/>
  <c r="E20" i="44"/>
  <c r="H40" i="43"/>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I45" i="46" l="1"/>
  <c r="K45" i="46" s="1"/>
  <c r="C6" i="46"/>
  <c r="F6" i="46"/>
  <c r="C12" i="46"/>
  <c r="C15" i="46" s="1"/>
  <c r="B19" i="46" s="1"/>
  <c r="C18" i="46"/>
  <c r="D18" i="46" s="1"/>
  <c r="I9" i="46"/>
  <c r="C31" i="43"/>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F18" i="46" l="1"/>
  <c r="E18" i="46"/>
  <c r="C19" i="46"/>
  <c r="D19" i="46" s="1"/>
  <c r="B20" i="46"/>
  <c r="D22" i="43"/>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F19" i="46" l="1"/>
  <c r="E19" i="46"/>
  <c r="B21" i="46"/>
  <c r="C20" i="46"/>
  <c r="D20" i="46" s="1"/>
  <c r="D41" i="43"/>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F20" i="46" l="1"/>
  <c r="E20" i="46"/>
  <c r="B22" i="46"/>
  <c r="C21" i="46"/>
  <c r="D21" i="46" s="1"/>
  <c r="D21" i="42"/>
  <c r="E21" i="42" s="1"/>
  <c r="D21" i="41"/>
  <c r="E21" i="41" s="1"/>
  <c r="F21" i="41"/>
  <c r="D22" i="42"/>
  <c r="E22" i="42" s="1"/>
  <c r="B23" i="42"/>
  <c r="C23" i="42" s="1"/>
  <c r="F23" i="42" s="1"/>
  <c r="B23" i="41"/>
  <c r="C22" i="41"/>
  <c r="C53" i="36"/>
  <c r="D53" i="36" s="1"/>
  <c r="E53" i="36" s="1"/>
  <c r="F21" i="46" l="1"/>
  <c r="E21" i="46"/>
  <c r="B23" i="46"/>
  <c r="C22" i="46"/>
  <c r="D22" i="46" s="1"/>
  <c r="F22" i="41"/>
  <c r="D22" i="41"/>
  <c r="E22" i="41" s="1"/>
  <c r="D23" i="42"/>
  <c r="E23" i="42" s="1"/>
  <c r="B24" i="42"/>
  <c r="C24" i="42" s="1"/>
  <c r="F24" i="42" s="1"/>
  <c r="C23" i="41"/>
  <c r="B24" i="41"/>
  <c r="C54" i="36"/>
  <c r="D54" i="36" s="1"/>
  <c r="E54" i="36" s="1"/>
  <c r="F22" i="46" l="1"/>
  <c r="E22" i="46"/>
  <c r="C23" i="46"/>
  <c r="D23" i="46" s="1"/>
  <c r="B24" i="46"/>
  <c r="F23" i="41"/>
  <c r="D23" i="41"/>
  <c r="E23" i="41" s="1"/>
  <c r="D24" i="42"/>
  <c r="E24" i="42" s="1"/>
  <c r="B25" i="42"/>
  <c r="C25" i="42" s="1"/>
  <c r="F25" i="42" s="1"/>
  <c r="B25" i="41"/>
  <c r="C24" i="41"/>
  <c r="C55" i="36"/>
  <c r="D55" i="36" s="1"/>
  <c r="E55" i="36" s="1"/>
  <c r="F23" i="46" l="1"/>
  <c r="C24" i="46"/>
  <c r="D24" i="46" s="1"/>
  <c r="B25" i="46"/>
  <c r="E23" i="46"/>
  <c r="D24" i="41"/>
  <c r="E24" i="41" s="1"/>
  <c r="F24" i="41"/>
  <c r="D25" i="42"/>
  <c r="E25" i="42" s="1"/>
  <c r="B26" i="42"/>
  <c r="C26" i="42" s="1"/>
  <c r="F26" i="42" s="1"/>
  <c r="C25" i="41"/>
  <c r="B26" i="41"/>
  <c r="C56" i="36"/>
  <c r="D56" i="36" s="1"/>
  <c r="E56" i="36" s="1"/>
  <c r="F24" i="46" l="1"/>
  <c r="E24" i="46"/>
  <c r="C25" i="46"/>
  <c r="D25" i="46" s="1"/>
  <c r="B26" i="46"/>
  <c r="D25" i="41"/>
  <c r="E25" i="41" s="1"/>
  <c r="F25" i="41"/>
  <c r="D26" i="42"/>
  <c r="E26" i="42" s="1"/>
  <c r="B27" i="42"/>
  <c r="C27" i="42" s="1"/>
  <c r="F27" i="42" s="1"/>
  <c r="C26" i="41"/>
  <c r="B27" i="41"/>
  <c r="C57" i="36"/>
  <c r="D57" i="36" s="1"/>
  <c r="E57" i="36" s="1"/>
  <c r="F25" i="46" l="1"/>
  <c r="C26" i="46"/>
  <c r="D26" i="46" s="1"/>
  <c r="B27" i="46"/>
  <c r="E25" i="46"/>
  <c r="F26" i="41"/>
  <c r="D26" i="41"/>
  <c r="E26" i="41" s="1"/>
  <c r="D27" i="42"/>
  <c r="E27" i="42" s="1"/>
  <c r="B28" i="42"/>
  <c r="C28" i="42" s="1"/>
  <c r="F28" i="42" s="1"/>
  <c r="B28" i="41"/>
  <c r="C27" i="41"/>
  <c r="C58" i="36"/>
  <c r="D58" i="36" s="1"/>
  <c r="E58" i="36" s="1"/>
  <c r="F26" i="46" l="1"/>
  <c r="B28" i="46"/>
  <c r="C27" i="46"/>
  <c r="D27" i="46" s="1"/>
  <c r="E26" i="46"/>
  <c r="F27" i="41"/>
  <c r="D27" i="41"/>
  <c r="E27" i="41" s="1"/>
  <c r="D28" i="42"/>
  <c r="E28" i="42" s="1"/>
  <c r="B29" i="42"/>
  <c r="C29" i="42" s="1"/>
  <c r="F29" i="42" s="1"/>
  <c r="C28" i="41"/>
  <c r="B29" i="41"/>
  <c r="C59" i="36"/>
  <c r="D59" i="36" s="1"/>
  <c r="E59" i="36" s="1"/>
  <c r="F27" i="46" l="1"/>
  <c r="E27" i="46"/>
  <c r="B29" i="46"/>
  <c r="C28" i="46"/>
  <c r="D28" i="46" s="1"/>
  <c r="D28" i="41"/>
  <c r="E28" i="41" s="1"/>
  <c r="F28" i="41"/>
  <c r="D29" i="42"/>
  <c r="E29" i="42" s="1"/>
  <c r="B30" i="42"/>
  <c r="C30" i="42" s="1"/>
  <c r="F30" i="42" s="1"/>
  <c r="B30" i="41"/>
  <c r="C29" i="41"/>
  <c r="C60" i="36"/>
  <c r="D60" i="36" s="1"/>
  <c r="E60" i="36" s="1"/>
  <c r="F28" i="46" l="1"/>
  <c r="E28" i="46"/>
  <c r="C29" i="46"/>
  <c r="D29" i="46" s="1"/>
  <c r="B30" i="46"/>
  <c r="D29" i="41"/>
  <c r="E29" i="41" s="1"/>
  <c r="F29" i="41"/>
  <c r="D30" i="42"/>
  <c r="E30" i="42" s="1"/>
  <c r="B31" i="42"/>
  <c r="C31" i="42" s="1"/>
  <c r="F31" i="42" s="1"/>
  <c r="B31" i="41"/>
  <c r="C30" i="41"/>
  <c r="C61" i="36"/>
  <c r="D61" i="36" s="1"/>
  <c r="E61" i="36" s="1"/>
  <c r="F29" i="46" l="1"/>
  <c r="E29" i="46"/>
  <c r="C30" i="46"/>
  <c r="D30" i="46" s="1"/>
  <c r="B31" i="46"/>
  <c r="F30" i="41"/>
  <c r="D30" i="41"/>
  <c r="E30" i="41" s="1"/>
  <c r="D31" i="42"/>
  <c r="E31" i="42" s="1"/>
  <c r="B32" i="42"/>
  <c r="C32" i="42" s="1"/>
  <c r="F32" i="42" s="1"/>
  <c r="C31" i="41"/>
  <c r="B32" i="41"/>
  <c r="C62" i="36"/>
  <c r="D62" i="36" s="1"/>
  <c r="E62" i="36" s="1"/>
  <c r="F30" i="46" l="1"/>
  <c r="E30" i="46"/>
  <c r="B32" i="46"/>
  <c r="C31" i="46"/>
  <c r="D31" i="46" s="1"/>
  <c r="F31" i="41"/>
  <c r="D31" i="41"/>
  <c r="E31" i="41" s="1"/>
  <c r="D32" i="42"/>
  <c r="E32" i="42" s="1"/>
  <c r="B33" i="42"/>
  <c r="C33" i="42" s="1"/>
  <c r="F33" i="42" s="1"/>
  <c r="B33" i="41"/>
  <c r="C32" i="41"/>
  <c r="C63" i="36"/>
  <c r="D63" i="36" s="1"/>
  <c r="E63" i="36" s="1"/>
  <c r="F31" i="46" l="1"/>
  <c r="E31" i="46"/>
  <c r="C32" i="46"/>
  <c r="D32" i="46" s="1"/>
  <c r="B33" i="46"/>
  <c r="D32" i="41"/>
  <c r="E32" i="41" s="1"/>
  <c r="F32" i="41"/>
  <c r="D33" i="42"/>
  <c r="E33" i="42" s="1"/>
  <c r="B34" i="42"/>
  <c r="B34" i="41"/>
  <c r="C33" i="41"/>
  <c r="C64" i="36"/>
  <c r="D64" i="36" s="1"/>
  <c r="E64" i="36" s="1"/>
  <c r="F32" i="46" l="1"/>
  <c r="E32" i="46"/>
  <c r="B34" i="46"/>
  <c r="C33" i="46"/>
  <c r="D33" i="46" s="1"/>
  <c r="D33" i="41"/>
  <c r="E33" i="41" s="1"/>
  <c r="F33" i="41"/>
  <c r="C34" i="42"/>
  <c r="F34" i="42" s="1"/>
  <c r="B35" i="42"/>
  <c r="C34" i="41"/>
  <c r="B35" i="41"/>
  <c r="C65" i="36"/>
  <c r="D65" i="36" s="1"/>
  <c r="E65" i="36" s="1"/>
  <c r="F33" i="46" l="1"/>
  <c r="E33" i="46"/>
  <c r="C34" i="46"/>
  <c r="D34" i="46" s="1"/>
  <c r="B35" i="46"/>
  <c r="F34" i="41"/>
  <c r="D34" i="41"/>
  <c r="E34" i="41" s="1"/>
  <c r="D34" i="42"/>
  <c r="E34" i="42" s="1"/>
  <c r="B36" i="42"/>
  <c r="C35" i="42"/>
  <c r="F35" i="42" s="1"/>
  <c r="B36" i="41"/>
  <c r="C35" i="41"/>
  <c r="C66" i="36"/>
  <c r="D66" i="36" s="1"/>
  <c r="E66" i="36" s="1"/>
  <c r="F34" i="46" l="1"/>
  <c r="E34" i="46"/>
  <c r="B36" i="46"/>
  <c r="C35" i="46"/>
  <c r="D35" i="46" s="1"/>
  <c r="F35" i="41"/>
  <c r="D35" i="41"/>
  <c r="E35" i="41" s="1"/>
  <c r="D35" i="42"/>
  <c r="E35" i="42" s="1"/>
  <c r="C36" i="42"/>
  <c r="F36" i="42" s="1"/>
  <c r="B37" i="42"/>
  <c r="C36" i="41"/>
  <c r="B37" i="41"/>
  <c r="C67" i="36"/>
  <c r="D67" i="36" s="1"/>
  <c r="E67" i="36" s="1"/>
  <c r="F35" i="46" l="1"/>
  <c r="C36" i="46"/>
  <c r="D36" i="46" s="1"/>
  <c r="B37" i="46"/>
  <c r="E35" i="46"/>
  <c r="D36" i="41"/>
  <c r="E36" i="41" s="1"/>
  <c r="F36" i="41"/>
  <c r="D36" i="42"/>
  <c r="E36" i="42" s="1"/>
  <c r="B38" i="42"/>
  <c r="C37" i="42"/>
  <c r="F37" i="42" s="1"/>
  <c r="B38" i="41"/>
  <c r="C37" i="41"/>
  <c r="C68" i="36"/>
  <c r="D68" i="36" s="1"/>
  <c r="E68" i="36" s="1"/>
  <c r="F36" i="46" l="1"/>
  <c r="E36" i="46"/>
  <c r="C37" i="46"/>
  <c r="D37" i="46" s="1"/>
  <c r="B38" i="46"/>
  <c r="D37" i="41"/>
  <c r="E37" i="41" s="1"/>
  <c r="F37" i="41"/>
  <c r="D37" i="42"/>
  <c r="E37" i="42" s="1"/>
  <c r="C38" i="42"/>
  <c r="F38" i="42" s="1"/>
  <c r="B39" i="42"/>
  <c r="B39" i="41"/>
  <c r="C38" i="41"/>
  <c r="C69" i="36"/>
  <c r="D69" i="36" s="1"/>
  <c r="E69" i="36" s="1"/>
  <c r="F37" i="46" l="1"/>
  <c r="E37" i="46"/>
  <c r="C38" i="46"/>
  <c r="D38" i="46" s="1"/>
  <c r="B39" i="46"/>
  <c r="F38" i="41"/>
  <c r="D38" i="41"/>
  <c r="E38" i="41" s="1"/>
  <c r="D38" i="42"/>
  <c r="E38" i="42" s="1"/>
  <c r="C39" i="42"/>
  <c r="F39" i="42" s="1"/>
  <c r="B40" i="42"/>
  <c r="B40" i="41"/>
  <c r="C39" i="41"/>
  <c r="C70" i="36"/>
  <c r="D70" i="36" s="1"/>
  <c r="E70" i="36" s="1"/>
  <c r="F38" i="46" l="1"/>
  <c r="E38" i="46"/>
  <c r="B40" i="46"/>
  <c r="C39" i="46"/>
  <c r="D39" i="46" s="1"/>
  <c r="F39" i="41"/>
  <c r="D39" i="41"/>
  <c r="E39" i="41" s="1"/>
  <c r="D39" i="42"/>
  <c r="E39" i="42" s="1"/>
  <c r="B41" i="42"/>
  <c r="C40" i="42"/>
  <c r="F40" i="42" s="1"/>
  <c r="C40" i="41"/>
  <c r="B41" i="41"/>
  <c r="C71" i="36"/>
  <c r="D71" i="36" s="1"/>
  <c r="E71" i="36" s="1"/>
  <c r="F39" i="46" l="1"/>
  <c r="E39" i="46"/>
  <c r="B41" i="46"/>
  <c r="C40" i="46"/>
  <c r="D40" i="46" s="1"/>
  <c r="D40" i="41"/>
  <c r="E40" i="41" s="1"/>
  <c r="F40" i="41"/>
  <c r="D40" i="42"/>
  <c r="E40" i="42" s="1"/>
  <c r="B42" i="42"/>
  <c r="C41" i="42"/>
  <c r="F41" i="42" s="1"/>
  <c r="C41" i="41"/>
  <c r="B42" i="41"/>
  <c r="C72" i="36"/>
  <c r="D72" i="36" s="1"/>
  <c r="E72" i="36" s="1"/>
  <c r="F40" i="46" l="1"/>
  <c r="E40" i="46"/>
  <c r="B42" i="46"/>
  <c r="C41" i="46"/>
  <c r="D41" i="46" s="1"/>
  <c r="D41" i="41"/>
  <c r="E41" i="41" s="1"/>
  <c r="F41" i="41"/>
  <c r="D41" i="42"/>
  <c r="E41" i="42" s="1"/>
  <c r="C42" i="42"/>
  <c r="F42" i="42" s="1"/>
  <c r="B43" i="42"/>
  <c r="C43" i="42" s="1"/>
  <c r="F43" i="42" s="1"/>
  <c r="C42" i="41"/>
  <c r="B43" i="41"/>
  <c r="C43" i="41" s="1"/>
  <c r="C74" i="36"/>
  <c r="D74" i="36" s="1"/>
  <c r="E74" i="36" s="1"/>
  <c r="C73" i="36"/>
  <c r="D73" i="36" s="1"/>
  <c r="E73" i="36" s="1"/>
  <c r="F41" i="46" l="1"/>
  <c r="E41" i="46"/>
  <c r="B43" i="46"/>
  <c r="C43" i="46" s="1"/>
  <c r="D43" i="46" s="1"/>
  <c r="C42" i="46"/>
  <c r="D42" i="46" s="1"/>
  <c r="F42" i="4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F42" i="46" l="1"/>
  <c r="F43" i="46"/>
  <c r="E42" i="46"/>
  <c r="E43" i="46"/>
  <c r="C50" i="3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5"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E33" i="16"/>
  <c r="E29" i="16"/>
  <c r="E25" i="16"/>
  <c r="E21" i="16"/>
  <c r="E17" i="16"/>
  <c r="E13" i="16"/>
  <c r="E10" i="16"/>
  <c r="E32" i="16"/>
  <c r="E28" i="16"/>
  <c r="E24" i="16"/>
  <c r="E20" i="16"/>
  <c r="E16" i="16"/>
  <c r="E12" i="16"/>
  <c r="E35" i="16"/>
  <c r="E31" i="16"/>
  <c r="E27" i="16"/>
  <c r="E23" i="16"/>
  <c r="E19" i="16"/>
  <c r="E15" i="16"/>
  <c r="E11" i="16"/>
  <c r="E34" i="16"/>
  <c r="E30" i="16"/>
  <c r="E26" i="16"/>
  <c r="E22" i="16"/>
  <c r="E18" i="16"/>
  <c r="E14" i="16"/>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<sst xmlns="http://schemas.openxmlformats.org/spreadsheetml/2006/main" count="1785" uniqueCount="280">
  <si>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</si>
  <si>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</si>
  <si>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</si>
  <si>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</si>
  <si>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</si>
  <si>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</si>
  <si>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</si>
  <si>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</si>
  <si>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</si>
  <si>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</si>
  <si>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</si>
  <si>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</si>
  <si>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</si>
  <si>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</si>
  <si>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</si>
  <si>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</si>
  <si>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</si>
  <si>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</si>
  <si>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</si>
  <si>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</si>
  <si>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</si>
  <si>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</si>
  <si>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</si>
  <si>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</si>
  <si>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</si>
  <si>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</si>
  <si>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</si>
  <si>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</si>
  <si>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</si>
  <si>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</si>
  <si>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</si>
  <si>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</si>
  <si>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</si>
  <si>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</si>
  <si>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</si>
  <si>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</si>
  <si>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</si>
  <si>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</si>
  <si>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</si>
  <si>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</si>
  <si>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</si>
  <si>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</si>
  <si>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</si>
  <si>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</si>
  <si>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</si>
  <si>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</si>
  <si>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</si>
  <si>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</si>
  <si>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</si>
  <si>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</si>
  <si>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</si>
  <si>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</si>
  <si>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</si>
  <si>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</si>
  <si>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</si>
  <si>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</si>
  <si>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</si>
  <si>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</si>
  <si>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</si>
  <si>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</si>
  <si>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</si>
  <si>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</si>
  <si>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</si>
  <si>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</si>
  <si>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</si>
  <si>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</si>
  <si>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</si>
  <si>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</si>
  <si>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</si>
  <si>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</si>
  <si>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</si>
  <si>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</si>
  <si>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</si>
  <si>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</si>
  <si>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</si>
  <si>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</si>
  <si>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</si>
  <si>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</si>
  <si>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</si>
  <si>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</si>
  <si>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</si>
  <si>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</si>
  <si>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</si>
  <si>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</si>
  <si>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</si>
  <si>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</si>
  <si>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</si>
  <si>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</si>
  <si>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</si>
  <si>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</si>
  <si>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</si>
  <si>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</si>
  <si>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</si>
  <si>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</si>
  <si>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</si>
  <si>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</si>
  <si>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</si>
  <si>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</si>
  <si>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</si>
  <si>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</si>
  <si>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</si>
  <si>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</si>
  <si>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</si>
  <si>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</si>
  <si>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</si>
  <si>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</si>
  <si>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</si>
  <si>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</si>
  <si>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</si>
  <si>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</si>
  <si>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</si>
  <si>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</si>
  <si>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</si>
  <si>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</si>
  <si>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</si>
  <si>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</si>
  <si>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</si>
  <si>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</si>
  <si>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</si>
  <si>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</si>
  <si>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</si>
  <si>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</si>
  <si>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</si>
  <si>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</si>
  <si>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</si>
  <si>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</si>
  <si>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</si>
  <si>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</si>
  <si>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</si>
  <si>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</si>
  <si>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</si>
  <si>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</si>
  <si>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</si>
  <si>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</si>
  <si>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</si>
  <si>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</si>
  <si>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</si>
  <si>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</si>
  <si>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</si>
  <si>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</si>
  <si>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</si>
  <si>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</si>
  <si>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</si>
  <si>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</si>
  <si>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</si>
  <si>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</si>
  <si>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</si>
  <si>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</si>
  <si>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</si>
  <si>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</si>
  <si>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</si>
  <si>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</si>
  <si>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</si>
  <si>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</si>
  <si>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</si>
  <si>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</si>
  <si>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</si>
  <si>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</si>
  <si>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</si>
  <si>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</si>
  <si>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</si>
  <si>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</si>
  <si>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</si>
  <si>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</si>
  <si>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</si>
  <si>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</si>
  <si>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</si>
  <si>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</si>
  <si>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</si>
  <si>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</si>
  <si>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</si>
  <si>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</si>
  <si>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</si>
  <si>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</si>
  <si>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</si>
  <si>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</si>
  <si>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</si>
  <si>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</si>
  <si>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</si>
  <si>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</si>
  <si>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</si>
  <si>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</si>
  <si>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</si>
  <si>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</si>
  <si>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</si>
  <si>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</si>
  <si>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</si>
  <si>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</si>
  <si>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</si>
  <si>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</si>
  <si>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</si>
  <si>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</si>
  <si>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</si>
  <si>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</si>
  <si>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</si>
  <si>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</si>
  <si>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</si>
  <si>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</si>
  <si>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</si>
  <si>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</si>
  <si>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</si>
  <si>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</si>
  <si>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</si>
  <si>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</si>
  <si>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</si>
  <si>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</si>
  <si>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</si>
  <si>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</si>
  <si>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</si>
  <si>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</si>
  <si>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</si>
  <si>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</si>
  <si>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</si>
  <si>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</si>
  <si>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</si>
  <si>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</si>
  <si>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</si>
  <si>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</si>
  <si>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</si>
  <si>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</si>
  <si>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</si>
  <si>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</si>
  <si>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</si>
  <si>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</si>
  <si>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</si>
  <si>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</si>
  <si>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</si>
  <si>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</si>
  <si>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</si>
  <si>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</si>
  <si>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</si>
  <si>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</si>
  <si>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</si>
  <si>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</si>
  <si>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</si>
  <si>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</si>
  <si>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</si>
  <si>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</si>
  <si>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</si>
  <si>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</si>
  <si>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</si>
  <si>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</si>
  <si>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</si>
  <si>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</si>
  <si>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</si>
  <si>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</si>
  <si>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</si>
  <si>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</si>
  <si>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</si>
  <si>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</si>
  <si>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</si>
  <si>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</si>
  <si>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</si>
  <si>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</si>
  <si>
    <t>At (+) Input:</t>
  </si>
  <si>
    <t>V=Vin,2*(R3/(R2+R3))</t>
  </si>
  <si>
    <t>V (= V+/2)</t>
  </si>
  <si>
    <r>
      <rPr>
        <b/>
        <sz val="11"/>
        <color theme="1"/>
        <rFont val="Calibri"/>
        <family val="2"/>
        <scheme val="minor"/>
      </rPr>
      <t xml:space="preserve">Note: </t>
    </r>
    <r>
      <rPr>
        <sz val="11"/>
        <color theme="1"/>
        <rFont val="Calibri"/>
        <family val="2"/>
        <scheme val="minor"/>
      </rPr>
      <t>Probe is referenced to V+/2 (negative probe grounded to V+/2)</t>
    </r>
  </si>
  <si>
    <t>Key Points</t>
  </si>
  <si>
    <t>1. The amplifier maintains its non-inverting characteristic, as the output is in phase with the input.</t>
  </si>
  <si>
    <t>2. The Vdd/2 bias allows for maximum signal swing in a single-supply system.</t>
  </si>
  <si>
    <t>3. AC signals are amplified around the Vdd/2 reference point, effectively creating an AC-coupled amplifier.</t>
  </si>
  <si>
    <t>(max V swing of signal from probe-)</t>
  </si>
  <si>
    <r>
      <t>Inverting + Bias Amplifier (Probe Referenced to V</t>
    </r>
    <r>
      <rPr>
        <vertAlign val="superscript"/>
        <sz val="36"/>
        <color theme="1"/>
        <rFont val="Calibri"/>
        <family val="2"/>
        <scheme val="minor"/>
      </rPr>
      <t>+</t>
    </r>
    <r>
      <rPr>
        <sz val="36"/>
        <color theme="1"/>
        <rFont val="Calibri"/>
        <family val="2"/>
        <scheme val="minor"/>
      </rPr>
      <t>/2)</t>
    </r>
  </si>
  <si>
    <r>
      <t>Non-Inverting + Bias Amplifier (Probe Referenced to V</t>
    </r>
    <r>
      <rPr>
        <vertAlign val="superscript"/>
        <sz val="36"/>
        <color theme="1"/>
        <rFont val="Calibri"/>
        <family val="2"/>
        <scheme val="minor"/>
      </rPr>
      <t>+</t>
    </r>
    <r>
      <rPr>
        <sz val="36"/>
        <color theme="1"/>
        <rFont val="Calibri"/>
        <family val="2"/>
        <scheme val="minor"/>
      </rPr>
      <t>/2)</t>
    </r>
  </si>
  <si>
    <t>1. The amplifier maintains its inverting characteristic, as the output is in opposite phase of the input.</t>
  </si>
  <si>
    <t>Source: https://ww1.microchip.com/downloads/en/DeviceDoc/20001811F.pdf</t>
  </si>
  <si>
    <t xml:space="preserve">Source: </t>
  </si>
  <si>
    <t xml:space="preserve"> https://www.pyromation.com/Downloads/Data/emfk_f.pdf</t>
  </si>
  <si>
    <t>Unity Gain - Band Pass Filter</t>
  </si>
  <si>
    <t>An unity gain amplifier has gain=1, and a shift of 0V in the pass region.</t>
  </si>
  <si>
    <t>LPF:</t>
  </si>
  <si>
    <t>HPF:</t>
  </si>
  <si>
    <t>C2</t>
  </si>
  <si>
    <t>Xc1</t>
  </si>
  <si>
    <t>Xc2</t>
  </si>
  <si>
    <t>fr:</t>
  </si>
  <si>
    <t>BW@3dB:</t>
  </si>
  <si>
    <r>
      <t>Q</t>
    </r>
    <r>
      <rPr>
        <vertAlign val="subscript"/>
        <sz val="11"/>
        <color theme="1"/>
        <rFont val="Calibri"/>
        <family val="2"/>
        <scheme val="minor"/>
      </rPr>
      <t>BP:</t>
    </r>
  </si>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</sst>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
      <vertAlign val="superscrip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2" fillId="0" borderId="0" applyNumberFormat="0" applyFill="0" applyBorder="0" applyAlignment="0" applyProtection="0"/>
  </cellStyleXfs>
  <cellXfs count="32">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20" fillId="2" borderId="0" xfId="0" applyFont="1" applyFill="1"/>
    <xf numFmtId="0" fontId="21" fillId="2" borderId="0" xfId="0" applyFont="1" applyFill="1"/>
    <xf numFmtId="0" fontId="19" fillId="2" borderId="0" xfId="0" applyFont="1" applyFill="1"/>
    <xf numFmtId="0" fontId="22" fillId="2" borderId="0" xfId="2" applyFill="1"/>
    <xf numFmtId="0" fontId="0" fillId="2" borderId="4" xfId="0" applyFill="1" applyBorder="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BPF'!$E$47</c:f>
              <c:strCache>
                <c:ptCount val="1"/>
                <c:pt idx="0">
                  <c:v>Gain,dB</c:v>
                </c:pt>
              </c:strCache>
            </c:strRef>
          </c:tx>
          <c:spPr>
            <a:ln w="19050" cap="rnd">
              <a:solidFill>
                <a:srgbClr val="C00000"/>
              </a:solidFill>
              <a:round/>
            </a:ln>
            <a:effectLst/>
          </c:spPr>
          <c:marker>
            <c:symbol val="none"/>
          </c:marker>
          <c:xVal>
            <c:numRef>
              <c:f>'Unity BPF'!$B$48:$B$102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BPF'!$E$48:$E$102</c:f>
              <c:numCache>
                <c:formatCode>General</c:formatCode>
                <c:ptCount val="55"/>
                <c:pt idx="0">
                  <c:v>-45.974713718566143</c:v>
                </c:pt>
                <c:pt idx="1">
                  <c:v>-39.954446265353511</c:v>
                </c:pt>
                <c:pt idx="2">
                  <c:v>-36.433175128910065</c:v>
                </c:pt>
                <c:pt idx="3">
                  <c:v>-33.935175942884619</c:v>
                </c:pt>
                <c:pt idx="4">
                  <c:v>-31.997972614007285</c:v>
                </c:pt>
                <c:pt idx="5">
                  <c:v>-30.415565860019008</c:v>
                </c:pt>
                <c:pt idx="6">
                  <c:v>-29.078069287528319</c:v>
                </c:pt>
                <c:pt idx="7">
                  <c:v>-27.919890405762121</c:v>
                </c:pt>
                <c:pt idx="8">
                  <c:v>-26.898720603916686</c:v>
                </c:pt>
                <c:pt idx="9">
                  <c:v>-25.985671748033681</c:v>
                </c:pt>
                <c:pt idx="10">
                  <c:v>-19.998113426146517</c:v>
                </c:pt>
                <c:pt idx="11">
                  <c:v>-16.530815839199025</c:v>
                </c:pt>
                <c:pt idx="12">
                  <c:v>-14.107269932957232</c:v>
                </c:pt>
                <c:pt idx="13">
                  <c:v>-12.263953803576404</c:v>
                </c:pt>
                <c:pt idx="14">
                  <c:v>-10.793607762136858</c:v>
                </c:pt>
                <c:pt idx="15">
                  <c:v>-9.5849224833549727</c:v>
                </c:pt>
                <c:pt idx="16">
                  <c:v>-8.5707735257013713</c:v>
                </c:pt>
                <c:pt idx="17">
                  <c:v>-7.7072626255765346</c:v>
                </c:pt>
                <c:pt idx="18">
                  <c:v>-6.963900609578987</c:v>
                </c:pt>
                <c:pt idx="19">
                  <c:v>-3.0310338916776187</c:v>
                </c:pt>
                <c:pt idx="20">
                  <c:v>-1.6805579019933692</c:v>
                </c:pt>
                <c:pt idx="21">
                  <c:v>-1.1320511633780921</c:v>
                </c:pt>
                <c:pt idx="22">
                  <c:v>-0.90427298697860647</c:v>
                </c:pt>
                <c:pt idx="23">
                  <c:v>-0.83107846874675162</c:v>
                </c:pt>
                <c:pt idx="24">
                  <c:v>-0.84425033077178036</c:v>
                </c:pt>
                <c:pt idx="25">
                  <c:v>-0.91155047008158085</c:v>
                </c:pt>
                <c:pt idx="26">
                  <c:v>-1.0158162928687582</c:v>
                </c:pt>
                <c:pt idx="27">
                  <c:v>-1.1469118455564911</c:v>
                </c:pt>
                <c:pt idx="28">
                  <c:v>-3.0761200633474663</c:v>
                </c:pt>
                <c:pt idx="29">
                  <c:v>-5.1697862704451421</c:v>
                </c:pt>
                <c:pt idx="30">
                  <c:v>-7.0372662610907728</c:v>
                </c:pt>
                <c:pt idx="31">
                  <c:v>-8.6499316269221751</c:v>
                </c:pt>
                <c:pt idx="32">
                  <c:v>-10.046191212223947</c:v>
                </c:pt>
                <c:pt idx="33">
                  <c:v>-11.268207769709962</c:v>
                </c:pt>
                <c:pt idx="34">
                  <c:v>-12.350478884535951</c:v>
                </c:pt>
                <c:pt idx="35">
                  <c:v>-13.319554237999156</c:v>
                </c:pt>
                <c:pt idx="36">
                  <c:v>-14.195688898886944</c:v>
                </c:pt>
                <c:pt idx="37">
                  <c:v>-20.089187419441036</c:v>
                </c:pt>
                <c:pt idx="38">
                  <c:v>-23.587069936444813</c:v>
                </c:pt>
                <c:pt idx="39">
                  <c:v>-26.077434072929311</c:v>
                </c:pt>
                <c:pt idx="40">
                  <c:v>-28.011736016344454</c:v>
                </c:pt>
                <c:pt idx="41">
                  <c:v>-29.59324189439085</c:v>
                </c:pt>
                <c:pt idx="42">
                  <c:v>-30.930899480928616</c:v>
                </c:pt>
                <c:pt idx="43">
                  <c:v>-32.089908618164088</c:v>
                </c:pt>
                <c:pt idx="44">
                  <c:v>-33.112390067545093</c:v>
                </c:pt>
                <c:pt idx="45">
                  <c:v>-34.027132831874724</c:v>
                </c:pt>
                <c:pt idx="46">
                  <c:v>-40.046431015263302</c:v>
                </c:pt>
                <c:pt idx="47">
                  <c:v>-43.56801509330262</c:v>
                </c:pt>
                <c:pt idx="48">
                  <c:v>-46.066705436292288</c:v>
                </c:pt>
                <c:pt idx="49">
                  <c:v>-48.004866635776111</c:v>
                </c:pt>
                <c:pt idx="50">
                  <c:v>-49.588470338438533</c:v>
                </c:pt>
                <c:pt idx="51">
                  <c:v>-50.927393337041991</c:v>
                </c:pt>
                <c:pt idx="52">
                  <c:v>-52.087223972772165</c:v>
                </c:pt>
                <c:pt idx="53">
                  <c:v>-53.110268728636704</c:v>
                </c:pt>
                <c:pt idx="54">
                  <c:v>-54.025414467616869</c:v>
                </c:pt>
              </c:numCache>
            </c:numRef>
          </c:yVal>
          <c:smooth val="0"/>
          <c:extLst>
            <c:ext xmlns:c16="http://schemas.microsoft.com/office/drawing/2014/chart" uri="{C3380CC4-5D6E-409C-BE32-E72D297353CC}">
              <c16:uniqueId val="{00000000-344D-478E-9190-D08C31F50938}"/>
            </c:ext>
          </c:extLst>
        </c:ser>
        <c:ser>
          <c:idx val="1"/>
          <c:order val="1"/>
          <c:spPr>
            <a:ln w="19050" cap="rnd">
              <a:solidFill>
                <a:schemeClr val="accent2"/>
              </a:solidFill>
              <a:round/>
            </a:ln>
            <a:effectLst/>
          </c:spPr>
          <c:marker>
            <c:symbol val="none"/>
          </c:marker>
          <c:xVal>
            <c:numRef>
              <c:f>'Unity BPF'!$B$48:$B$102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BPF'!$F$48:$F$102</c:f>
              <c:numCache>
                <c:formatCode>General</c:formatCode>
                <c:ptCount val="55"/>
                <c:pt idx="0">
                  <c:v>-45.974713718566143</c:v>
                </c:pt>
                <c:pt idx="1">
                  <c:v>-39.954446265353511</c:v>
                </c:pt>
                <c:pt idx="2">
                  <c:v>-36.433175128910065</c:v>
                </c:pt>
                <c:pt idx="3">
                  <c:v>-33.935175942884619</c:v>
                </c:pt>
                <c:pt idx="4">
                  <c:v>-31.997972614007285</c:v>
                </c:pt>
                <c:pt idx="5">
                  <c:v>-30.415565860019008</c:v>
                </c:pt>
                <c:pt idx="6">
                  <c:v>-29.078069287528322</c:v>
                </c:pt>
                <c:pt idx="7">
                  <c:v>-27.919890405762118</c:v>
                </c:pt>
                <c:pt idx="8">
                  <c:v>-26.898720603916686</c:v>
                </c:pt>
                <c:pt idx="9">
                  <c:v>-25.985671748033681</c:v>
                </c:pt>
                <c:pt idx="10">
                  <c:v>-19.998113426146517</c:v>
                </c:pt>
                <c:pt idx="11">
                  <c:v>-16.530815839199025</c:v>
                </c:pt>
                <c:pt idx="12">
                  <c:v>-14.10726993295723</c:v>
                </c:pt>
                <c:pt idx="13">
                  <c:v>-12.263953803576404</c:v>
                </c:pt>
                <c:pt idx="14">
                  <c:v>-10.793607762136858</c:v>
                </c:pt>
                <c:pt idx="15">
                  <c:v>-9.5849224833549709</c:v>
                </c:pt>
                <c:pt idx="16">
                  <c:v>-8.5707735257013677</c:v>
                </c:pt>
                <c:pt idx="17">
                  <c:v>-7.7072626255765346</c:v>
                </c:pt>
                <c:pt idx="18">
                  <c:v>-6.963900609578987</c:v>
                </c:pt>
                <c:pt idx="19">
                  <c:v>-3.0310338916776169</c:v>
                </c:pt>
                <c:pt idx="20">
                  <c:v>-1.6805579019933692</c:v>
                </c:pt>
                <c:pt idx="21">
                  <c:v>-1.1320511633780932</c:v>
                </c:pt>
                <c:pt idx="22">
                  <c:v>-0.90427298697860869</c:v>
                </c:pt>
                <c:pt idx="23">
                  <c:v>-0.83107846874675162</c:v>
                </c:pt>
                <c:pt idx="24">
                  <c:v>-0.84425033077178036</c:v>
                </c:pt>
                <c:pt idx="25">
                  <c:v>-0.91155047008158296</c:v>
                </c:pt>
                <c:pt idx="26">
                  <c:v>-1.0158162928687582</c:v>
                </c:pt>
                <c:pt idx="27">
                  <c:v>-1.1469118455564922</c:v>
                </c:pt>
                <c:pt idx="28">
                  <c:v>-3.0761200633474663</c:v>
                </c:pt>
                <c:pt idx="29">
                  <c:v>-5.1697862704451421</c:v>
                </c:pt>
                <c:pt idx="30">
                  <c:v>-7.0372662610907728</c:v>
                </c:pt>
                <c:pt idx="31">
                  <c:v>-8.6499316269221751</c:v>
                </c:pt>
                <c:pt idx="32">
                  <c:v>-10.046191212223947</c:v>
                </c:pt>
                <c:pt idx="33">
                  <c:v>-11.268207769709967</c:v>
                </c:pt>
                <c:pt idx="34">
                  <c:v>-12.350478884535953</c:v>
                </c:pt>
                <c:pt idx="35">
                  <c:v>-13.319554237999153</c:v>
                </c:pt>
                <c:pt idx="36">
                  <c:v>-14.195688898886944</c:v>
                </c:pt>
                <c:pt idx="37">
                  <c:v>-20.089187419441036</c:v>
                </c:pt>
                <c:pt idx="38">
                  <c:v>-23.587069936444813</c:v>
                </c:pt>
                <c:pt idx="39">
                  <c:v>-26.077434072929311</c:v>
                </c:pt>
                <c:pt idx="40">
                  <c:v>-28.011736016344454</c:v>
                </c:pt>
                <c:pt idx="41">
                  <c:v>-29.59324189439085</c:v>
                </c:pt>
                <c:pt idx="42">
                  <c:v>-30.930899480928616</c:v>
                </c:pt>
                <c:pt idx="43">
                  <c:v>-32.089908618164088</c:v>
                </c:pt>
                <c:pt idx="44">
                  <c:v>-33.112390067545093</c:v>
                </c:pt>
                <c:pt idx="45">
                  <c:v>-34.027132831874724</c:v>
                </c:pt>
                <c:pt idx="46">
                  <c:v>-40.046431015263309</c:v>
                </c:pt>
                <c:pt idx="47">
                  <c:v>-43.56801509330262</c:v>
                </c:pt>
                <c:pt idx="48">
                  <c:v>-46.066705436292288</c:v>
                </c:pt>
                <c:pt idx="49">
                  <c:v>-48.004866635776111</c:v>
                </c:pt>
                <c:pt idx="50">
                  <c:v>-49.588470338438533</c:v>
                </c:pt>
                <c:pt idx="51">
                  <c:v>-50.927393337042005</c:v>
                </c:pt>
                <c:pt idx="52">
                  <c:v>-52.087223972772172</c:v>
                </c:pt>
                <c:pt idx="53">
                  <c:v>-53.110268728636704</c:v>
                </c:pt>
                <c:pt idx="54">
                  <c:v>-54.025414467616869</c:v>
                </c:pt>
              </c:numCache>
            </c:numRef>
          </c:yVal>
          <c:smooth val="0"/>
          <c:extLst>
            <c:ext xmlns:c16="http://schemas.microsoft.com/office/drawing/2014/chart" uri="{C3380CC4-5D6E-409C-BE32-E72D297353CC}">
              <c16:uniqueId val="{00000001-344D-478E-9190-D08C31F50938}"/>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 Vhalf'!$C$9</c:f>
              <c:strCache>
                <c:ptCount val="1"/>
                <c:pt idx="0">
                  <c:v>Vin(+)</c:v>
                </c:pt>
              </c:strCache>
            </c:strRef>
          </c:tx>
          <c:spPr>
            <a:ln>
              <a:solidFill>
                <a:schemeClr val="tx1"/>
              </a:solidFill>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E00F-49A1-A949-55FC9B27F82F}"/>
            </c:ext>
          </c:extLst>
        </c:ser>
        <c:ser>
          <c:idx val="1"/>
          <c:order val="1"/>
          <c:tx>
            <c:strRef>
              <c:f>'Inv+Bias Vhalf'!$E$9</c:f>
              <c:strCache>
                <c:ptCount val="1"/>
                <c:pt idx="0">
                  <c:v>Vout</c:v>
                </c:pt>
              </c:strCache>
            </c:strRef>
          </c:tx>
          <c:spPr>
            <a:ln>
              <a:solidFill>
                <a:srgbClr val="C00000"/>
              </a:solidFill>
              <a:prstDash val="dash"/>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Vhalf'!$E$10:$E$35</c:f>
              <c:numCache>
                <c:formatCode>General</c:formatCode>
                <c:ptCount val="26"/>
                <c:pt idx="0">
                  <c:v>2.5</c:v>
                </c:pt>
                <c:pt idx="1">
                  <c:v>2.4500832916765862</c:v>
                </c:pt>
                <c:pt idx="2">
                  <c:v>2.4006653346024702</c:v>
                </c:pt>
                <c:pt idx="3">
                  <c:v>2.0339804570163871</c:v>
                </c:pt>
                <c:pt idx="4">
                  <c:v>2.0957517980902036</c:v>
                </c:pt>
                <c:pt idx="5">
                  <c:v>2.529187071713789</c:v>
                </c:pt>
                <c:pt idx="6">
                  <c:v>2.9357878862067928</c:v>
                </c:pt>
                <c:pt idx="7">
                  <c:v>2.9417273278600771</c:v>
                </c:pt>
                <c:pt idx="8">
                  <c:v>2.5415447014087498</c:v>
                </c:pt>
                <c:pt idx="9">
                  <c:v>2.1031660680754243</c:v>
                </c:pt>
                <c:pt idx="10">
                  <c:v>2.0296347216601145</c:v>
                </c:pt>
                <c:pt idx="11">
                  <c:v>2.388555042949875</c:v>
                </c:pt>
                <c:pt idx="12">
                  <c:v>2.8499373437967712</c:v>
                </c:pt>
                <c:pt idx="13">
                  <c:v>2.9895888645756585</c:v>
                </c:pt>
                <c:pt idx="14">
                  <c:v>2.6791146411184137</c:v>
                </c:pt>
                <c:pt idx="15">
                  <c:v>2.20396324264639</c:v>
                </c:pt>
                <c:pt idx="16">
                  <c:v>2.0009866736418189</c:v>
                </c:pt>
                <c:pt idx="17">
                  <c:v>2.2568006555730982</c:v>
                </c:pt>
                <c:pt idx="18">
                  <c:v>2.7362109931992329</c:v>
                </c:pt>
                <c:pt idx="19">
                  <c:v>2.9984500330207986</c:v>
                </c:pt>
                <c:pt idx="20">
                  <c:v>2.8024164112031418</c:v>
                </c:pt>
                <c:pt idx="21">
                  <c:v>2.3283425355900533</c:v>
                </c:pt>
                <c:pt idx="22">
                  <c:v>2.0120897411165117</c:v>
                </c:pt>
                <c:pt idx="23">
                  <c:v>2.1444193885470106</c:v>
                </c:pt>
                <c:pt idx="24">
                  <c:v>2.6036682103033808</c:v>
                </c:pt>
                <c:pt idx="25">
                  <c:v>2.9676049575972705</c:v>
                </c:pt>
              </c:numCache>
            </c:numRef>
          </c:yVal>
          <c:smooth val="1"/>
          <c:extLst>
            <c:ext xmlns:c16="http://schemas.microsoft.com/office/drawing/2014/chart" uri="{C3380CC4-5D6E-409C-BE32-E72D297353CC}">
              <c16:uniqueId val="{00000001-E00F-49A1-A949-55FC9B27F82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K-Type</a:t>
            </a:r>
            <a:r>
              <a:rPr lang="en-CA" baseline="0"/>
              <a:t> Thermocouple - </a:t>
            </a:r>
            <a:r>
              <a:rPr lang="en-CA"/>
              <a:t>Voltage</a:t>
            </a:r>
            <a:r>
              <a:rPr lang="en-CA" baseline="0"/>
              <a:t> vs. Temperature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manualLayout>
          <c:layoutTarget val="inner"/>
          <c:xMode val="edge"/>
          <c:yMode val="edge"/>
          <c:x val="9.5013998250218709E-2"/>
          <c:y val="0.15782407407407409"/>
          <c:w val="0.8554304461942257"/>
          <c:h val="0.73284667541557313"/>
        </c:manualLayout>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097900262467193"/>
                  <c:y val="7.36574074074074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Temperature (</a:t>
                </a:r>
                <a:r>
                  <a:rPr lang="en-CA">
                    <a:sym typeface="Symbol" panose="05050102010706020507" pitchFamily="18" charset="2"/>
                  </a:rPr>
                  <a:t>C)</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Volts (mV)</a:t>
                </a:r>
              </a:p>
            </c:rich>
          </c:tx>
          <c:layout>
            <c:manualLayout>
              <c:xMode val="edge"/>
              <c:yMode val="edge"/>
              <c:x val="4.1666666666666664E-2"/>
              <c:y val="0.40274278215223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 Vhalf'!$C$9</c:f>
              <c:strCache>
                <c:ptCount val="1"/>
                <c:pt idx="0">
                  <c:v>Vin(+)</c:v>
                </c:pt>
              </c:strCache>
            </c:strRef>
          </c:tx>
          <c:spPr>
            <a:ln>
              <a:solidFill>
                <a:schemeClr val="tx1"/>
              </a:solidFill>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0129-4D49-8407-DC1AB709F362}"/>
            </c:ext>
          </c:extLst>
        </c:ser>
        <c:ser>
          <c:idx val="1"/>
          <c:order val="1"/>
          <c:tx>
            <c:strRef>
              <c:f>'NonInv+Bias Vhalf'!$E$9</c:f>
              <c:strCache>
                <c:ptCount val="1"/>
                <c:pt idx="0">
                  <c:v>Vout</c:v>
                </c:pt>
              </c:strCache>
            </c:strRef>
          </c:tx>
          <c:spPr>
            <a:ln>
              <a:solidFill>
                <a:srgbClr val="C00000"/>
              </a:solidFill>
              <a:prstDash val="dash"/>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Vhalf'!$E$10:$E$35</c:f>
              <c:numCache>
                <c:formatCode>General</c:formatCode>
                <c:ptCount val="26"/>
                <c:pt idx="0">
                  <c:v>2.5</c:v>
                </c:pt>
                <c:pt idx="1">
                  <c:v>2.6098167583115113</c:v>
                </c:pt>
                <c:pt idx="2">
                  <c:v>2.7185362638745665</c:v>
                </c:pt>
                <c:pt idx="3">
                  <c:v>3.5252429945639494</c:v>
                </c:pt>
                <c:pt idx="4">
                  <c:v>3.3893460442015511</c:v>
                </c:pt>
                <c:pt idx="5">
                  <c:v>2.4357884422296623</c:v>
                </c:pt>
                <c:pt idx="6">
                  <c:v>1.5412666503450549</c:v>
                </c:pt>
                <c:pt idx="7">
                  <c:v>1.5281998787078295</c:v>
                </c:pt>
                <c:pt idx="8">
                  <c:v>2.4086016569007525</c:v>
                </c:pt>
                <c:pt idx="9">
                  <c:v>3.3730346502340676</c:v>
                </c:pt>
                <c:pt idx="10">
                  <c:v>3.5348036123477491</c:v>
                </c:pt>
                <c:pt idx="11">
                  <c:v>2.7451789055102731</c:v>
                </c:pt>
                <c:pt idx="12">
                  <c:v>1.7301378436471033</c:v>
                </c:pt>
                <c:pt idx="13">
                  <c:v>1.4229044979335512</c:v>
                </c:pt>
                <c:pt idx="14">
                  <c:v>2.1059477895394889</c:v>
                </c:pt>
                <c:pt idx="15">
                  <c:v>3.151280866177943</c:v>
                </c:pt>
                <c:pt idx="16">
                  <c:v>3.5978293179880003</c:v>
                </c:pt>
                <c:pt idx="17">
                  <c:v>3.0350385577391821</c:v>
                </c:pt>
                <c:pt idx="18">
                  <c:v>1.9803358149616876</c:v>
                </c:pt>
                <c:pt idx="19">
                  <c:v>1.4034099273542431</c:v>
                </c:pt>
                <c:pt idx="20">
                  <c:v>1.8346838953530891</c:v>
                </c:pt>
                <c:pt idx="21">
                  <c:v>2.8776464217018827</c:v>
                </c:pt>
                <c:pt idx="22">
                  <c:v>3.5734025695436742</c:v>
                </c:pt>
                <c:pt idx="23">
                  <c:v>3.2822773451965785</c:v>
                </c:pt>
                <c:pt idx="24">
                  <c:v>2.2719299373325632</c:v>
                </c:pt>
                <c:pt idx="25">
                  <c:v>1.4712690932860069</c:v>
                </c:pt>
              </c:numCache>
            </c:numRef>
          </c:yVal>
          <c:smooth val="1"/>
          <c:extLst>
            <c:ext xmlns:c16="http://schemas.microsoft.com/office/drawing/2014/chart" uri="{C3380CC4-5D6E-409C-BE32-E72D297353CC}">
              <c16:uniqueId val="{00000001-0129-4D49-8407-DC1AB709F36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75631739708957"/>
          <c:y val="0.63585960957098686"/>
          <c:w val="0.24804116988014055"/>
          <c:h val="0.2408431870415400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BPF'!$C$17</c:f>
              <c:strCache>
                <c:ptCount val="1"/>
                <c:pt idx="0">
                  <c:v>Vin(+)</c:v>
                </c:pt>
              </c:strCache>
            </c:strRef>
          </c:tx>
          <c:spPr>
            <a:ln>
              <a:solidFill>
                <a:schemeClr val="tx1"/>
              </a:solidFill>
            </a:ln>
          </c:spPr>
          <c:marker>
            <c:symbol val="none"/>
          </c:marker>
          <c:xVal>
            <c:numRef>
              <c:f>'Unity BPF'!$B$18:$B$43</c:f>
              <c:numCache>
                <c:formatCode>General</c:formatCode>
                <c:ptCount val="26"/>
                <c:pt idx="0">
                  <c:v>0</c:v>
                </c:pt>
                <c:pt idx="1">
                  <c:v>2.5432545960438012E-4</c:v>
                </c:pt>
                <c:pt idx="2">
                  <c:v>5.0865091920876025E-4</c:v>
                </c:pt>
                <c:pt idx="3">
                  <c:v>7.6297637881314042E-4</c:v>
                </c:pt>
                <c:pt idx="4">
                  <c:v>1.0173018384175205E-3</c:v>
                </c:pt>
                <c:pt idx="5">
                  <c:v>1.2716272980219006E-3</c:v>
                </c:pt>
                <c:pt idx="6">
                  <c:v>1.5259527576262806E-3</c:v>
                </c:pt>
                <c:pt idx="7">
                  <c:v>1.7802782172306607E-3</c:v>
                </c:pt>
                <c:pt idx="8">
                  <c:v>2.034603676835041E-3</c:v>
                </c:pt>
                <c:pt idx="9">
                  <c:v>2.2889291364394213E-3</c:v>
                </c:pt>
                <c:pt idx="10">
                  <c:v>2.5432545960438016E-3</c:v>
                </c:pt>
                <c:pt idx="11">
                  <c:v>2.7975800556481818E-3</c:v>
                </c:pt>
                <c:pt idx="12">
                  <c:v>3.0519055152525621E-3</c:v>
                </c:pt>
                <c:pt idx="13">
                  <c:v>3.3062309748569424E-3</c:v>
                </c:pt>
                <c:pt idx="14">
                  <c:v>3.5605564344613227E-3</c:v>
                </c:pt>
                <c:pt idx="15">
                  <c:v>3.814881894065703E-3</c:v>
                </c:pt>
                <c:pt idx="16">
                  <c:v>4.0692073536700828E-3</c:v>
                </c:pt>
                <c:pt idx="17">
                  <c:v>4.3235328132744631E-3</c:v>
                </c:pt>
                <c:pt idx="18">
                  <c:v>4.5778582728788434E-3</c:v>
                </c:pt>
                <c:pt idx="19">
                  <c:v>4.8321837324832237E-3</c:v>
                </c:pt>
                <c:pt idx="20">
                  <c:v>5.086509192087604E-3</c:v>
                </c:pt>
                <c:pt idx="21">
                  <c:v>5.3408346516919843E-3</c:v>
                </c:pt>
                <c:pt idx="22">
                  <c:v>5.5951601112963645E-3</c:v>
                </c:pt>
                <c:pt idx="23">
                  <c:v>5.8494855709007448E-3</c:v>
                </c:pt>
                <c:pt idx="24">
                  <c:v>6.1038110305051251E-3</c:v>
                </c:pt>
                <c:pt idx="25">
                  <c:v>6.3581364901095054E-3</c:v>
                </c:pt>
              </c:numCache>
            </c:numRef>
          </c:xVal>
          <c:yVal>
            <c:numRef>
              <c:f>'Unity BPF'!$C$18:$C$43</c:f>
              <c:numCache>
                <c:formatCode>General</c:formatCode>
                <c:ptCount val="26"/>
                <c:pt idx="0">
                  <c:v>0</c:v>
                </c:pt>
                <c:pt idx="1">
                  <c:v>0.84432792550201496</c:v>
                </c:pt>
                <c:pt idx="2">
                  <c:v>0.90482705246601969</c:v>
                </c:pt>
                <c:pt idx="3">
                  <c:v>0.12533323356430454</c:v>
                </c:pt>
                <c:pt idx="4">
                  <c:v>-0.77051324277578881</c:v>
                </c:pt>
                <c:pt idx="5">
                  <c:v>-0.95105651629515386</c:v>
                </c:pt>
                <c:pt idx="6">
                  <c:v>-0.24868988716485621</c:v>
                </c:pt>
                <c:pt idx="7">
                  <c:v>0.68454710592868662</c:v>
                </c:pt>
                <c:pt idx="8">
                  <c:v>0.98228725072868894</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-0.90482705246602091</c:v>
                </c:pt>
                <c:pt idx="24">
                  <c:v>-0.84432792550201252</c:v>
                </c:pt>
                <c:pt idx="25">
                  <c:v>6.1253085936741059E-15</c:v>
                </c:pt>
              </c:numCache>
            </c:numRef>
          </c:yVal>
          <c:smooth val="1"/>
          <c:extLst>
            <c:ext xmlns:c16="http://schemas.microsoft.com/office/drawing/2014/chart" uri="{C3380CC4-5D6E-409C-BE32-E72D297353CC}">
              <c16:uniqueId val="{00000000-87C5-4032-B7C9-83A2143E28D1}"/>
            </c:ext>
          </c:extLst>
        </c:ser>
        <c:ser>
          <c:idx val="1"/>
          <c:order val="1"/>
          <c:tx>
            <c:strRef>
              <c:f>'Unity BPF'!$E$17</c:f>
              <c:strCache>
                <c:ptCount val="1"/>
                <c:pt idx="0">
                  <c:v>Vout</c:v>
                </c:pt>
              </c:strCache>
            </c:strRef>
          </c:tx>
          <c:spPr>
            <a:ln>
              <a:solidFill>
                <a:srgbClr val="C00000"/>
              </a:solidFill>
              <a:prstDash val="dash"/>
            </a:ln>
          </c:spPr>
          <c:marker>
            <c:symbol val="none"/>
          </c:marker>
          <c:xVal>
            <c:numRef>
              <c:f>'Unity BPF'!$B$18:$B$43</c:f>
              <c:numCache>
                <c:formatCode>General</c:formatCode>
                <c:ptCount val="26"/>
                <c:pt idx="0">
                  <c:v>0</c:v>
                </c:pt>
                <c:pt idx="1">
                  <c:v>2.5432545960438012E-4</c:v>
                </c:pt>
                <c:pt idx="2">
                  <c:v>5.0865091920876025E-4</c:v>
                </c:pt>
                <c:pt idx="3">
                  <c:v>7.6297637881314042E-4</c:v>
                </c:pt>
                <c:pt idx="4">
                  <c:v>1.0173018384175205E-3</c:v>
                </c:pt>
                <c:pt idx="5">
                  <c:v>1.2716272980219006E-3</c:v>
                </c:pt>
                <c:pt idx="6">
                  <c:v>1.5259527576262806E-3</c:v>
                </c:pt>
                <c:pt idx="7">
                  <c:v>1.7802782172306607E-3</c:v>
                </c:pt>
                <c:pt idx="8">
                  <c:v>2.034603676835041E-3</c:v>
                </c:pt>
                <c:pt idx="9">
                  <c:v>2.2889291364394213E-3</c:v>
                </c:pt>
                <c:pt idx="10">
                  <c:v>2.5432545960438016E-3</c:v>
                </c:pt>
                <c:pt idx="11">
                  <c:v>2.7975800556481818E-3</c:v>
                </c:pt>
                <c:pt idx="12">
                  <c:v>3.0519055152525621E-3</c:v>
                </c:pt>
                <c:pt idx="13">
                  <c:v>3.3062309748569424E-3</c:v>
                </c:pt>
                <c:pt idx="14">
                  <c:v>3.5605564344613227E-3</c:v>
                </c:pt>
                <c:pt idx="15">
                  <c:v>3.814881894065703E-3</c:v>
                </c:pt>
                <c:pt idx="16">
                  <c:v>4.0692073536700828E-3</c:v>
                </c:pt>
                <c:pt idx="17">
                  <c:v>4.3235328132744631E-3</c:v>
                </c:pt>
                <c:pt idx="18">
                  <c:v>4.5778582728788434E-3</c:v>
                </c:pt>
                <c:pt idx="19">
                  <c:v>4.8321837324832237E-3</c:v>
                </c:pt>
                <c:pt idx="20">
                  <c:v>5.086509192087604E-3</c:v>
                </c:pt>
                <c:pt idx="21">
                  <c:v>5.3408346516919843E-3</c:v>
                </c:pt>
                <c:pt idx="22">
                  <c:v>5.5951601112963645E-3</c:v>
                </c:pt>
                <c:pt idx="23">
                  <c:v>5.8494855709007448E-3</c:v>
                </c:pt>
                <c:pt idx="24">
                  <c:v>6.1038110305051251E-3</c:v>
                </c:pt>
                <c:pt idx="25">
                  <c:v>6.3581364901095054E-3</c:v>
                </c:pt>
              </c:numCache>
            </c:numRef>
          </c:xVal>
          <c:yVal>
            <c:numRef>
              <c:f>'Unity BPF'!$E$18:$E$43</c:f>
              <c:numCache>
                <c:formatCode>General</c:formatCode>
                <c:ptCount val="26"/>
                <c:pt idx="0">
                  <c:v>0</c:v>
                </c:pt>
                <c:pt idx="1">
                  <c:v>0.76757084136546816</c:v>
                </c:pt>
                <c:pt idx="2">
                  <c:v>0.82257004769638142</c:v>
                </c:pt>
                <c:pt idx="3">
                  <c:v>0.11393930324027686</c:v>
                </c:pt>
                <c:pt idx="4">
                  <c:v>-0.70046658434162623</c:v>
                </c:pt>
                <c:pt idx="5">
                  <c:v>-0.86459683299559442</c:v>
                </c:pt>
                <c:pt idx="6">
                  <c:v>-0.2260817156044147</c:v>
                </c:pt>
                <c:pt idx="7">
                  <c:v>0.62231555084426049</c:v>
                </c:pt>
                <c:pt idx="8">
                  <c:v>0.89298840975335347</c:v>
                </c:pt>
                <c:pt idx="9">
                  <c:v>0.33465868425879819</c:v>
                </c:pt>
                <c:pt idx="10">
                  <c:v>-0.53435022935679344</c:v>
                </c:pt>
                <c:pt idx="11">
                  <c:v>-0.90729702584388316</c:v>
                </c:pt>
                <c:pt idx="12">
                  <c:v>-0.43795788554701343</c:v>
                </c:pt>
                <c:pt idx="13">
                  <c:v>0.43795788554701404</c:v>
                </c:pt>
                <c:pt idx="14">
                  <c:v>0.90729702584388328</c:v>
                </c:pt>
                <c:pt idx="15">
                  <c:v>0.53435022935679277</c:v>
                </c:pt>
                <c:pt idx="16">
                  <c:v>-0.3346586842587988</c:v>
                </c:pt>
                <c:pt idx="17">
                  <c:v>-0.89298840975335358</c:v>
                </c:pt>
                <c:pt idx="18">
                  <c:v>-0.62231555084426238</c:v>
                </c:pt>
                <c:pt idx="19">
                  <c:v>0.22608171560441465</c:v>
                </c:pt>
                <c:pt idx="20">
                  <c:v>0.86459683299559487</c:v>
                </c:pt>
                <c:pt idx="21">
                  <c:v>0.70046658434162423</c:v>
                </c:pt>
                <c:pt idx="22">
                  <c:v>-0.11393930324028156</c:v>
                </c:pt>
                <c:pt idx="23">
                  <c:v>-0.82257004769638264</c:v>
                </c:pt>
                <c:pt idx="24">
                  <c:v>-0.76757084136546594</c:v>
                </c:pt>
                <c:pt idx="25">
                  <c:v>5.5684623578855508E-15</c:v>
                </c:pt>
              </c:numCache>
            </c:numRef>
          </c:yVal>
          <c:smooth val="1"/>
          <c:extLst>
            <c:ext xmlns:c16="http://schemas.microsoft.com/office/drawing/2014/chart" uri="{C3380CC4-5D6E-409C-BE32-E72D297353CC}">
              <c16:uniqueId val="{00000001-87C5-4032-B7C9-83A2143E28D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image" Target="../media/image17.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chart" Target="../charts/chart21.xml"/><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24.png"/><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chart" Target="../charts/chart25.xml"/><Relationship Id="rId4"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chart" Target="../charts/chart30.xml"/><Relationship Id="rId1" Type="http://schemas.openxmlformats.org/officeDocument/2006/relationships/chart" Target="../charts/chart29.xml"/><Relationship Id="rId5" Type="http://schemas.openxmlformats.org/officeDocument/2006/relationships/image" Target="../media/image30.jpeg"/><Relationship Id="rId4" Type="http://schemas.openxmlformats.org/officeDocument/2006/relationships/image" Target="../media/image2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32.xml"/><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image" Target="../media/image34.jpeg"/><Relationship Id="rId4" Type="http://schemas.openxmlformats.org/officeDocument/2006/relationships/image" Target="../media/image33.png"/></Relationships>
</file>

<file path=xl/drawings/_rels/drawing23.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chart" Target="../charts/chart35.xml"/></Relationships>
</file>

<file path=xl/drawings/_rels/drawing2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chart" Target="../charts/chart3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chart" Target="../charts/chart37.xml"/></Relationships>
</file>

<file path=xl/drawings/_rels/drawing26.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8.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chart" Target="../charts/chart39.xml"/></Relationships>
</file>

<file path=xl/drawings/_rels/drawing28.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chart" Target="../charts/chart40.xml"/></Relationships>
</file>

<file path=xl/drawings/_rels/drawing29.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jpeg"/><Relationship Id="rId1" Type="http://schemas.openxmlformats.org/officeDocument/2006/relationships/chart" Target="../charts/chart41.xml"/><Relationship Id="rId4" Type="http://schemas.openxmlformats.org/officeDocument/2006/relationships/image" Target="../media/image4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3" Type="http://schemas.openxmlformats.org/officeDocument/2006/relationships/image" Target="../media/image41.jpeg"/><Relationship Id="rId2" Type="http://schemas.openxmlformats.org/officeDocument/2006/relationships/image" Target="../media/image42.png"/><Relationship Id="rId1" Type="http://schemas.openxmlformats.org/officeDocument/2006/relationships/chart" Target="../charts/chart42.xml"/><Relationship Id="rId4" Type="http://schemas.openxmlformats.org/officeDocument/2006/relationships/image" Target="../media/image43.png"/></Relationships>
</file>

<file path=xl/drawings/_rels/drawing3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chart" Target="../charts/chart43.xml"/></Relationships>
</file>

<file path=xl/drawings/_rels/drawing32.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chart" Target="../charts/chart44.xml"/></Relationships>
</file>

<file path=xl/drawings/_rels/drawing33.xml.rels><?xml version="1.0" encoding="UTF-8" standalone="yes"?>
<Relationships xmlns="http://schemas.openxmlformats.org/package/2006/relationships"><Relationship Id="rId8" Type="http://schemas.openxmlformats.org/officeDocument/2006/relationships/image" Target="../media/image53.png"/><Relationship Id="rId3" Type="http://schemas.openxmlformats.org/officeDocument/2006/relationships/image" Target="../media/image48.png"/><Relationship Id="rId7" Type="http://schemas.openxmlformats.org/officeDocument/2006/relationships/image" Target="../media/image52.png"/><Relationship Id="rId12" Type="http://schemas.openxmlformats.org/officeDocument/2006/relationships/image" Target="../media/image57.png"/><Relationship Id="rId2" Type="http://schemas.openxmlformats.org/officeDocument/2006/relationships/image" Target="../media/image47.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png"/><Relationship Id="rId5" Type="http://schemas.openxmlformats.org/officeDocument/2006/relationships/image" Target="../media/image50.png"/><Relationship Id="rId10" Type="http://schemas.openxmlformats.org/officeDocument/2006/relationships/image" Target="../media/image55.png"/><Relationship Id="rId4" Type="http://schemas.openxmlformats.org/officeDocument/2006/relationships/image" Target="../media/image49.png"/><Relationship Id="rId9" Type="http://schemas.openxmlformats.org/officeDocument/2006/relationships/image" Target="../media/image54.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13.png"/><Relationship Id="rId1" Type="http://schemas.openxmlformats.org/officeDocument/2006/relationships/chart" Target="../charts/chart12.xml"/><Relationship Id="rId5" Type="http://schemas.openxmlformats.org/officeDocument/2006/relationships/image" Target="../media/image15.jpe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602549</xdr:colOff>
      <xdr:row>7</xdr:row>
      <xdr:rowOff>113926</xdr:rowOff>
    </xdr:from>
    <xdr:to>
      <xdr:col>19</xdr:col>
      <xdr:colOff>304460</xdr:colOff>
      <xdr:row>23</xdr:row>
      <xdr:rowOff>90340</xdr:rowOff>
    </xdr:to>
    <mc:AlternateContent xmlns:mc="http://schemas.openxmlformats.org/markup-compatibility/2006">
      <mc:Choice xmlns:a14="http://schemas.microsoft.com/office/drawing/2010/main"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8457873" y="1918073"/>
              <a:ext cx="3937734" cy="306923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a:t>
              </a:r>
              <a14:m>
                <m:oMath xmlns:m="http://schemas.openxmlformats.org/officeDocument/2006/math">
                  <m:sSub>
                    <m:sSubPr>
                      <m:ctrlPr>
                        <a:rPr lang="en-CA" sz="1200" b="1"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num>
                    <m:den>
                      <m:rad>
                        <m:radPr>
                          <m:degHide m:val="on"/>
                          <m:ctrlPr>
                            <a:rPr lang="en-CA" sz="1200" b="1"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r>
                    <a:rPr lang="en-US" sz="1200" b="1" i="1" kern="1200">
                      <a:solidFill>
                        <a:schemeClr val="tx1"/>
                      </a:solidFill>
                      <a:effectLst/>
                      <a:latin typeface="+mn-lt"/>
                      <a:ea typeface="+mn-ea"/>
                      <a:cs typeface="+mn-cs"/>
                    </a:rPr>
                    <m:t> </m:t>
                  </m:r>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num>
                    <m:den>
                      <m:rad>
                        <m:radPr>
                          <m:degHide m:val="on"/>
                          <m:ctrlPr>
                            <a:rPr lang="en-CA" sz="1200" b="1"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m:t>
                      </m:r>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1</m:t>
                                  </m:r>
                                </m:sub>
                              </m:sSub>
                            </m:e>
                            <m:sup>
                              <m:r>
                                <a:rPr lang="en-CA" sz="1200" i="1" kern="1200">
                                  <a:solidFill>
                                    <a:schemeClr val="tx1"/>
                                  </a:solidFill>
                                  <a:effectLst/>
                                  <a:latin typeface="+mn-lt"/>
                                  <a:ea typeface="+mn-ea"/>
                                  <a:cs typeface="+mn-cs"/>
                                </a:rPr>
                                <m:t>2</m:t>
                              </m:r>
                            </m:sup>
                          </m:sSup>
                          <m:r>
                            <a:rPr lang="en-CA"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CA" sz="1200" i="1" kern="1200">
                                      <a:solidFill>
                                        <a:schemeClr val="tx1"/>
                                      </a:solidFill>
                                      <a:effectLst/>
                                      <a:latin typeface="+mn-lt"/>
                                      <a:ea typeface="+mn-ea"/>
                                      <a:cs typeface="+mn-cs"/>
                                    </a:rPr>
                                    <m:t>𝑐</m:t>
                                  </m:r>
                                </m:sub>
                              </m:sSub>
                            </m:e>
                            <m:sup>
                              <m:r>
                                <a:rPr lang="en-CA"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xdr:txBody>
        </xdr:sp>
      </mc:Choice>
      <mc:Fallback>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8457873" y="1918073"/>
              <a:ext cx="3937734" cy="306923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a:t>
              </a:r>
              <a:r>
                <a:rPr lang="en-US" sz="1200" i="0" kern="1200">
                  <a:solidFill>
                    <a:schemeClr val="tx1"/>
                  </a:solidFill>
                  <a:effectLst/>
                  <a:latin typeface="+mn-lt"/>
                  <a:ea typeface="+mn-ea"/>
                  <a:cs typeface="+mn-cs"/>
                </a:rPr>
                <a:t>𝑉</a:t>
              </a:r>
              <a:r>
                <a:rPr lang="en-CA" sz="1200" b="1"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b="1" i="0" kern="1200">
                  <a:solidFill>
                    <a:schemeClr val="tx1"/>
                  </a:solidFill>
                  <a:effectLst/>
                  <a:latin typeface="+mn-lt"/>
                  <a:ea typeface="+mn-ea"/>
                  <a:cs typeface="+mn-cs"/>
                </a:rPr>
                <a:t> </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US" sz="1200" b="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US" sz="1200" b="1" i="0" kern="1200">
                  <a:solidFill>
                    <a:schemeClr val="tx1"/>
                  </a:solidFill>
                  <a:effectLst/>
                  <a:latin typeface="+mn-lt"/>
                  <a:ea typeface="+mn-ea"/>
                  <a:cs typeface="+mn-cs"/>
                </a:rPr>
                <a:t>  </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𝑅_𝐹/√(〖𝑅_1〗^2+〖𝑋_𝑐〗^2 )</a:t>
              </a:r>
              <a:endParaRPr lang="en-CA" sz="1200" kern="1200">
                <a:solidFill>
                  <a:schemeClr val="tx1"/>
                </a:solidFill>
                <a:effectLst/>
                <a:latin typeface="+mn-lt"/>
                <a:ea typeface="+mn-ea"/>
                <a:cs typeface="+mn-cs"/>
              </a:endParaRPr>
            </a:p>
          </xdr:txBody>
        </xdr:sp>
      </mc:Fallback>
    </mc:AlternateContent>
    <xdr:clientData/>
  </xdr:twoCellAnchor>
  <xdr:twoCellAnchor editAs="oneCell">
    <xdr:from>
      <xdr:col>12</xdr:col>
      <xdr:colOff>442282</xdr:colOff>
      <xdr:row>0</xdr:row>
      <xdr:rowOff>173457</xdr:rowOff>
    </xdr:from>
    <xdr:to>
      <xdr:col>18</xdr:col>
      <xdr:colOff>524804</xdr:colOff>
      <xdr:row>6</xdr:row>
      <xdr:rowOff>195506</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97606" y="173457"/>
          <a:ext cx="3713227" cy="1624490"/>
        </a:xfrm>
        <a:prstGeom prst="rect">
          <a:avLst/>
        </a:prstGeom>
      </xdr:spPr>
    </xdr:pic>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603589"/>
          <a:ext cx="3681016" cy="1888256"/>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B9527088-37A5-435D-BA7C-B3C57460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565547</xdr:colOff>
      <xdr:row>13</xdr:row>
      <xdr:rowOff>110764</xdr:rowOff>
    </xdr:from>
    <xdr:to>
      <xdr:col>17</xdr:col>
      <xdr:colOff>257968</xdr:colOff>
      <xdr:row>25</xdr:row>
      <xdr:rowOff>92364</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400">
                <a:effectLst/>
              </a:endParaRPr>
            </a:p>
            <a:p>
              <a:pPr algn="ct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pPr algn="ctr"/>
              <a:endParaRPr lang="en-US" sz="1200" baseline="30000"/>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4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400">
                <a:effectLst/>
              </a:endParaRPr>
            </a:p>
            <a:p>
              <a:pPr algn="ct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−𝑽^+/𝟐)</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lgn="ctr"/>
              <a:endParaRPr lang="en-US" sz="1200" baseline="30000"/>
            </a:p>
            <a:p>
              <a:pPr algn="ctr"/>
              <a:endParaRPr lang="en-US" sz="1200" baseline="30000"/>
            </a:p>
          </xdr:txBody>
        </xdr:sp>
      </mc:Fallback>
    </mc:AlternateContent>
    <xdr:clientData/>
  </xdr:twoCellAnchor>
  <xdr:twoCellAnchor editAs="oneCell">
    <xdr:from>
      <xdr:col>12</xdr:col>
      <xdr:colOff>119783</xdr:colOff>
      <xdr:row>1</xdr:row>
      <xdr:rowOff>11546</xdr:rowOff>
    </xdr:from>
    <xdr:to>
      <xdr:col>18</xdr:col>
      <xdr:colOff>76782</xdr:colOff>
      <xdr:row>12</xdr:row>
      <xdr:rowOff>136525</xdr:rowOff>
    </xdr:to>
    <xdr:pic>
      <xdr:nvPicPr>
        <xdr:cNvPr id="6" name="Picture 5">
          <a:extLst>
            <a:ext uri="{FF2B5EF4-FFF2-40B4-BE49-F238E27FC236}">
              <a16:creationId xmlns:a16="http://schemas.microsoft.com/office/drawing/2014/main" id="{50A6F07C-89C6-E47C-02C8-0A6D597CC1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848823" y="685031"/>
          <a:ext cx="3805484" cy="2222403"/>
        </a:xfrm>
        <a:prstGeom prst="rect">
          <a:avLst/>
        </a:prstGeom>
      </xdr:spPr>
    </xdr:pic>
    <xdr:clientData/>
  </xdr:twoCellAnchor>
  <xdr:twoCellAnchor editAs="oneCell">
    <xdr:from>
      <xdr:col>17</xdr:col>
      <xdr:colOff>461818</xdr:colOff>
      <xdr:row>13</xdr:row>
      <xdr:rowOff>57727</xdr:rowOff>
    </xdr:from>
    <xdr:to>
      <xdr:col>24</xdr:col>
      <xdr:colOff>88213</xdr:colOff>
      <xdr:row>25</xdr:row>
      <xdr:rowOff>2391</xdr:rowOff>
    </xdr:to>
    <xdr:pic>
      <xdr:nvPicPr>
        <xdr:cNvPr id="3" name="Picture 2">
          <a:extLst>
            <a:ext uri="{FF2B5EF4-FFF2-40B4-BE49-F238E27FC236}">
              <a16:creationId xmlns:a16="http://schemas.microsoft.com/office/drawing/2014/main" id="{261635FB-5400-B687-5ED4-9A5BEEDC0546}"/>
            </a:ext>
          </a:extLst>
        </xdr:cNvPr>
        <xdr:cNvPicPr>
          <a:picLocks noChangeAspect="1"/>
        </xdr:cNvPicPr>
      </xdr:nvPicPr>
      <xdr:blipFill>
        <a:blip xmlns:r="http://schemas.openxmlformats.org/officeDocument/2006/relationships" r:embed="rId3"/>
        <a:stretch>
          <a:fillRect/>
        </a:stretch>
      </xdr:blipFill>
      <xdr:spPr>
        <a:xfrm>
          <a:off x="10814242" y="3117272"/>
          <a:ext cx="3869350" cy="225375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13</xdr:col>
      <xdr:colOff>357187</xdr:colOff>
      <xdr:row>11</xdr:row>
      <xdr:rowOff>99219</xdr:rowOff>
    </xdr:from>
    <xdr:to>
      <xdr:col>21</xdr:col>
      <xdr:colOff>19843</xdr:colOff>
      <xdr:row>30</xdr:row>
      <xdr:rowOff>9923</xdr:rowOff>
    </xdr:to>
    <mc:AlternateContent xmlns:mc="http://schemas.openxmlformats.org/markup-compatibility/2006">
      <mc:Choice xmlns:a14="http://schemas.microsoft.com/office/drawing/2010/main"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284765" y="2659063"/>
              <a:ext cx="4504531" cy="351234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Non-Inverting</a:t>
              </a:r>
              <a:r>
                <a:rPr lang="en-US" sz="1600" b="1" baseline="0">
                  <a:solidFill>
                    <a:srgbClr val="0070C0"/>
                  </a:solidFill>
                </a:rPr>
                <a:t> Amplifying LPF</a:t>
              </a:r>
              <a:r>
                <a:rPr lang="en-US" sz="1600" b="1">
                  <a:solidFill>
                    <a:srgbClr val="0070C0"/>
                  </a:solidFill>
                </a:rPr>
                <a:t> </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CA" sz="1200" b="1" i="1" kern="1200">
                  <a:solidFill>
                    <a:schemeClr val="tx1"/>
                  </a:solidFill>
                  <a:effectLst/>
                  <a:latin typeface="+mn-lt"/>
                  <a:ea typeface="+mn-ea"/>
                  <a:cs typeface="+mn-cs"/>
                </a:rPr>
                <a:t>Transfer Function:</a:t>
              </a:r>
              <a:r>
                <a:rPr lang="en-CA"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𝑏</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=1+</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𝑏</m:t>
                              </m:r>
                            </m:sub>
                          </m:sSub>
                        </m:den>
                      </m:f>
                    </m:e>
                  </m:d>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𝑏</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sym typeface="Wingdings" panose="05000000000000000000" pitchFamily="2" charset="2"/>
                </a:rPr>
                <a:t></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𝐺𝑎𝑖𝑛</m:t>
                      </m:r>
                    </m:e>
                    <m:sub>
                      <m:r>
                        <a:rPr lang="en-US" sz="1200" i="1" kern="1200">
                          <a:solidFill>
                            <a:schemeClr val="tx1"/>
                          </a:solidFill>
                          <a:effectLst/>
                          <a:latin typeface="+mn-lt"/>
                          <a:ea typeface="+mn-ea"/>
                          <a:cs typeface="+mn-cs"/>
                        </a:rPr>
                        <m:t>𝑑𝐵</m:t>
                      </m:r>
                    </m:sub>
                  </m:sSub>
                  <m:r>
                    <a:rPr lang="en-US" sz="1200" i="1" kern="1200">
                      <a:solidFill>
                        <a:schemeClr val="tx1"/>
                      </a:solidFill>
                      <a:effectLst/>
                      <a:latin typeface="+mn-lt"/>
                      <a:ea typeface="+mn-ea"/>
                      <a:cs typeface="+mn-cs"/>
                    </a:rPr>
                    <m:t>=20×</m:t>
                  </m:r>
                  <m:r>
                    <a:rPr lang="en-US" sz="1200" i="1" kern="1200">
                      <a:solidFill>
                        <a:schemeClr val="tx1"/>
                      </a:solidFill>
                      <a:effectLst/>
                      <a:latin typeface="+mn-lt"/>
                      <a:ea typeface="+mn-ea"/>
                      <a:cs typeface="+mn-cs"/>
                    </a:rPr>
                    <m:t>𝑙𝑜𝑔</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𝑏</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
                    <m:dPr>
                      <m:ctrlPr>
                        <a:rPr lang="en-CA" sz="1200" i="1" kern="1200">
                          <a:solidFill>
                            <a:schemeClr val="tx1"/>
                          </a:solidFill>
                          <a:effectLst/>
                          <a:latin typeface="+mn-lt"/>
                          <a:ea typeface="+mn-ea"/>
                          <a:cs typeface="+mn-cs"/>
                        </a:rPr>
                      </m:ctrlPr>
                    </m:dPr>
                    <m:e>
                      <m:r>
                        <a:rPr lang="en-CA" sz="1200" i="1" kern="1200">
                          <a:solidFill>
                            <a:schemeClr val="tx1"/>
                          </a:solidFill>
                          <a:effectLst/>
                          <a:latin typeface="+mn-lt"/>
                          <a:ea typeface="+mn-ea"/>
                          <a:cs typeface="+mn-cs"/>
                        </a:rPr>
                        <m:t>1+</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𝑏</m:t>
                              </m:r>
                            </m:sub>
                          </m:sSub>
                        </m:den>
                      </m:f>
                    </m:e>
                  </m:d>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e>
                            <m:sup>
                              <m:r>
                                <a:rPr lang="en-US" sz="1200" i="1" kern="1200">
                                  <a:solidFill>
                                    <a:schemeClr val="tx1"/>
                                  </a:solidFill>
                                  <a:effectLst/>
                                  <a:latin typeface="+mn-lt"/>
                                  <a:ea typeface="+mn-ea"/>
                                  <a:cs typeface="+mn-cs"/>
                                </a:rPr>
                                <m:t>2</m:t>
                              </m:r>
                            </m:sup>
                          </m:sSup>
                          <m:r>
                            <a:rPr lang="en-US"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pPr algn="l"/>
              <a:endParaRPr lang="en-US" sz="1600" b="1">
                <a:solidFill>
                  <a:srgbClr val="0070C0"/>
                </a:solidFill>
              </a:endParaRPr>
            </a:p>
          </xdr:txBody>
        </xdr:sp>
      </mc:Choice>
      <mc:Fallback>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284765" y="2659063"/>
              <a:ext cx="4504531" cy="351234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Non-Inverting</a:t>
              </a:r>
              <a:r>
                <a:rPr lang="en-US" sz="1600" b="1" baseline="0">
                  <a:solidFill>
                    <a:srgbClr val="0070C0"/>
                  </a:solidFill>
                </a:rPr>
                <a:t> Amplifying LPF</a:t>
              </a:r>
              <a:r>
                <a:rPr lang="en-US" sz="1600" b="1">
                  <a:solidFill>
                    <a:srgbClr val="0070C0"/>
                  </a:solidFill>
                </a:rPr>
                <a:t> </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CA" sz="1200" b="1" i="1" kern="1200">
                  <a:solidFill>
                    <a:schemeClr val="tx1"/>
                  </a:solidFill>
                  <a:effectLst/>
                  <a:latin typeface="+mn-lt"/>
                  <a:ea typeface="+mn-ea"/>
                  <a:cs typeface="+mn-cs"/>
                </a:rPr>
                <a:t>Transfer Function:</a:t>
              </a:r>
              <a:r>
                <a:rPr lang="en-CA"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𝑏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𝑏 )</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𝑏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sym typeface="Wingdings" panose="05000000000000000000" pitchFamily="2" charset="2"/>
                </a:rPr>
                <a:t></a:t>
              </a:r>
              <a:r>
                <a:rPr lang="en-US" sz="1200" i="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𝐺𝑎𝑖𝑛</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𝑑𝐵=20×𝑙𝑜𝑔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𝑏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(1+𝑅_𝐹/𝑅_𝑏 )  </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pPr algn="l"/>
              <a:endParaRPr lang="en-US" sz="1600" b="1">
                <a:solidFill>
                  <a:srgbClr val="0070C0"/>
                </a:solidFill>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379811</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402012</xdr:colOff>
      <xdr:row>10</xdr:row>
      <xdr:rowOff>173809</xdr:rowOff>
    </xdr:from>
    <xdr:to>
      <xdr:col>18</xdr:col>
      <xdr:colOff>550841</xdr:colOff>
      <xdr:row>27</xdr:row>
      <xdr:rowOff>174432</xdr:rowOff>
    </xdr:to>
    <mc:AlternateContent xmlns:mc="http://schemas.openxmlformats.org/markup-compatibility/2006">
      <mc:Choice xmlns:a14="http://schemas.microsoft.com/office/drawing/2010/main"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593512" y="2583074"/>
              <a:ext cx="3174417" cy="3261534"/>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CA" sz="1200" b="1" kern="1200">
                  <a:solidFill>
                    <a:schemeClr val="tx1"/>
                  </a:solidFill>
                  <a:effectLst/>
                  <a:latin typeface="+mn-lt"/>
                  <a:ea typeface="+mn-ea"/>
                  <a:cs typeface="+mn-cs"/>
                </a:rPr>
                <a:t>Transfer Function: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d>
                        <m:dPr>
                          <m:ctrlPr>
                            <a:rPr lang="en-CA" sz="1200" i="1" kern="1200">
                              <a:solidFill>
                                <a:schemeClr val="tx1"/>
                              </a:solidFill>
                              <a:effectLst/>
                              <a:latin typeface="+mn-lt"/>
                              <a:ea typeface="+mn-ea"/>
                              <a:cs typeface="+mn-cs"/>
                            </a:rPr>
                          </m:ctrlPr>
                        </m:dPr>
                        <m:e>
                          <m:r>
                            <a:rPr lang="en-US" sz="1200" i="1" kern="1200">
                              <a:solidFill>
                                <a:schemeClr val="tx1"/>
                              </a:solidFill>
                              <a:effectLst/>
                              <a:latin typeface="+mn-lt"/>
                              <a:ea typeface="+mn-ea"/>
                              <a:cs typeface="+mn-cs"/>
                            </a:rPr>
                            <m:t>1+</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𝐵</m:t>
                                  </m:r>
                                </m:sub>
                              </m:sSub>
                            </m:den>
                          </m:f>
                        </m:e>
                      </m:d>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=1+</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𝑏</m:t>
                              </m:r>
                            </m:sub>
                          </m:sSub>
                        </m:den>
                      </m:f>
                    </m:e>
                  </m:d>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b="1" i="1" kern="1200">
                          <a:solidFill>
                            <a:schemeClr val="tx1"/>
                          </a:solidFill>
                          <a:effectLst/>
                          <a:latin typeface="+mn-lt"/>
                          <a:ea typeface="+mn-ea"/>
                          <a:cs typeface="+mn-cs"/>
                        </a:rPr>
                      </m:ctrlPr>
                    </m:fPr>
                    <m:num>
                      <m:d>
                        <m:dPr>
                          <m:ctrlPr>
                            <a:rPr lang="en-CA" sz="1200" i="1" kern="1200">
                              <a:solidFill>
                                <a:schemeClr val="tx1"/>
                              </a:solidFill>
                              <a:effectLst/>
                              <a:latin typeface="+mn-lt"/>
                              <a:ea typeface="+mn-ea"/>
                              <a:cs typeface="+mn-cs"/>
                            </a:rPr>
                          </m:ctrlPr>
                        </m:dPr>
                        <m:e>
                          <m:r>
                            <a:rPr lang="en-US" sz="1200" i="1" kern="1200">
                              <a:solidFill>
                                <a:schemeClr val="tx1"/>
                              </a:solidFill>
                              <a:effectLst/>
                              <a:latin typeface="+mn-lt"/>
                              <a:ea typeface="+mn-ea"/>
                              <a:cs typeface="+mn-cs"/>
                            </a:rPr>
                            <m:t>1+</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𝐵</m:t>
                                  </m:r>
                                </m:sub>
                              </m:sSub>
                            </m:den>
                          </m:f>
                        </m:e>
                      </m:d>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1</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1</m:t>
                                      </m:r>
                                    </m:sub>
                                  </m:sSub>
                                </m:e>
                                <m:sup>
                                  <m:r>
                                    <a:rPr lang="en-CA" sz="1200" i="1" kern="1200">
                                      <a:solidFill>
                                        <a:schemeClr val="tx1"/>
                                      </a:solidFill>
                                      <a:effectLst/>
                                      <a:latin typeface="+mn-lt"/>
                                      <a:ea typeface="+mn-ea"/>
                                      <a:cs typeface="+mn-cs"/>
                                    </a:rPr>
                                    <m:t>2</m:t>
                                  </m:r>
                                </m:sup>
                              </m:sSup>
                              <m:r>
                                <a:rPr lang="en-CA"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CA" sz="1200" i="1" kern="1200">
                                          <a:solidFill>
                                            <a:schemeClr val="tx1"/>
                                          </a:solidFill>
                                          <a:effectLst/>
                                          <a:latin typeface="+mn-lt"/>
                                          <a:ea typeface="+mn-ea"/>
                                          <a:cs typeface="+mn-cs"/>
                                        </a:rPr>
                                        <m:t>𝐶</m:t>
                                      </m:r>
                                    </m:sub>
                                  </m:sSub>
                                </m:e>
                                <m:sup>
                                  <m:r>
                                    <a:rPr lang="en-CA" sz="1200" i="1" kern="1200">
                                      <a:solidFill>
                                        <a:schemeClr val="tx1"/>
                                      </a:solidFill>
                                      <a:effectLst/>
                                      <a:latin typeface="+mn-lt"/>
                                      <a:ea typeface="+mn-ea"/>
                                      <a:cs typeface="+mn-cs"/>
                                    </a:rPr>
                                    <m:t>2</m:t>
                                  </m:r>
                                </m:sup>
                              </m:sSup>
                            </m:e>
                          </m:rad>
                        </m:den>
                      </m:f>
                    </m:e>
                  </m:d>
                  <m:d>
                    <m:dPr>
                      <m:ctrlPr>
                        <a:rPr lang="en-CA" sz="1200" i="1" kern="1200">
                          <a:solidFill>
                            <a:schemeClr val="tx1"/>
                          </a:solidFill>
                          <a:effectLst/>
                          <a:latin typeface="+mn-lt"/>
                          <a:ea typeface="+mn-ea"/>
                          <a:cs typeface="+mn-cs"/>
                        </a:rPr>
                      </m:ctrlPr>
                    </m:dPr>
                    <m:e>
                      <m:r>
                        <a:rPr lang="en-CA" sz="1200" i="1" kern="1200">
                          <a:solidFill>
                            <a:schemeClr val="tx1"/>
                          </a:solidFill>
                          <a:effectLst/>
                          <a:latin typeface="+mn-lt"/>
                          <a:ea typeface="+mn-ea"/>
                          <a:cs typeface="+mn-cs"/>
                        </a:rPr>
                        <m:t>1+</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𝑏</m:t>
                              </m:r>
                            </m:sub>
                          </m:sSub>
                        </m:den>
                      </m:f>
                    </m:e>
                  </m:d>
                </m:oMath>
              </a14:m>
              <a:endParaRPr lang="en-CA" sz="1200" kern="1200">
                <a:solidFill>
                  <a:schemeClr val="tx1"/>
                </a:solidFill>
                <a:effectLst/>
                <a:latin typeface="+mn-lt"/>
                <a:ea typeface="+mn-ea"/>
                <a:cs typeface="+mn-cs"/>
              </a:endParaRPr>
            </a:p>
          </xdr:txBody>
        </xdr:sp>
      </mc:Choice>
      <mc:Fallback>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593512" y="2583074"/>
              <a:ext cx="3174417" cy="3261534"/>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CA" sz="1200" b="1" kern="1200">
                  <a:solidFill>
                    <a:schemeClr val="tx1"/>
                  </a:solidFill>
                  <a:effectLst/>
                  <a:latin typeface="+mn-lt"/>
                  <a:ea typeface="+mn-ea"/>
                  <a:cs typeface="+mn-cs"/>
                </a:rPr>
                <a:t>Transfer Function: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1+𝑅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𝐵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𝑏 )</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𝐵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a:t>
              </a:r>
              <a:r>
                <a:rPr lang="en-US" sz="1200" kern="1200">
                  <a:solidFill>
                    <a:schemeClr val="tx1"/>
                  </a:solidFill>
                  <a:effectLst/>
                  <a:latin typeface="+mn-lt"/>
                  <a:ea typeface="+mn-ea"/>
                  <a:cs typeface="+mn-cs"/>
                </a:rPr>
                <a:t> </a:t>
              </a:r>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(𝑅_1/√(〖𝑅_1〗^2+〖𝑋_𝐶〗^2 ))(1+𝑅_𝐹/𝑅_𝑏 )</a:t>
              </a:r>
              <a:endParaRPr lang="en-CA" sz="1200" kern="1200">
                <a:solidFill>
                  <a:schemeClr val="tx1"/>
                </a:solidFill>
                <a:effectLst/>
                <a:latin typeface="+mn-lt"/>
                <a:ea typeface="+mn-ea"/>
                <a:cs typeface="+mn-cs"/>
              </a:endParaRPr>
            </a:p>
          </xdr:txBody>
        </xdr:sp>
      </mc:Fallback>
    </mc:AlternateContent>
    <xdr:clientData/>
  </xdr:twoCellAnchor>
  <xdr:twoCellAnchor editAs="oneCell">
    <xdr:from>
      <xdr:col>12</xdr:col>
      <xdr:colOff>390501</xdr:colOff>
      <xdr:row>1</xdr:row>
      <xdr:rowOff>29765</xdr:rowOff>
    </xdr:from>
    <xdr:to>
      <xdr:col>18</xdr:col>
      <xdr:colOff>336408</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976883" y="634883"/>
          <a:ext cx="3576613" cy="1825275"/>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435372</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1A65311-CB36-40F9-81DC-FA7DC35D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71438</xdr:colOff>
      <xdr:row>0</xdr:row>
      <xdr:rowOff>656563</xdr:rowOff>
    </xdr:from>
    <xdr:to>
      <xdr:col>14</xdr:col>
      <xdr:colOff>458793</xdr:colOff>
      <xdr:row>11</xdr:row>
      <xdr:rowOff>175469</xdr:rowOff>
    </xdr:to>
    <xdr:pic>
      <xdr:nvPicPr>
        <xdr:cNvPr id="3" name="Picture 2">
          <a:extLst>
            <a:ext uri="{FF2B5EF4-FFF2-40B4-BE49-F238E27FC236}">
              <a16:creationId xmlns:a16="http://schemas.microsoft.com/office/drawing/2014/main" id="{AA45419A-BDF4-45FE-99A6-F8825A4ECC9D}"/>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94021" y="656563"/>
          <a:ext cx="2324105" cy="2080073"/>
        </a:xfrm>
        <a:prstGeom prst="rect">
          <a:avLst/>
        </a:prstGeom>
      </xdr:spPr>
    </xdr:pic>
    <xdr:clientData/>
  </xdr:twoCellAnchor>
  <xdr:twoCellAnchor>
    <xdr:from>
      <xdr:col>12</xdr:col>
      <xdr:colOff>605366</xdr:colOff>
      <xdr:row>11</xdr:row>
      <xdr:rowOff>169332</xdr:rowOff>
    </xdr:from>
    <xdr:to>
      <xdr:col>17</xdr:col>
      <xdr:colOff>42334</xdr:colOff>
      <xdr:row>24</xdr:row>
      <xdr:rowOff>76199</xdr:rowOff>
    </xdr:to>
    <mc:AlternateContent xmlns:mc="http://schemas.openxmlformats.org/markup-compatibility/2006" xmlns:a14="http://schemas.microsoft.com/office/drawing/2010/main">
      <mc:Choice Requires="a14">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endParaRPr lang="en-US" sz="1050" i="1">
                <a:latin typeface="Cambria Math" panose="02040503050406030204" pitchFamily="18" charset="0"/>
              </a:endParaRPr>
            </a:p>
          </xdr:txBody>
        </xdr:sp>
      </mc:Choice>
      <mc:Fallback xmlns="">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r>
                <a:rPr lang="en-US" sz="1400" i="0" kern="1200">
                  <a:solidFill>
                    <a:schemeClr val="tx1"/>
                  </a:solidFill>
                  <a:effectLst/>
                  <a:latin typeface="Cambria Math" panose="02040503050406030204" pitchFamily="18" charset="0"/>
                  <a:ea typeface="+mn-ea"/>
                  <a:cs typeface="+mn-cs"/>
                </a:rPr>
                <a:t>𝐴_𝑣=𝑉_𝑜𝑢𝑡/𝑉_𝑖𝑛 =(</a:t>
              </a:r>
              <a:r>
                <a:rPr lang="en-US"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𝑅_𝐹/𝑅_1 )</a:t>
              </a:r>
              <a:endParaRPr lang="en-US" sz="1200">
                <a:effectLst/>
              </a:endParaRPr>
            </a:p>
            <a:p>
              <a:pPr/>
              <a:endParaRPr lang="en-US" sz="12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i="1">
                <a:latin typeface="Cambria Math" panose="02040503050406030204" pitchFamily="18" charset="0"/>
              </a:endParaRPr>
            </a:p>
            <a:p>
              <a:endParaRPr lang="en-US" sz="1200" i="1">
                <a:latin typeface="Cambria Math" panose="02040503050406030204" pitchFamily="18" charset="0"/>
              </a:endParaRPr>
            </a:p>
            <a:p>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−𝑽_𝒃)</a:t>
              </a:r>
              <a:r>
                <a:rPr lang="en-US" sz="1400" b="1" i="0" kern="1200">
                  <a:solidFill>
                    <a:schemeClr val="tx1"/>
                  </a:solidFill>
                  <a:effectLst/>
                  <a:latin typeface="Cambria Math" panose="02040503050406030204" pitchFamily="18" charset="0"/>
                  <a:ea typeface="+mn-ea"/>
                  <a:cs typeface="+mn-cs"/>
                </a:rPr>
                <a:t>+𝑽_𝒃</a:t>
              </a:r>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−𝑽^+/𝟐)</a:t>
              </a:r>
              <a:r>
                <a:rPr lang="en-US" sz="1400" b="1" i="0" kern="1200">
                  <a:solidFill>
                    <a:schemeClr val="tx1"/>
                  </a:solidFill>
                  <a:effectLst/>
                  <a:latin typeface="Cambria Math" panose="02040503050406030204" pitchFamily="18" charset="0"/>
                  <a:ea typeface="+mn-ea"/>
                  <a:cs typeface="+mn-cs"/>
                </a:rPr>
                <a:t>+</a:t>
              </a:r>
              <a:r>
                <a:rPr lang="en-CA" sz="1400" b="1" i="0" kern="1200">
                  <a:solidFill>
                    <a:schemeClr val="tx1"/>
                  </a:solidFill>
                  <a:effectLst/>
                  <a:latin typeface="Cambria Math" panose="02040503050406030204" pitchFamily="18" charset="0"/>
                  <a:ea typeface="+mn-ea"/>
                  <a:cs typeface="+mn-cs"/>
                </a:rPr>
                <a:t>𝑽^+/𝟐</a:t>
              </a:r>
              <a:endParaRPr lang="en-CA" sz="1400">
                <a:effectLst/>
              </a:endParaRPr>
            </a:p>
            <a:p>
              <a:endParaRPr lang="en-US" sz="1050" i="1">
                <a:latin typeface="Cambria Math" panose="02040503050406030204" pitchFamily="18" charset="0"/>
              </a:endParaRPr>
            </a:p>
          </xdr:txBody>
        </xdr:sp>
      </mc:Fallback>
    </mc:AlternateContent>
    <xdr:clientData/>
  </xdr:twoCellAnchor>
  <xdr:twoCellAnchor editAs="oneCell">
    <xdr:from>
      <xdr:col>17</xdr:col>
      <xdr:colOff>276225</xdr:colOff>
      <xdr:row>11</xdr:row>
      <xdr:rowOff>76200</xdr:rowOff>
    </xdr:from>
    <xdr:to>
      <xdr:col>23</xdr:col>
      <xdr:colOff>161925</xdr:colOff>
      <xdr:row>22</xdr:row>
      <xdr:rowOff>148185</xdr:rowOff>
    </xdr:to>
    <xdr:pic>
      <xdr:nvPicPr>
        <xdr:cNvPr id="4" name="Picture 3">
          <a:extLst>
            <a:ext uri="{FF2B5EF4-FFF2-40B4-BE49-F238E27FC236}">
              <a16:creationId xmlns:a16="http://schemas.microsoft.com/office/drawing/2014/main" id="{9EBC5183-4174-C0A2-934E-639294527FFE}"/>
            </a:ext>
          </a:extLst>
        </xdr:cNvPr>
        <xdr:cNvPicPr>
          <a:picLocks noChangeAspect="1"/>
        </xdr:cNvPicPr>
      </xdr:nvPicPr>
      <xdr:blipFill>
        <a:blip xmlns:r="http://schemas.openxmlformats.org/officeDocument/2006/relationships" r:embed="rId3"/>
        <a:stretch>
          <a:fillRect/>
        </a:stretch>
      </xdr:blipFill>
      <xdr:spPr>
        <a:xfrm>
          <a:off x="10677525" y="2733675"/>
          <a:ext cx="3543300" cy="216748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b="0" i="1" kern="1200">
                                <a:solidFill>
                                  <a:schemeClr val="tx1"/>
                                </a:solidFill>
                                <a:effectLst/>
                                <a:latin typeface="Cambria Math" panose="02040503050406030204" pitchFamily="18" charset="0"/>
                                <a:ea typeface="+mn-ea"/>
                                <a:cs typeface="+mn-cs"/>
                              </a:rPr>
                              <m:t>1</m:t>
                            </m:r>
                          </m:sub>
                        </m:sSub>
                      </m:den>
                    </m:f>
                    <m:d>
                      <m:dPr>
                        <m:ctrlPr>
                          <a:rPr lang="en-US" sz="1400" i="1" kern="1200">
                            <a:solidFill>
                              <a:schemeClr val="tx1"/>
                            </a:solidFill>
                            <a:effectLst/>
                            <a:latin typeface="Cambria Math" panose="02040503050406030204" pitchFamily="18" charset="0"/>
                            <a:ea typeface="+mn-ea"/>
                            <a:cs typeface="+mn-cs"/>
                          </a:rPr>
                        </m:ctrlPr>
                      </m:dPr>
                      <m:e>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0" kern="1200">
                                <a:solidFill>
                                  <a:schemeClr val="tx1"/>
                                </a:solidFill>
                                <a:effectLst/>
                                <a:latin typeface="Cambria Math" panose="02040503050406030204" pitchFamily="18" charset="0"/>
                                <a:ea typeface="+mn-ea"/>
                                <a:cs typeface="+mn-cs"/>
                              </a:rPr>
                              <m:t>2</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1" kern="1200">
                                <a:solidFill>
                                  <a:schemeClr val="tx1"/>
                                </a:solidFill>
                                <a:effectLst/>
                                <a:latin typeface="Cambria Math" panose="02040503050406030204" pitchFamily="18" charset="0"/>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CA" sz="1400" b="0" i="0" kern="1200">
                            <a:solidFill>
                              <a:schemeClr val="tx1"/>
                            </a:solidFill>
                            <a:effectLst/>
                            <a:latin typeface="Cambria Math" panose="02040503050406030204" pitchFamily="18" charset="0"/>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3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109141</xdr:colOff>
      <xdr:row>12</xdr:row>
      <xdr:rowOff>138905</xdr:rowOff>
    </xdr:from>
    <xdr:to>
      <xdr:col>17</xdr:col>
      <xdr:colOff>36988</xdr:colOff>
      <xdr:row>24</xdr:row>
      <xdr:rowOff>100788</xdr:rowOff>
    </xdr:to>
    <mc:AlternateContent xmlns:mc="http://schemas.openxmlformats.org/markup-compatibility/2006" xmlns:a14="http://schemas.microsoft.com/office/drawing/2010/main">
      <mc:Choice Requires="a14">
        <xdr:sp macro="" textlink="">
          <xdr:nvSpPr>
            <xdr:cNvPr id="3" name="Rectangle 2">
              <a:extLst>
                <a:ext uri="{FF2B5EF4-FFF2-40B4-BE49-F238E27FC236}">
                  <a16:creationId xmlns:a16="http://schemas.microsoft.com/office/drawing/2014/main" id="{1AF86938-3065-40DF-860C-3AC111BF161B}"/>
                </a:ext>
              </a:extLst>
            </xdr:cNvPr>
            <xdr:cNvSpPr/>
          </xdr:nvSpPr>
          <xdr:spPr>
            <a:xfrm>
              <a:off x="8036719" y="2877343"/>
              <a:ext cx="2348785" cy="2224070"/>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b="1">
                  <a:solidFill>
                    <a:srgbClr val="0070C0"/>
                  </a:solidFill>
                </a:rPr>
                <a:t>Attenuator:</a:t>
              </a:r>
            </a:p>
            <a:p>
              <a14:m>
                <m:oMath xmlns:m="http://schemas.openxmlformats.org/officeDocument/2006/math">
                  <m:sSub>
                    <m:sSubPr>
                      <m:ctrlPr>
                        <a:rPr lang="en-US" i="1">
                          <a:latin typeface="Cambria Math" panose="02040503050406030204" pitchFamily="18" charset="0"/>
                        </a:rPr>
                      </m:ctrlPr>
                    </m:sSubPr>
                    <m:e>
                      <m:r>
                        <a:rPr lang="en-CA" b="0" i="1">
                          <a:latin typeface="Cambria Math" panose="02040503050406030204" pitchFamily="18" charset="0"/>
                        </a:rPr>
                        <m:t>𝐴</m:t>
                      </m:r>
                    </m:e>
                    <m:sub>
                      <m:r>
                        <a:rPr lang="en-CA" b="0" i="1">
                          <a:latin typeface="Cambria Math" panose="02040503050406030204" pitchFamily="18" charset="0"/>
                        </a:rPr>
                        <m:t>𝑣</m:t>
                      </m:r>
                    </m:sub>
                  </m:sSub>
                  <m:r>
                    <a:rPr lang="en-US" i="1">
                      <a:latin typeface="Cambria Math" panose="02040503050406030204" pitchFamily="18" charset="0"/>
                    </a:rPr>
                    <m:t> </m:t>
                  </m:r>
                </m:oMath>
              </a14:m>
              <a:r>
                <a:rPr lang="en-US" i="1">
                  <a:latin typeface="Cambria Math" panose="02040503050406030204" pitchFamily="18" charset="0"/>
                </a:rPr>
                <a:t>=</a:t>
              </a:r>
              <a:r>
                <a:rPr lang="en-US"/>
                <a:t> </a:t>
              </a:r>
              <a14:m>
                <m:oMath xmlns:m="http://schemas.openxmlformats.org/officeDocument/2006/math">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a14:m>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r>
                          <a:rPr lang="en-US">
                            <a:latin typeface="Cambria Math" panose="02040503050406030204" pitchFamily="18" charset="0"/>
                          </a:rPr>
                          <m:t>𝑉</m:t>
                        </m:r>
                      </m:e>
                      <m:sub>
                        <m:r>
                          <a:rPr lang="en-US">
                            <a:latin typeface="Cambria Math" panose="02040503050406030204" pitchFamily="18" charset="0"/>
                          </a:rPr>
                          <m:t>𝑖𝑛</m:t>
                        </m:r>
                      </m:sub>
                    </m:sSub>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3" name="Rectangle 2">
              <a:extLst>
                <a:ext uri="{FF2B5EF4-FFF2-40B4-BE49-F238E27FC236}">
                  <a16:creationId xmlns:a16="http://schemas.microsoft.com/office/drawing/2014/main" id="{1AF86938-3065-40DF-860C-3AC111BF161B}"/>
                </a:ext>
              </a:extLst>
            </xdr:cNvPr>
            <xdr:cNvSpPr/>
          </xdr:nvSpPr>
          <xdr:spPr>
            <a:xfrm>
              <a:off x="8036719" y="2877343"/>
              <a:ext cx="2348785" cy="2224070"/>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b="1">
                  <a:solidFill>
                    <a:srgbClr val="0070C0"/>
                  </a:solidFill>
                </a:rPr>
                <a:t>Attenuator:</a:t>
              </a:r>
            </a:p>
            <a:p>
              <a:r>
                <a:rPr lang="en-CA" b="0" i="0">
                  <a:latin typeface="Cambria Math" panose="02040503050406030204" pitchFamily="18" charset="0"/>
                </a:rPr>
                <a:t>𝐴</a:t>
              </a:r>
              <a:r>
                <a:rPr lang="en-US" b="0" i="0">
                  <a:latin typeface="Cambria Math" panose="02040503050406030204" pitchFamily="18" charset="0"/>
                </a:rPr>
                <a:t>_</a:t>
              </a:r>
              <a:r>
                <a:rPr lang="en-CA" b="0" i="0">
                  <a:latin typeface="Cambria Math" panose="02040503050406030204" pitchFamily="18" charset="0"/>
                </a:rPr>
                <a:t>𝑣</a:t>
              </a:r>
              <a:r>
                <a:rPr lang="en-US" b="0" i="0">
                  <a:latin typeface="Cambria Math" panose="02040503050406030204" pitchFamily="18" charset="0"/>
                </a:rPr>
                <a:t> </a:t>
              </a:r>
              <a:r>
                <a:rPr lang="en-US" i="0">
                  <a:latin typeface="Cambria Math" panose="02040503050406030204" pitchFamily="18" charset="0"/>
                </a:rPr>
                <a:t> </a:t>
              </a:r>
              <a:r>
                <a:rPr lang="en-US" i="1">
                  <a:latin typeface="Cambria Math" panose="02040503050406030204" pitchFamily="18" charset="0"/>
                </a:rPr>
                <a:t>=</a:t>
              </a:r>
              <a:r>
                <a:rPr lang="en-US"/>
                <a:t> </a:t>
              </a:r>
              <a:r>
                <a:rPr lang="en-US" i="0">
                  <a:latin typeface="Cambria Math" panose="02040503050406030204" pitchFamily="18" charset="0"/>
                </a:rPr>
                <a:t>(𝑅_2/(𝑅_1+𝑅_2 ))</a:t>
              </a:r>
              <a:endParaRPr lang="en-US" i="1">
                <a:latin typeface="Cambria Math" panose="02040503050406030204" pitchFamily="18" charset="0"/>
              </a:endParaRPr>
            </a:p>
            <a:p>
              <a:pPr/>
              <a:r>
                <a:rPr lang="en-US" i="0">
                  <a:latin typeface="Cambria Math" panose="02040503050406030204" pitchFamily="18" charset="0"/>
                </a:rPr>
                <a:t>𝑉_𝑜𝑢𝑡=(𝑅_2/(𝑅_1+𝑅_2 ))𝑉_𝑖𝑛</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12</xdr:col>
      <xdr:colOff>188517</xdr:colOff>
      <xdr:row>7</xdr:row>
      <xdr:rowOff>188514</xdr:rowOff>
    </xdr:from>
    <xdr:to>
      <xdr:col>20</xdr:col>
      <xdr:colOff>69453</xdr:colOff>
      <xdr:row>22</xdr:row>
      <xdr:rowOff>128984</xdr:rowOff>
    </xdr:to>
    <mc:AlternateContent xmlns:mc="http://schemas.openxmlformats.org/markup-compatibility/2006">
      <mc:Choice xmlns:a14="http://schemas.microsoft.com/office/drawing/2010/main"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8046642" y="1964530"/>
              <a:ext cx="4722811" cy="282773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200" b="1" kern="1200">
                  <a:solidFill>
                    <a:srgbClr val="0070C0"/>
                  </a:solidFill>
                  <a:effectLst/>
                  <a:latin typeface="+mn-lt"/>
                  <a:ea typeface="+mn-ea"/>
                  <a:cs typeface="+mn-cs"/>
                </a:rPr>
                <a:t>1st Order Unity-Gain Low-Pass Filter Equations</a:t>
              </a:r>
              <a:endParaRPr lang="en-CA" sz="1200" kern="1200">
                <a:solidFill>
                  <a:srgbClr val="0070C0"/>
                </a:solidFill>
                <a:effectLst/>
                <a:latin typeface="+mn-lt"/>
                <a:ea typeface="+mn-ea"/>
                <a:cs typeface="+mn-cs"/>
              </a:endParaRPr>
            </a:p>
            <a:p>
              <a:r>
                <a:rPr lang="en-US" sz="1200" b="1" i="1" kern="1200">
                  <a:solidFill>
                    <a:schemeClr val="tx1"/>
                  </a:solidFill>
                  <a:effectLst/>
                  <a:latin typeface="+mn-lt"/>
                  <a:ea typeface="+mn-ea"/>
                  <a:cs typeface="+mn-cs"/>
                </a:rPr>
                <a:t>Cutoff Frequency: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≈1; </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r>
                    <a:rPr lang="en-US" sz="1200" i="1" kern="1200">
                      <a:solidFill>
                        <a:schemeClr val="tx1"/>
                      </a:solidFill>
                      <a:effectLst/>
                      <a:latin typeface="+mn-lt"/>
                      <a:ea typeface="+mn-ea"/>
                      <a:cs typeface="+mn-cs"/>
                    </a:rPr>
                    <m:t>≈</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i="1" kern="1200" cap="small">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en>
                  </m:f>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r>
                    <a:rPr lang="en-US" sz="1200" i="1" kern="1200">
                      <a:solidFill>
                        <a:schemeClr val="tx1"/>
                      </a:solidFill>
                      <a:effectLst/>
                      <a:latin typeface="+mn-lt"/>
                      <a:ea typeface="+mn-ea"/>
                      <a:cs typeface="+mn-cs"/>
                    </a:rPr>
                    <m:t>→</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𝐺𝑎𝑖𝑛</m:t>
                      </m:r>
                    </m:e>
                    <m:sub>
                      <m:r>
                        <a:rPr lang="en-US" sz="1200" i="1" kern="1200">
                          <a:solidFill>
                            <a:schemeClr val="tx1"/>
                          </a:solidFill>
                          <a:effectLst/>
                          <a:latin typeface="+mn-lt"/>
                          <a:ea typeface="+mn-ea"/>
                          <a:cs typeface="+mn-cs"/>
                        </a:rPr>
                        <m:t>𝑑𝐵</m:t>
                      </m:r>
                    </m:sub>
                  </m:sSub>
                  <m:r>
                    <a:rPr lang="en-US" sz="1200" i="1" kern="1200">
                      <a:solidFill>
                        <a:schemeClr val="tx1"/>
                      </a:solidFill>
                      <a:effectLst/>
                      <a:latin typeface="+mn-lt"/>
                      <a:ea typeface="+mn-ea"/>
                      <a:cs typeface="+mn-cs"/>
                    </a:rPr>
                    <m:t>=20×</m:t>
                  </m:r>
                  <m:r>
                    <a:rPr lang="en-US" sz="1200" i="1" kern="1200">
                      <a:solidFill>
                        <a:schemeClr val="tx1"/>
                      </a:solidFill>
                      <a:effectLst/>
                      <a:latin typeface="+mn-lt"/>
                      <a:ea typeface="+mn-ea"/>
                      <a:cs typeface="+mn-cs"/>
                    </a:rPr>
                    <m:t>𝑙𝑜𝑔</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r>
                <a:rPr lang="en-US" sz="1200" kern="1200">
                  <a:solidFill>
                    <a:schemeClr val="tx1"/>
                  </a:solidFill>
                  <a:effectLst/>
                  <a:latin typeface="+mn-lt"/>
                  <a:ea typeface="+mn-ea"/>
                  <a:cs typeface="+mn-cs"/>
                </a:rPr>
                <a:t>;</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e>
                            <m:sup>
                              <m:r>
                                <a:rPr lang="en-US" sz="1200" i="1" kern="1200">
                                  <a:solidFill>
                                    <a:schemeClr val="tx1"/>
                                  </a:solidFill>
                                  <a:effectLst/>
                                  <a:latin typeface="+mn-lt"/>
                                  <a:ea typeface="+mn-ea"/>
                                  <a:cs typeface="+mn-cs"/>
                                </a:rPr>
                                <m:t>2</m:t>
                              </m:r>
                            </m:sup>
                          </m:sSup>
                          <m:r>
                            <a:rPr lang="en-US"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e>
                            <m:sup>
                              <m:r>
                                <a:rPr lang="en-US" sz="1200" i="1" kern="1200">
                                  <a:solidFill>
                                    <a:schemeClr val="tx1"/>
                                  </a:solidFill>
                                  <a:effectLst/>
                                  <a:latin typeface="+mn-lt"/>
                                  <a:ea typeface="+mn-ea"/>
                                  <a:cs typeface="+mn-cs"/>
                                </a:rPr>
                                <m:t>2</m:t>
                              </m:r>
                            </m:sup>
                          </m:sSup>
                        </m:e>
                      </m:rad>
                    </m:den>
                  </m:f>
                </m:oMath>
              </a14:m>
              <a:endParaRPr lang="en-US" sz="1200" b="0">
                <a:solidFill>
                  <a:schemeClr val="tx1"/>
                </a:solidFill>
              </a:endParaRPr>
            </a:p>
          </xdr:txBody>
        </xdr:sp>
      </mc:Choice>
      <mc:Fallback>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8046642" y="1964530"/>
              <a:ext cx="4722811" cy="282773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200" b="1" kern="1200">
                  <a:solidFill>
                    <a:srgbClr val="0070C0"/>
                  </a:solidFill>
                  <a:effectLst/>
                  <a:latin typeface="+mn-lt"/>
                  <a:ea typeface="+mn-ea"/>
                  <a:cs typeface="+mn-cs"/>
                </a:rPr>
                <a:t>1st Order Unity-Gain Low-Pass Filter Equations</a:t>
              </a:r>
              <a:endParaRPr lang="en-CA" sz="1200" kern="1200">
                <a:solidFill>
                  <a:srgbClr val="0070C0"/>
                </a:solidFill>
                <a:effectLst/>
                <a:latin typeface="+mn-lt"/>
                <a:ea typeface="+mn-ea"/>
                <a:cs typeface="+mn-cs"/>
              </a:endParaRPr>
            </a:p>
            <a:p>
              <a:r>
                <a:rPr lang="en-US" sz="1200" b="1" i="1" kern="1200">
                  <a:solidFill>
                    <a:schemeClr val="tx1"/>
                  </a:solidFill>
                  <a:effectLst/>
                  <a:latin typeface="+mn-lt"/>
                  <a:ea typeface="+mn-ea"/>
                  <a:cs typeface="+mn-cs"/>
                </a:rPr>
                <a:t>Cutoff Frequency: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𝑣≈1; 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i="1" kern="1200" cap="small">
                  <a:solidFill>
                    <a:schemeClr val="tx1"/>
                  </a:solidFill>
                  <a:effectLst/>
                  <a:latin typeface="+mn-lt"/>
                  <a:ea typeface="+mn-ea"/>
                  <a:cs typeface="+mn-cs"/>
                </a:rPr>
                <a:t> </a:t>
              </a:r>
              <a:r>
                <a:rPr lang="en-US" sz="1200" i="0" kern="1200">
                  <a:solidFill>
                    <a:schemeClr val="tx1"/>
                  </a:solidFill>
                  <a:effectLst/>
                  <a:latin typeface="+mn-lt"/>
                  <a:ea typeface="+mn-ea"/>
                  <a:cs typeface="+mn-cs"/>
                </a:rPr>
                <a:t>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 =</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𝐺𝑎𝑖𝑛</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𝑑𝐵=20×𝑙𝑜𝑔 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endParaRPr lang="en-CA" sz="1200" kern="1200">
                <a:solidFill>
                  <a:schemeClr val="tx1"/>
                </a:solidFill>
                <a:effectLst/>
                <a:latin typeface="+mn-lt"/>
                <a:ea typeface="+mn-ea"/>
                <a:cs typeface="+mn-cs"/>
              </a:endParaRPr>
            </a:p>
            <a:p>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r>
                <a:rPr lang="en-US" sz="1200" kern="1200">
                  <a:solidFill>
                    <a:schemeClr val="tx1"/>
                  </a:solidFill>
                  <a:effectLst/>
                  <a:latin typeface="+mn-lt"/>
                  <a:ea typeface="+mn-ea"/>
                  <a:cs typeface="+mn-cs"/>
                </a:rPr>
                <a:t>;</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US" sz="12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31</xdr:row>
      <xdr:rowOff>12699</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13</xdr:col>
      <xdr:colOff>525862</xdr:colOff>
      <xdr:row>8</xdr:row>
      <xdr:rowOff>89298</xdr:rowOff>
    </xdr:from>
    <xdr:to>
      <xdr:col>21</xdr:col>
      <xdr:colOff>386954</xdr:colOff>
      <xdr:row>25</xdr:row>
      <xdr:rowOff>109140</xdr:rowOff>
    </xdr:to>
    <mc:AlternateContent xmlns:mc="http://schemas.openxmlformats.org/markup-compatibility/2006">
      <mc:Choice xmlns:a14="http://schemas.microsoft.com/office/drawing/2010/main"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8989221" y="2043907"/>
              <a:ext cx="4702967" cy="325437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200" b="1" i="1" kern="1200">
                  <a:solidFill>
                    <a:schemeClr val="tx1"/>
                  </a:solidFill>
                  <a:effectLst/>
                  <a:latin typeface="+mn-lt"/>
                  <a:ea typeface="+mn-ea"/>
                  <a:cs typeface="+mn-cs"/>
                </a:rPr>
                <a:t>Cutoff Frequency: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≈1</m:t>
                  </m:r>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en>
                  </m:f>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f>
                    <m:fPr>
                      <m:ctrlPr>
                        <a:rPr lang="en-CA" sz="1200" i="1" kern="1200">
                          <a:solidFill>
                            <a:schemeClr val="tx1"/>
                          </a:solidFill>
                          <a:effectLst/>
                          <a:latin typeface="+mn-lt"/>
                          <a:ea typeface="+mn-ea"/>
                          <a:cs typeface="+mn-cs"/>
                        </a:rPr>
                      </m:ctrlPr>
                    </m:fPr>
                    <m:num>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r>
                    <a:rPr lang="en-US" sz="1200" i="1" kern="1200">
                      <a:solidFill>
                        <a:schemeClr val="tx1"/>
                      </a:solidFill>
                      <a:effectLst/>
                      <a:latin typeface="+mn-lt"/>
                      <a:ea typeface="+mn-ea"/>
                      <a:cs typeface="+mn-cs"/>
                    </a:rPr>
                    <m:t>→</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𝐺𝑎𝑖𝑛</m:t>
                      </m:r>
                    </m:e>
                    <m:sub>
                      <m:r>
                        <a:rPr lang="en-US" sz="1200" i="1" kern="1200">
                          <a:solidFill>
                            <a:schemeClr val="tx1"/>
                          </a:solidFill>
                          <a:effectLst/>
                          <a:latin typeface="+mn-lt"/>
                          <a:ea typeface="+mn-ea"/>
                          <a:cs typeface="+mn-cs"/>
                        </a:rPr>
                        <m:t>𝑑𝐵</m:t>
                      </m:r>
                    </m:sub>
                  </m:sSub>
                  <m:r>
                    <a:rPr lang="en-US" sz="1200" i="1" kern="1200">
                      <a:solidFill>
                        <a:schemeClr val="tx1"/>
                      </a:solidFill>
                      <a:effectLst/>
                      <a:latin typeface="+mn-lt"/>
                      <a:ea typeface="+mn-ea"/>
                      <a:cs typeface="+mn-cs"/>
                    </a:rPr>
                    <m:t>=20×</m:t>
                  </m:r>
                  <m:r>
                    <a:rPr lang="en-US" sz="1200" i="1" kern="1200">
                      <a:solidFill>
                        <a:schemeClr val="tx1"/>
                      </a:solidFill>
                      <a:effectLst/>
                      <a:latin typeface="+mn-lt"/>
                      <a:ea typeface="+mn-ea"/>
                      <a:cs typeface="+mn-cs"/>
                    </a:rPr>
                    <m:t>𝑙𝑜𝑔</m:t>
                  </m:r>
                  <m:f>
                    <m:fPr>
                      <m:ctrlPr>
                        <a:rPr lang="en-CA" sz="1200" i="1" kern="1200">
                          <a:solidFill>
                            <a:schemeClr val="tx1"/>
                          </a:solidFill>
                          <a:effectLst/>
                          <a:latin typeface="+mn-lt"/>
                          <a:ea typeface="+mn-ea"/>
                          <a:cs typeface="+mn-cs"/>
                        </a:rPr>
                      </m:ctrlPr>
                    </m:fPr>
                    <m:num>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In Terms of Capacitive Reactance:</a:t>
              </a:r>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e>
                            <m:sup>
                              <m:r>
                                <a:rPr lang="en-US" sz="1200" i="1" kern="1200">
                                  <a:solidFill>
                                    <a:schemeClr val="tx1"/>
                                  </a:solidFill>
                                  <a:effectLst/>
                                  <a:latin typeface="+mn-lt"/>
                                  <a:ea typeface="+mn-ea"/>
                                  <a:cs typeface="+mn-cs"/>
                                </a:rPr>
                                <m:t>2</m:t>
                              </m:r>
                            </m:sup>
                          </m:sSup>
                          <m:r>
                            <a:rPr lang="en-US"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e>
                            <m:sup>
                              <m:r>
                                <a:rPr lang="en-US" sz="1200" i="1" kern="1200">
                                  <a:solidFill>
                                    <a:schemeClr val="tx1"/>
                                  </a:solidFill>
                                  <a:effectLst/>
                                  <a:latin typeface="+mn-lt"/>
                                  <a:ea typeface="+mn-ea"/>
                                  <a:cs typeface="+mn-cs"/>
                                </a:rPr>
                                <m:t>2</m:t>
                              </m:r>
                            </m:sup>
                          </m:sSup>
                        </m:e>
                      </m:rad>
                    </m:den>
                  </m:f>
                </m:oMath>
              </a14:m>
              <a:endParaRPr lang="en-US" sz="1200">
                <a:effectLst/>
              </a:endParaRPr>
            </a:p>
            <a:p>
              <a:endParaRPr lang="en-US" sz="1400">
                <a:solidFill>
                  <a:schemeClr val="tx1"/>
                </a:solidFill>
              </a:endParaRPr>
            </a:p>
          </xdr:txBody>
        </xdr:sp>
      </mc:Choice>
      <mc:Fallback>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8989221" y="2043907"/>
              <a:ext cx="4702967" cy="325437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200" b="1" i="1" kern="1200">
                  <a:solidFill>
                    <a:schemeClr val="tx1"/>
                  </a:solidFill>
                  <a:effectLst/>
                  <a:latin typeface="+mn-lt"/>
                  <a:ea typeface="+mn-ea"/>
                  <a:cs typeface="+mn-cs"/>
                </a:rPr>
                <a:t>Cutoff Frequency: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𝑣≈1</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  </a:t>
              </a:r>
              <a:r>
                <a:rPr lang="en-US" sz="1200" i="0" kern="1200">
                  <a:solidFill>
                    <a:schemeClr val="tx1"/>
                  </a:solidFill>
                  <a:effectLst/>
                  <a:latin typeface="+mn-lt"/>
                  <a:ea typeface="+mn-ea"/>
                  <a:cs typeface="+mn-cs"/>
                </a:rPr>
                <a:t>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 =</a:t>
              </a:r>
              <a:r>
                <a:rPr lang="en-US" sz="1200" i="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𝐺𝑎𝑖𝑛</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𝑑𝐵=20×𝑙𝑜𝑔</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In Terms of Capacitive Reactance:</a:t>
              </a:r>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US" sz="12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editAs="oneCell">
    <xdr:from>
      <xdr:col>13</xdr:col>
      <xdr:colOff>585391</xdr:colOff>
      <xdr:row>26</xdr:row>
      <xdr:rowOff>41955</xdr:rowOff>
    </xdr:from>
    <xdr:to>
      <xdr:col>22</xdr:col>
      <xdr:colOff>96589</xdr:colOff>
      <xdr:row>33</xdr:row>
      <xdr:rowOff>16121</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048750" y="5419611"/>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68659</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65487</xdr:colOff>
      <xdr:row>19</xdr:row>
      <xdr:rowOff>96836</xdr:rowOff>
    </xdr:from>
    <xdr:to>
      <xdr:col>13</xdr:col>
      <xdr:colOff>400846</xdr:colOff>
      <xdr:row>34</xdr:row>
      <xdr:rowOff>22225</xdr:rowOff>
    </xdr:to>
    <xdr:graphicFrame macro="">
      <xdr:nvGraphicFramePr>
        <xdr:cNvPr id="2" name="Chart 1">
          <a:extLst>
            <a:ext uri="{FF2B5EF4-FFF2-40B4-BE49-F238E27FC236}">
              <a16:creationId xmlns:a16="http://schemas.microsoft.com/office/drawing/2014/main" id="{28891F8E-9703-495C-A7E1-99185C965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269417</xdr:colOff>
      <xdr:row>45</xdr:row>
      <xdr:rowOff>186439</xdr:rowOff>
    </xdr:from>
    <xdr:to>
      <xdr:col>16</xdr:col>
      <xdr:colOff>600350</xdr:colOff>
      <xdr:row>60</xdr:row>
      <xdr:rowOff>92593</xdr:rowOff>
    </xdr:to>
    <xdr:graphicFrame macro="">
      <xdr:nvGraphicFramePr>
        <xdr:cNvPr id="3" name="Chart 2">
          <a:extLst>
            <a:ext uri="{FF2B5EF4-FFF2-40B4-BE49-F238E27FC236}">
              <a16:creationId xmlns:a16="http://schemas.microsoft.com/office/drawing/2014/main" id="{58507AFB-105E-4AD4-80D1-29AB36E57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205835</xdr:colOff>
      <xdr:row>7</xdr:row>
      <xdr:rowOff>153878</xdr:rowOff>
    </xdr:from>
    <xdr:to>
      <xdr:col>20</xdr:col>
      <xdr:colOff>86771</xdr:colOff>
      <xdr:row>23</xdr:row>
      <xdr:rowOff>117231</xdr:rowOff>
    </xdr:to>
    <mc:AlternateContent xmlns:mc="http://schemas.openxmlformats.org/markup-compatibility/2006">
      <mc:Choice xmlns:a14="http://schemas.microsoft.com/office/drawing/2010/main" Requires="a14">
        <xdr:sp macro="" textlink="">
          <xdr:nvSpPr>
            <xdr:cNvPr id="5" name="Content Placeholder 2">
              <a:extLst>
                <a:ext uri="{FF2B5EF4-FFF2-40B4-BE49-F238E27FC236}">
                  <a16:creationId xmlns:a16="http://schemas.microsoft.com/office/drawing/2014/main" id="{08E7D781-AE57-46B7-8013-C804832561B0}"/>
                </a:ext>
              </a:extLst>
            </xdr:cNvPr>
            <xdr:cNvSpPr txBox="1">
              <a:spLocks/>
            </xdr:cNvSpPr>
          </xdr:nvSpPr>
          <xdr:spPr>
            <a:xfrm>
              <a:off x="8089604" y="1926993"/>
              <a:ext cx="4746013" cy="306264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200" b="1" kern="1200">
                  <a:solidFill>
                    <a:srgbClr val="0070C0"/>
                  </a:solidFill>
                  <a:effectLst/>
                  <a:latin typeface="+mn-lt"/>
                  <a:ea typeface="+mn-ea"/>
                  <a:cs typeface="+mn-cs"/>
                </a:rPr>
                <a:t>1st Order Unity-Gain Low-Pass Filter Equations</a:t>
              </a:r>
              <a:endParaRPr lang="en-CA" sz="1200" kern="1200">
                <a:solidFill>
                  <a:srgbClr val="0070C0"/>
                </a:solidFill>
                <a:effectLst/>
                <a:latin typeface="+mn-lt"/>
                <a:ea typeface="+mn-ea"/>
                <a:cs typeface="+mn-cs"/>
              </a:endParaRPr>
            </a:p>
            <a:p>
              <a:r>
                <a:rPr lang="en-US" sz="1200" b="1" i="1" kern="1200">
                  <a:solidFill>
                    <a:schemeClr val="tx1"/>
                  </a:solidFill>
                  <a:effectLst/>
                  <a:latin typeface="+mn-lt"/>
                  <a:ea typeface="+mn-ea"/>
                  <a:cs typeface="+mn-cs"/>
                </a:rPr>
                <a:t>Cutoff Frequency: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Cambria Math" panose="02040503050406030204" pitchFamily="18" charset="0"/>
                          <a:ea typeface="+mn-ea"/>
                          <a:cs typeface="+mn-cs"/>
                        </a:rPr>
                      </m:ctrlPr>
                    </m:sSubPr>
                    <m:e>
                      <m:r>
                        <a:rPr lang="en-CA" sz="1200" b="0" i="1" kern="1200">
                          <a:solidFill>
                            <a:schemeClr val="tx1"/>
                          </a:solidFill>
                          <a:effectLst/>
                          <a:latin typeface="Cambria Math" panose="02040503050406030204" pitchFamily="18" charset="0"/>
                          <a:ea typeface="+mn-ea"/>
                          <a:cs typeface="+mn-cs"/>
                        </a:rPr>
                        <m:t>𝑉</m:t>
                      </m:r>
                    </m:e>
                    <m:sub>
                      <m:r>
                        <a:rPr lang="en-CA" sz="1200" b="0" i="1" kern="1200">
                          <a:solidFill>
                            <a:schemeClr val="tx1"/>
                          </a:solidFill>
                          <a:effectLst/>
                          <a:latin typeface="Cambria Math" panose="02040503050406030204" pitchFamily="18" charset="0"/>
                          <a:ea typeface="+mn-ea"/>
                          <a:cs typeface="+mn-cs"/>
                        </a:rPr>
                        <m:t>𝑖𝑛</m:t>
                      </m:r>
                    </m:sub>
                  </m:sSub>
                  <m:f>
                    <m:fPr>
                      <m:ctrlPr>
                        <a:rPr lang="en-CA" sz="1200" i="1" kern="1200">
                          <a:solidFill>
                            <a:schemeClr val="tx1"/>
                          </a:solidFill>
                          <a:effectLst/>
                          <a:latin typeface="+mn-lt"/>
                          <a:ea typeface="+mn-ea"/>
                          <a:cs typeface="+mn-cs"/>
                        </a:rPr>
                      </m:ctrlPr>
                    </m:fPr>
                    <m:num>
                      <m:r>
                        <a:rPr lang="en-CA" sz="1200" b="0" i="1" kern="1200">
                          <a:solidFill>
                            <a:schemeClr val="tx1"/>
                          </a:solidFill>
                          <a:effectLst/>
                          <a:latin typeface="Cambria Math" panose="02040503050406030204" pitchFamily="18" charset="0"/>
                          <a:ea typeface="+mn-ea"/>
                          <a:cs typeface="+mn-cs"/>
                        </a:rPr>
                        <m:t>1</m:t>
                      </m:r>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r>
                                            <a:rPr lang="en-CA" sz="1200" b="0" i="1" kern="1200">
                                              <a:solidFill>
                                                <a:schemeClr val="tx1"/>
                                              </a:solidFill>
                                              <a:effectLst/>
                                              <a:latin typeface="Cambria Math" panose="02040503050406030204" pitchFamily="18" charset="0"/>
                                              <a:ea typeface="+mn-ea"/>
                                              <a:cs typeface="+mn-cs"/>
                                            </a:rPr>
                                            <m:t>,</m:t>
                                          </m:r>
                                          <m:r>
                                            <a:rPr lang="en-CA" sz="1200" b="0" i="1" kern="1200">
                                              <a:solidFill>
                                                <a:schemeClr val="tx1"/>
                                              </a:solidFill>
                                              <a:effectLst/>
                                              <a:latin typeface="Cambria Math" panose="02040503050406030204" pitchFamily="18" charset="0"/>
                                              <a:ea typeface="+mn-ea"/>
                                              <a:cs typeface="+mn-cs"/>
                                            </a:rPr>
                                            <m:t>𝐿𝑃𝐹</m:t>
                                          </m:r>
                                        </m:sub>
                                      </m:sSub>
                                    </m:den>
                                  </m:f>
                                </m:e>
                              </m:d>
                            </m:e>
                            <m:sup>
                              <m:r>
                                <a:rPr lang="en-US" sz="1200" i="1" kern="1200">
                                  <a:solidFill>
                                    <a:schemeClr val="tx1"/>
                                  </a:solidFill>
                                  <a:effectLst/>
                                  <a:latin typeface="+mn-lt"/>
                                  <a:ea typeface="+mn-ea"/>
                                  <a:cs typeface="+mn-cs"/>
                                </a:rPr>
                                <m:t>2</m:t>
                              </m:r>
                            </m:sup>
                          </m:sSup>
                        </m:e>
                      </m:rad>
                    </m:den>
                  </m:f>
                  <m:r>
                    <a:rPr lang="en-US" sz="1200" i="1" kern="1200">
                      <a:solidFill>
                        <a:schemeClr val="tx1"/>
                      </a:solidFill>
                      <a:effectLst/>
                      <a:latin typeface="Cambria Math" panose="02040503050406030204" pitchFamily="18" charset="0"/>
                      <a:ea typeface="Cambria Math" panose="02040503050406030204" pitchFamily="18" charset="0"/>
                      <a:cs typeface="+mn-cs"/>
                    </a:rPr>
                    <m:t>×</m:t>
                  </m:r>
                  <m:f>
                    <m:fPr>
                      <m:ctrlPr>
                        <a:rPr lang="en-US" sz="1200" i="1" kern="1200">
                          <a:solidFill>
                            <a:schemeClr val="tx1"/>
                          </a:solidFill>
                          <a:effectLst/>
                          <a:latin typeface="Cambria Math" panose="02040503050406030204" pitchFamily="18" charset="0"/>
                          <a:ea typeface="Cambria Math" panose="02040503050406030204" pitchFamily="18" charset="0"/>
                          <a:cs typeface="+mn-cs"/>
                        </a:rPr>
                      </m:ctrlPr>
                    </m:fPr>
                    <m:num>
                      <m:d>
                        <m:dPr>
                          <m:ctrlPr>
                            <a:rPr lang="en-US" sz="1200" i="1" kern="1200">
                              <a:solidFill>
                                <a:schemeClr val="tx1"/>
                              </a:solidFill>
                              <a:effectLst/>
                              <a:latin typeface="Cambria Math" panose="02040503050406030204" pitchFamily="18" charset="0"/>
                              <a:ea typeface="Cambria Math" panose="02040503050406030204" pitchFamily="18" charset="0"/>
                              <a:cs typeface="+mn-cs"/>
                            </a:rPr>
                          </m:ctrlPr>
                        </m:dPr>
                        <m:e>
                          <m:f>
                            <m:fPr>
                              <m:ctrlPr>
                                <a:rPr lang="en-US" sz="1200" i="1" kern="1200">
                                  <a:solidFill>
                                    <a:schemeClr val="tx1"/>
                                  </a:solidFill>
                                  <a:effectLst/>
                                  <a:latin typeface="Cambria Math" panose="02040503050406030204" pitchFamily="18" charset="0"/>
                                  <a:ea typeface="Cambria Math" panose="02040503050406030204" pitchFamily="18" charset="0"/>
                                  <a:cs typeface="+mn-cs"/>
                                </a:rPr>
                              </m:ctrlPr>
                            </m:fPr>
                            <m:num>
                              <m:r>
                                <a:rPr lang="en-CA" sz="1200" b="0" i="1" kern="1200">
                                  <a:solidFill>
                                    <a:schemeClr val="tx1"/>
                                  </a:solidFill>
                                  <a:effectLst/>
                                  <a:latin typeface="Cambria Math" panose="02040503050406030204" pitchFamily="18" charset="0"/>
                                  <a:ea typeface="Cambria Math" panose="02040503050406030204" pitchFamily="18" charset="0"/>
                                  <a:cs typeface="+mn-cs"/>
                                </a:rPr>
                                <m:t>𝑓</m:t>
                              </m:r>
                            </m:num>
                            <m:den>
                              <m:sSub>
                                <m:sSubPr>
                                  <m:ctrlPr>
                                    <a:rPr lang="en-US" sz="1200" i="1" kern="1200">
                                      <a:solidFill>
                                        <a:schemeClr val="tx1"/>
                                      </a:solidFill>
                                      <a:effectLst/>
                                      <a:latin typeface="Cambria Math" panose="02040503050406030204" pitchFamily="18" charset="0"/>
                                      <a:ea typeface="Cambria Math" panose="02040503050406030204" pitchFamily="18" charset="0"/>
                                      <a:cs typeface="+mn-cs"/>
                                    </a:rPr>
                                  </m:ctrlPr>
                                </m:sSubPr>
                                <m:e>
                                  <m:r>
                                    <a:rPr lang="en-CA" sz="1200" b="0" i="1" kern="1200">
                                      <a:solidFill>
                                        <a:schemeClr val="tx1"/>
                                      </a:solidFill>
                                      <a:effectLst/>
                                      <a:latin typeface="Cambria Math" panose="02040503050406030204" pitchFamily="18" charset="0"/>
                                      <a:ea typeface="Cambria Math" panose="02040503050406030204" pitchFamily="18" charset="0"/>
                                      <a:cs typeface="+mn-cs"/>
                                    </a:rPr>
                                    <m:t>𝑓</m:t>
                                  </m:r>
                                </m:e>
                                <m:sub>
                                  <m:r>
                                    <a:rPr lang="en-CA" sz="1200" b="0" i="1" kern="1200">
                                      <a:solidFill>
                                        <a:schemeClr val="tx1"/>
                                      </a:solidFill>
                                      <a:effectLst/>
                                      <a:latin typeface="Cambria Math" panose="02040503050406030204" pitchFamily="18" charset="0"/>
                                      <a:ea typeface="Cambria Math" panose="02040503050406030204" pitchFamily="18" charset="0"/>
                                      <a:cs typeface="+mn-cs"/>
                                    </a:rPr>
                                    <m:t>𝑐</m:t>
                                  </m:r>
                                  <m:r>
                                    <a:rPr lang="en-CA" sz="1200" b="0" i="1" kern="1200">
                                      <a:solidFill>
                                        <a:schemeClr val="tx1"/>
                                      </a:solidFill>
                                      <a:effectLst/>
                                      <a:latin typeface="Cambria Math" panose="02040503050406030204" pitchFamily="18" charset="0"/>
                                      <a:ea typeface="Cambria Math" panose="02040503050406030204" pitchFamily="18" charset="0"/>
                                      <a:cs typeface="+mn-cs"/>
                                    </a:rPr>
                                    <m:t>,</m:t>
                                  </m:r>
                                  <m:r>
                                    <a:rPr lang="en-CA" sz="1200" b="0" i="1" kern="1200">
                                      <a:solidFill>
                                        <a:schemeClr val="tx1"/>
                                      </a:solidFill>
                                      <a:effectLst/>
                                      <a:latin typeface="Cambria Math" panose="02040503050406030204" pitchFamily="18" charset="0"/>
                                      <a:ea typeface="Cambria Math" panose="02040503050406030204" pitchFamily="18" charset="0"/>
                                      <a:cs typeface="+mn-cs"/>
                                    </a:rPr>
                                    <m:t>𝐻𝑃𝐹</m:t>
                                  </m:r>
                                </m:sub>
                              </m:sSub>
                            </m:den>
                          </m:f>
                        </m:e>
                      </m:d>
                    </m:num>
                    <m:den>
                      <m:rad>
                        <m:radPr>
                          <m:degHide m:val="on"/>
                          <m:ctrlPr>
                            <a:rPr lang="en-US" sz="1200" i="1" kern="1200">
                              <a:solidFill>
                                <a:schemeClr val="tx1"/>
                              </a:solidFill>
                              <a:effectLst/>
                              <a:latin typeface="Cambria Math" panose="02040503050406030204" pitchFamily="18" charset="0"/>
                              <a:ea typeface="Cambria Math" panose="02040503050406030204" pitchFamily="18" charset="0"/>
                              <a:cs typeface="+mn-cs"/>
                            </a:rPr>
                          </m:ctrlPr>
                        </m:radPr>
                        <m:deg/>
                        <m:e>
                          <m:r>
                            <a:rPr lang="en-CA" sz="1200" b="0" i="1" kern="1200">
                              <a:solidFill>
                                <a:schemeClr val="tx1"/>
                              </a:solidFill>
                              <a:effectLst/>
                              <a:latin typeface="Cambria Math" panose="02040503050406030204" pitchFamily="18" charset="0"/>
                              <a:ea typeface="Cambria Math" panose="02040503050406030204" pitchFamily="18" charset="0"/>
                              <a:cs typeface="+mn-cs"/>
                            </a:rPr>
                            <m:t>1+</m:t>
                          </m:r>
                          <m:sSup>
                            <m:sSupPr>
                              <m:ctrlPr>
                                <a:rPr lang="en-CA" sz="1200" b="0" i="1" kern="1200">
                                  <a:solidFill>
                                    <a:schemeClr val="tx1"/>
                                  </a:solidFill>
                                  <a:effectLst/>
                                  <a:latin typeface="Cambria Math" panose="02040503050406030204" pitchFamily="18" charset="0"/>
                                  <a:ea typeface="Cambria Math" panose="02040503050406030204" pitchFamily="18" charset="0"/>
                                  <a:cs typeface="+mn-cs"/>
                                </a:rPr>
                              </m:ctrlPr>
                            </m:sSupPr>
                            <m:e>
                              <m:d>
                                <m:dPr>
                                  <m:ctrlPr>
                                    <a:rPr lang="en-CA" sz="1200" b="0" i="1" kern="1200">
                                      <a:solidFill>
                                        <a:schemeClr val="tx1"/>
                                      </a:solidFill>
                                      <a:effectLst/>
                                      <a:latin typeface="Cambria Math" panose="02040503050406030204" pitchFamily="18" charset="0"/>
                                      <a:ea typeface="Cambria Math" panose="02040503050406030204" pitchFamily="18" charset="0"/>
                                      <a:cs typeface="+mn-cs"/>
                                    </a:rPr>
                                  </m:ctrlPr>
                                </m:dPr>
                                <m:e>
                                  <m:f>
                                    <m:fPr>
                                      <m:ctrlPr>
                                        <a:rPr lang="en-CA" sz="1200" b="0" i="1" kern="1200">
                                          <a:solidFill>
                                            <a:schemeClr val="tx1"/>
                                          </a:solidFill>
                                          <a:effectLst/>
                                          <a:latin typeface="Cambria Math" panose="02040503050406030204" pitchFamily="18" charset="0"/>
                                          <a:ea typeface="Cambria Math" panose="02040503050406030204" pitchFamily="18" charset="0"/>
                                          <a:cs typeface="+mn-cs"/>
                                        </a:rPr>
                                      </m:ctrlPr>
                                    </m:fPr>
                                    <m:num>
                                      <m:r>
                                        <a:rPr lang="en-CA" sz="1200" b="0" i="1" kern="1200">
                                          <a:solidFill>
                                            <a:schemeClr val="tx1"/>
                                          </a:solidFill>
                                          <a:effectLst/>
                                          <a:latin typeface="Cambria Math" panose="02040503050406030204" pitchFamily="18" charset="0"/>
                                          <a:ea typeface="Cambria Math" panose="02040503050406030204" pitchFamily="18" charset="0"/>
                                          <a:cs typeface="+mn-cs"/>
                                        </a:rPr>
                                        <m:t>𝑓</m:t>
                                      </m:r>
                                    </m:num>
                                    <m:den>
                                      <m:sSub>
                                        <m:sSubPr>
                                          <m:ctrlPr>
                                            <a:rPr lang="en-CA" sz="12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200" b="0" i="1" kern="1200">
                                              <a:solidFill>
                                                <a:schemeClr val="tx1"/>
                                              </a:solidFill>
                                              <a:effectLst/>
                                              <a:latin typeface="Cambria Math" panose="02040503050406030204" pitchFamily="18" charset="0"/>
                                              <a:ea typeface="Cambria Math" panose="02040503050406030204" pitchFamily="18" charset="0"/>
                                              <a:cs typeface="+mn-cs"/>
                                            </a:rPr>
                                            <m:t>𝑓</m:t>
                                          </m:r>
                                        </m:e>
                                        <m:sub>
                                          <m:r>
                                            <a:rPr lang="en-CA" sz="1200" b="0" i="1" kern="1200">
                                              <a:solidFill>
                                                <a:schemeClr val="tx1"/>
                                              </a:solidFill>
                                              <a:effectLst/>
                                              <a:latin typeface="Cambria Math" panose="02040503050406030204" pitchFamily="18" charset="0"/>
                                              <a:ea typeface="Cambria Math" panose="02040503050406030204" pitchFamily="18" charset="0"/>
                                              <a:cs typeface="+mn-cs"/>
                                            </a:rPr>
                                            <m:t>𝑐</m:t>
                                          </m:r>
                                          <m:r>
                                            <a:rPr lang="en-CA" sz="1200" b="0" i="1" kern="1200">
                                              <a:solidFill>
                                                <a:schemeClr val="tx1"/>
                                              </a:solidFill>
                                              <a:effectLst/>
                                              <a:latin typeface="Cambria Math" panose="02040503050406030204" pitchFamily="18" charset="0"/>
                                              <a:ea typeface="Cambria Math" panose="02040503050406030204" pitchFamily="18" charset="0"/>
                                              <a:cs typeface="+mn-cs"/>
                                            </a:rPr>
                                            <m:t>,</m:t>
                                          </m:r>
                                          <m:r>
                                            <a:rPr lang="en-CA" sz="1200" b="0" i="1" kern="1200">
                                              <a:solidFill>
                                                <a:schemeClr val="tx1"/>
                                              </a:solidFill>
                                              <a:effectLst/>
                                              <a:latin typeface="Cambria Math" panose="02040503050406030204" pitchFamily="18" charset="0"/>
                                              <a:ea typeface="Cambria Math" panose="02040503050406030204" pitchFamily="18" charset="0"/>
                                              <a:cs typeface="+mn-cs"/>
                                            </a:rPr>
                                            <m:t>𝐻𝑃𝐹</m:t>
                                          </m:r>
                                        </m:sub>
                                      </m:sSub>
                                    </m:den>
                                  </m:f>
                                </m:e>
                              </m:d>
                            </m:e>
                            <m:sup>
                              <m:r>
                                <a:rPr lang="en-CA" sz="1200" b="0" i="1" kern="1200">
                                  <a:solidFill>
                                    <a:schemeClr val="tx1"/>
                                  </a:solidFill>
                                  <a:effectLst/>
                                  <a:latin typeface="Cambria Math" panose="02040503050406030204" pitchFamily="18" charset="0"/>
                                  <a:ea typeface="Cambria Math" panose="02040503050406030204" pitchFamily="18" charset="0"/>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≈1; </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r>
                    <a:rPr lang="en-US" sz="1200" i="1" kern="1200">
                      <a:solidFill>
                        <a:schemeClr val="tx1"/>
                      </a:solidFill>
                      <a:effectLst/>
                      <a:latin typeface="+mn-lt"/>
                      <a:ea typeface="+mn-ea"/>
                      <a:cs typeface="+mn-cs"/>
                    </a:rPr>
                    <m:t>≈</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i="1" kern="1200" cap="small">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den>
                  </m:f>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f>
                    <m:fPr>
                      <m:ctrlPr>
                        <a:rPr lang="en-CA" sz="1200" i="1" kern="1200">
                          <a:solidFill>
                            <a:schemeClr val="tx1"/>
                          </a:solidFill>
                          <a:effectLst/>
                          <a:latin typeface="+mn-lt"/>
                          <a:ea typeface="+mn-ea"/>
                          <a:cs typeface="+mn-cs"/>
                        </a:rPr>
                      </m:ctrlPr>
                    </m:fPr>
                    <m:num>
                      <m:r>
                        <a:rPr lang="en-CA" sz="1200" b="0" i="1" kern="1200">
                          <a:solidFill>
                            <a:schemeClr val="tx1"/>
                          </a:solidFill>
                          <a:effectLst/>
                          <a:latin typeface="+mn-lt"/>
                          <a:ea typeface="+mn-ea"/>
                          <a:cs typeface="+mn-cs"/>
                        </a:rPr>
                        <m:t>1</m:t>
                      </m:r>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r>
                                            <a:rPr lang="en-CA" sz="1200" b="0" i="1" kern="1200">
                                              <a:solidFill>
                                                <a:schemeClr val="tx1"/>
                                              </a:solidFill>
                                              <a:effectLst/>
                                              <a:latin typeface="+mn-lt"/>
                                              <a:ea typeface="+mn-ea"/>
                                              <a:cs typeface="+mn-cs"/>
                                            </a:rPr>
                                            <m:t>,</m:t>
                                          </m:r>
                                          <m:r>
                                            <a:rPr lang="en-CA" sz="1200" b="0" i="1" kern="1200">
                                              <a:solidFill>
                                                <a:schemeClr val="tx1"/>
                                              </a:solidFill>
                                              <a:effectLst/>
                                              <a:latin typeface="+mn-lt"/>
                                              <a:ea typeface="+mn-ea"/>
                                              <a:cs typeface="+mn-cs"/>
                                            </a:rPr>
                                            <m:t>𝐿𝑃𝐹</m:t>
                                          </m:r>
                                        </m:sub>
                                      </m:sSub>
                                    </m:den>
                                  </m:f>
                                </m:e>
                              </m:d>
                            </m:e>
                            <m:sup>
                              <m:r>
                                <a:rPr lang="en-US" sz="1200" i="1" kern="1200">
                                  <a:solidFill>
                                    <a:schemeClr val="tx1"/>
                                  </a:solidFill>
                                  <a:effectLst/>
                                  <a:latin typeface="+mn-lt"/>
                                  <a:ea typeface="+mn-ea"/>
                                  <a:cs typeface="+mn-cs"/>
                                </a:rPr>
                                <m:t>2</m:t>
                              </m:r>
                            </m:sup>
                          </m:sSup>
                        </m:e>
                      </m:rad>
                    </m:den>
                  </m:f>
                  <m:r>
                    <a:rPr lang="en-US" sz="1200" i="1" kern="1200">
                      <a:solidFill>
                        <a:schemeClr val="tx1"/>
                      </a:solidFill>
                      <a:effectLst/>
                      <a:latin typeface="+mn-lt"/>
                      <a:ea typeface="+mn-ea"/>
                      <a:cs typeface="+mn-cs"/>
                    </a:rPr>
                    <m:t>×</m:t>
                  </m:r>
                  <m:f>
                    <m:fPr>
                      <m:ctrlPr>
                        <a:rPr lang="en-US" sz="1200" i="1" kern="1200">
                          <a:solidFill>
                            <a:schemeClr val="tx1"/>
                          </a:solidFill>
                          <a:effectLst/>
                          <a:latin typeface="+mn-lt"/>
                          <a:ea typeface="+mn-ea"/>
                          <a:cs typeface="+mn-cs"/>
                        </a:rPr>
                      </m:ctrlPr>
                    </m:fPr>
                    <m:num>
                      <m:d>
                        <m:dPr>
                          <m:ctrlPr>
                            <a:rPr lang="en-US" sz="1200" i="1" kern="1200">
                              <a:solidFill>
                                <a:schemeClr val="tx1"/>
                              </a:solidFill>
                              <a:effectLst/>
                              <a:latin typeface="+mn-lt"/>
                              <a:ea typeface="+mn-ea"/>
                              <a:cs typeface="+mn-cs"/>
                            </a:rPr>
                          </m:ctrlPr>
                        </m:dPr>
                        <m:e>
                          <m:f>
                            <m:fPr>
                              <m:ctrlPr>
                                <a:rPr lang="en-US" sz="1200" i="1" kern="1200">
                                  <a:solidFill>
                                    <a:schemeClr val="tx1"/>
                                  </a:solidFill>
                                  <a:effectLst/>
                                  <a:latin typeface="+mn-lt"/>
                                  <a:ea typeface="+mn-ea"/>
                                  <a:cs typeface="+mn-cs"/>
                                </a:rPr>
                              </m:ctrlPr>
                            </m:fPr>
                            <m:num>
                              <m:r>
                                <a:rPr lang="en-CA" sz="1200" b="0" i="1" kern="1200">
                                  <a:solidFill>
                                    <a:schemeClr val="tx1"/>
                                  </a:solidFill>
                                  <a:effectLst/>
                                  <a:latin typeface="+mn-lt"/>
                                  <a:ea typeface="+mn-ea"/>
                                  <a:cs typeface="+mn-cs"/>
                                </a:rPr>
                                <m:t>𝑓</m:t>
                              </m:r>
                            </m:num>
                            <m:den>
                              <m:sSub>
                                <m:sSubPr>
                                  <m:ctrlPr>
                                    <a:rPr lang="en-US" sz="1200" i="1" kern="1200">
                                      <a:solidFill>
                                        <a:schemeClr val="tx1"/>
                                      </a:solidFill>
                                      <a:effectLst/>
                                      <a:latin typeface="+mn-lt"/>
                                      <a:ea typeface="+mn-ea"/>
                                      <a:cs typeface="+mn-cs"/>
                                    </a:rPr>
                                  </m:ctrlPr>
                                </m:sSubPr>
                                <m:e>
                                  <m:r>
                                    <a:rPr lang="en-CA" sz="1200" b="0" i="1" kern="1200">
                                      <a:solidFill>
                                        <a:schemeClr val="tx1"/>
                                      </a:solidFill>
                                      <a:effectLst/>
                                      <a:latin typeface="+mn-lt"/>
                                      <a:ea typeface="+mn-ea"/>
                                      <a:cs typeface="+mn-cs"/>
                                    </a:rPr>
                                    <m:t>𝑓</m:t>
                                  </m:r>
                                </m:e>
                                <m:sub>
                                  <m:r>
                                    <a:rPr lang="en-CA" sz="1200" b="0" i="1" kern="1200">
                                      <a:solidFill>
                                        <a:schemeClr val="tx1"/>
                                      </a:solidFill>
                                      <a:effectLst/>
                                      <a:latin typeface="+mn-lt"/>
                                      <a:ea typeface="+mn-ea"/>
                                      <a:cs typeface="+mn-cs"/>
                                    </a:rPr>
                                    <m:t>𝑐</m:t>
                                  </m:r>
                                  <m:r>
                                    <a:rPr lang="en-CA" sz="1200" b="0" i="1" kern="1200">
                                      <a:solidFill>
                                        <a:schemeClr val="tx1"/>
                                      </a:solidFill>
                                      <a:effectLst/>
                                      <a:latin typeface="+mn-lt"/>
                                      <a:ea typeface="+mn-ea"/>
                                      <a:cs typeface="+mn-cs"/>
                                    </a:rPr>
                                    <m:t>,</m:t>
                                  </m:r>
                                  <m:r>
                                    <a:rPr lang="en-CA" sz="1200" b="0" i="1" kern="1200">
                                      <a:solidFill>
                                        <a:schemeClr val="tx1"/>
                                      </a:solidFill>
                                      <a:effectLst/>
                                      <a:latin typeface="+mn-lt"/>
                                      <a:ea typeface="+mn-ea"/>
                                      <a:cs typeface="+mn-cs"/>
                                    </a:rPr>
                                    <m:t>𝐻𝑃𝐹</m:t>
                                  </m:r>
                                </m:sub>
                              </m:sSub>
                            </m:den>
                          </m:f>
                        </m:e>
                      </m:d>
                    </m:num>
                    <m:den>
                      <m:rad>
                        <m:radPr>
                          <m:degHide m:val="on"/>
                          <m:ctrlPr>
                            <a:rPr lang="en-US" sz="1200" i="1" kern="1200">
                              <a:solidFill>
                                <a:schemeClr val="tx1"/>
                              </a:solidFill>
                              <a:effectLst/>
                              <a:latin typeface="+mn-lt"/>
                              <a:ea typeface="+mn-ea"/>
                              <a:cs typeface="+mn-cs"/>
                            </a:rPr>
                          </m:ctrlPr>
                        </m:radPr>
                        <m:deg/>
                        <m:e>
                          <m:r>
                            <a:rPr lang="en-CA" sz="1200" b="0" i="1" kern="1200">
                              <a:solidFill>
                                <a:schemeClr val="tx1"/>
                              </a:solidFill>
                              <a:effectLst/>
                              <a:latin typeface="+mn-lt"/>
                              <a:ea typeface="+mn-ea"/>
                              <a:cs typeface="+mn-cs"/>
                            </a:rPr>
                            <m:t>1+</m:t>
                          </m:r>
                          <m:sSup>
                            <m:sSupPr>
                              <m:ctrlPr>
                                <a:rPr lang="en-CA" sz="1200" b="0" i="1" kern="1200">
                                  <a:solidFill>
                                    <a:schemeClr val="tx1"/>
                                  </a:solidFill>
                                  <a:effectLst/>
                                  <a:latin typeface="+mn-lt"/>
                                  <a:ea typeface="+mn-ea"/>
                                  <a:cs typeface="+mn-cs"/>
                                </a:rPr>
                              </m:ctrlPr>
                            </m:sSupPr>
                            <m:e>
                              <m:d>
                                <m:dPr>
                                  <m:ctrlPr>
                                    <a:rPr lang="en-CA" sz="1200" b="0" i="1" kern="1200">
                                      <a:solidFill>
                                        <a:schemeClr val="tx1"/>
                                      </a:solidFill>
                                      <a:effectLst/>
                                      <a:latin typeface="+mn-lt"/>
                                      <a:ea typeface="+mn-ea"/>
                                      <a:cs typeface="+mn-cs"/>
                                    </a:rPr>
                                  </m:ctrlPr>
                                </m:dPr>
                                <m:e>
                                  <m:f>
                                    <m:fPr>
                                      <m:ctrlPr>
                                        <a:rPr lang="en-CA" sz="1200" b="0" i="1" kern="1200">
                                          <a:solidFill>
                                            <a:schemeClr val="tx1"/>
                                          </a:solidFill>
                                          <a:effectLst/>
                                          <a:latin typeface="+mn-lt"/>
                                          <a:ea typeface="+mn-ea"/>
                                          <a:cs typeface="+mn-cs"/>
                                        </a:rPr>
                                      </m:ctrlPr>
                                    </m:fPr>
                                    <m:num>
                                      <m:r>
                                        <a:rPr lang="en-CA" sz="1200" b="0" i="1" kern="1200">
                                          <a:solidFill>
                                            <a:schemeClr val="tx1"/>
                                          </a:solidFill>
                                          <a:effectLst/>
                                          <a:latin typeface="+mn-lt"/>
                                          <a:ea typeface="+mn-ea"/>
                                          <a:cs typeface="+mn-cs"/>
                                        </a:rPr>
                                        <m:t>𝑓</m:t>
                                      </m:r>
                                    </m:num>
                                    <m:den>
                                      <m:sSub>
                                        <m:sSubPr>
                                          <m:ctrlPr>
                                            <a:rPr lang="en-CA" sz="1200" b="0" i="1" kern="1200">
                                              <a:solidFill>
                                                <a:schemeClr val="tx1"/>
                                              </a:solidFill>
                                              <a:effectLst/>
                                              <a:latin typeface="+mn-lt"/>
                                              <a:ea typeface="+mn-ea"/>
                                              <a:cs typeface="+mn-cs"/>
                                            </a:rPr>
                                          </m:ctrlPr>
                                        </m:sSubPr>
                                        <m:e>
                                          <m:r>
                                            <a:rPr lang="en-CA" sz="1200" b="0" i="1" kern="1200">
                                              <a:solidFill>
                                                <a:schemeClr val="tx1"/>
                                              </a:solidFill>
                                              <a:effectLst/>
                                              <a:latin typeface="+mn-lt"/>
                                              <a:ea typeface="+mn-ea"/>
                                              <a:cs typeface="+mn-cs"/>
                                            </a:rPr>
                                            <m:t>𝑓</m:t>
                                          </m:r>
                                        </m:e>
                                        <m:sub>
                                          <m:r>
                                            <a:rPr lang="en-CA" sz="1200" b="0" i="1" kern="1200">
                                              <a:solidFill>
                                                <a:schemeClr val="tx1"/>
                                              </a:solidFill>
                                              <a:effectLst/>
                                              <a:latin typeface="+mn-lt"/>
                                              <a:ea typeface="+mn-ea"/>
                                              <a:cs typeface="+mn-cs"/>
                                            </a:rPr>
                                            <m:t>𝑐</m:t>
                                          </m:r>
                                          <m:r>
                                            <a:rPr lang="en-CA" sz="1200" b="0" i="1" kern="1200">
                                              <a:solidFill>
                                                <a:schemeClr val="tx1"/>
                                              </a:solidFill>
                                              <a:effectLst/>
                                              <a:latin typeface="+mn-lt"/>
                                              <a:ea typeface="+mn-ea"/>
                                              <a:cs typeface="+mn-cs"/>
                                            </a:rPr>
                                            <m:t>,</m:t>
                                          </m:r>
                                          <m:r>
                                            <a:rPr lang="en-CA" sz="1200" b="0" i="1" kern="1200">
                                              <a:solidFill>
                                                <a:schemeClr val="tx1"/>
                                              </a:solidFill>
                                              <a:effectLst/>
                                              <a:latin typeface="+mn-lt"/>
                                              <a:ea typeface="+mn-ea"/>
                                              <a:cs typeface="+mn-cs"/>
                                            </a:rPr>
                                            <m:t>𝐻𝑃𝐹</m:t>
                                          </m:r>
                                        </m:sub>
                                      </m:sSub>
                                    </m:den>
                                  </m:f>
                                </m:e>
                              </m:d>
                            </m:e>
                            <m:sup>
                              <m:r>
                                <a:rPr lang="en-CA" sz="1200" b="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a:effectLst/>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endParaRPr lang="en-CA" sz="1200">
                <a:effectLst/>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r>
                <a:rPr lang="en-US" sz="1200" kern="1200">
                  <a:solidFill>
                    <a:schemeClr val="tx1"/>
                  </a:solidFill>
                  <a:effectLst/>
                  <a:latin typeface="+mn-lt"/>
                  <a:ea typeface="+mn-ea"/>
                  <a:cs typeface="+mn-cs"/>
                </a:rPr>
                <a:t>;</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r>
                            <a:rPr lang="en-CA" sz="1200" b="0" i="1" kern="1200">
                              <a:solidFill>
                                <a:schemeClr val="tx1"/>
                              </a:solidFill>
                              <a:effectLst/>
                              <a:latin typeface="Cambria Math" panose="02040503050406030204" pitchFamily="18" charset="0"/>
                              <a:ea typeface="+mn-ea"/>
                              <a:cs typeface="+mn-cs"/>
                            </a:rPr>
                            <m:t>1</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e>
                            <m:sup>
                              <m:r>
                                <a:rPr lang="en-US" sz="1200" i="1" kern="1200">
                                  <a:solidFill>
                                    <a:schemeClr val="tx1"/>
                                  </a:solidFill>
                                  <a:effectLst/>
                                  <a:latin typeface="+mn-lt"/>
                                  <a:ea typeface="+mn-ea"/>
                                  <a:cs typeface="+mn-cs"/>
                                </a:rPr>
                                <m:t>2</m:t>
                              </m:r>
                            </m:sup>
                          </m:sSup>
                          <m:r>
                            <a:rPr lang="en-US"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r>
                                    <a:rPr lang="en-CA" sz="1200" b="0" i="1" kern="1200">
                                      <a:solidFill>
                                        <a:schemeClr val="tx1"/>
                                      </a:solidFill>
                                      <a:effectLst/>
                                      <a:latin typeface="Cambria Math" panose="02040503050406030204" pitchFamily="18" charset="0"/>
                                      <a:ea typeface="+mn-ea"/>
                                      <a:cs typeface="+mn-cs"/>
                                    </a:rPr>
                                    <m:t>1</m:t>
                                  </m:r>
                                </m:sub>
                              </m:sSub>
                            </m:e>
                            <m:sup>
                              <m:r>
                                <a:rPr lang="en-US" sz="1200" i="1" kern="1200">
                                  <a:solidFill>
                                    <a:schemeClr val="tx1"/>
                                  </a:solidFill>
                                  <a:effectLst/>
                                  <a:latin typeface="+mn-lt"/>
                                  <a:ea typeface="+mn-ea"/>
                                  <a:cs typeface="+mn-cs"/>
                                </a:rPr>
                                <m:t>2</m:t>
                              </m:r>
                            </m:sup>
                          </m:sSup>
                        </m:e>
                      </m:rad>
                    </m:den>
                  </m:f>
                  <m:r>
                    <a:rPr lang="en-US" sz="1200" i="1" kern="1200">
                      <a:solidFill>
                        <a:schemeClr val="tx1"/>
                      </a:solidFill>
                      <a:effectLst/>
                      <a:latin typeface="Cambria Math" panose="02040503050406030204" pitchFamily="18" charset="0"/>
                      <a:ea typeface="Cambria Math" panose="02040503050406030204" pitchFamily="18" charset="0"/>
                      <a:cs typeface="+mn-cs"/>
                    </a:rPr>
                    <m:t>×</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CA" sz="1200" b="0" i="1" kern="1200">
                              <a:solidFill>
                                <a:schemeClr val="tx1"/>
                              </a:solidFill>
                              <a:effectLst/>
                              <a:latin typeface="Cambria Math" panose="02040503050406030204" pitchFamily="18" charset="0"/>
                              <a:ea typeface="+mn-ea"/>
                              <a:cs typeface="+mn-cs"/>
                            </a:rPr>
                            <m:t>2</m:t>
                          </m:r>
                        </m:sub>
                      </m:sSub>
                    </m:num>
                    <m:den>
                      <m:rad>
                        <m:radPr>
                          <m:degHide m:val="on"/>
                          <m:ctrlPr>
                            <a:rPr lang="en-CA" sz="1200" i="1" kern="1200">
                              <a:solidFill>
                                <a:schemeClr val="tx1"/>
                              </a:solidFill>
                              <a:effectLst/>
                              <a:latin typeface="+mn-lt"/>
                              <a:ea typeface="+mn-ea"/>
                              <a:cs typeface="+mn-cs"/>
                            </a:rPr>
                          </m:ctrlPr>
                        </m:radPr>
                        <m:deg/>
                        <m:e>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CA" sz="1200" b="0" i="1" kern="1200">
                                      <a:solidFill>
                                        <a:schemeClr val="tx1"/>
                                      </a:solidFill>
                                      <a:effectLst/>
                                      <a:latin typeface="Cambria Math" panose="02040503050406030204" pitchFamily="18" charset="0"/>
                                      <a:ea typeface="+mn-ea"/>
                                      <a:cs typeface="+mn-cs"/>
                                    </a:rPr>
                                    <m:t>2</m:t>
                                  </m:r>
                                </m:sub>
                              </m:sSub>
                            </m:e>
                            <m:sup>
                              <m:r>
                                <a:rPr lang="en-US" sz="1200" i="1" kern="1200">
                                  <a:solidFill>
                                    <a:schemeClr val="tx1"/>
                                  </a:solidFill>
                                  <a:effectLst/>
                                  <a:latin typeface="+mn-lt"/>
                                  <a:ea typeface="+mn-ea"/>
                                  <a:cs typeface="+mn-cs"/>
                                </a:rPr>
                                <m:t>2</m:t>
                              </m:r>
                            </m:sup>
                          </m:sSup>
                          <m:r>
                            <a:rPr lang="en-US" sz="1200" i="1" kern="1200">
                              <a:solidFill>
                                <a:schemeClr val="tx1"/>
                              </a:solidFill>
                              <a:effectLst/>
                              <a:latin typeface="+mn-lt"/>
                              <a:ea typeface="+mn-ea"/>
                              <a:cs typeface="+mn-cs"/>
                            </a:rPr>
                            <m:t>+</m:t>
                          </m:r>
                          <m:sSup>
                            <m:sSupPr>
                              <m:ctrlPr>
                                <a:rPr lang="en-CA" sz="1200" i="1" kern="1200">
                                  <a:solidFill>
                                    <a:schemeClr val="tx1"/>
                                  </a:solidFill>
                                  <a:effectLst/>
                                  <a:latin typeface="+mn-lt"/>
                                  <a:ea typeface="+mn-ea"/>
                                  <a:cs typeface="+mn-cs"/>
                                </a:rPr>
                              </m:ctrlPr>
                            </m:sSupPr>
                            <m:e>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r>
                                    <a:rPr lang="en-CA" sz="1200" b="0" i="1" kern="1200">
                                      <a:solidFill>
                                        <a:schemeClr val="tx1"/>
                                      </a:solidFill>
                                      <a:effectLst/>
                                      <a:latin typeface="Cambria Math" panose="02040503050406030204" pitchFamily="18" charset="0"/>
                                      <a:ea typeface="+mn-ea"/>
                                      <a:cs typeface="+mn-cs"/>
                                    </a:rPr>
                                    <m:t>2</m:t>
                                  </m:r>
                                </m:sub>
                              </m:sSub>
                            </m:e>
                            <m:sup>
                              <m:r>
                                <a:rPr lang="en-US" sz="1200" i="1" kern="1200">
                                  <a:solidFill>
                                    <a:schemeClr val="tx1"/>
                                  </a:solidFill>
                                  <a:effectLst/>
                                  <a:latin typeface="+mn-lt"/>
                                  <a:ea typeface="+mn-ea"/>
                                  <a:cs typeface="+mn-cs"/>
                                </a:rPr>
                                <m:t>2</m:t>
                              </m:r>
                            </m:sup>
                          </m:sSup>
                        </m:e>
                      </m:rad>
                    </m:den>
                  </m:f>
                </m:oMath>
              </a14:m>
              <a:endParaRPr lang="en-CA" sz="1200">
                <a:effectLst/>
              </a:endParaRPr>
            </a:p>
            <a:p>
              <a:endParaRPr lang="en-CA" sz="1200" kern="1200">
                <a:solidFill>
                  <a:schemeClr val="tx1"/>
                </a:solidFill>
                <a:effectLst/>
                <a:latin typeface="+mn-lt"/>
                <a:ea typeface="+mn-ea"/>
                <a:cs typeface="+mn-cs"/>
              </a:endParaRPr>
            </a:p>
            <a:p>
              <a:endParaRPr lang="en-US" sz="1200" b="0">
                <a:solidFill>
                  <a:schemeClr val="tx1"/>
                </a:solidFill>
              </a:endParaRPr>
            </a:p>
          </xdr:txBody>
        </xdr:sp>
      </mc:Choice>
      <mc:Fallback>
        <xdr:sp macro="" textlink="">
          <xdr:nvSpPr>
            <xdr:cNvPr id="5" name="Content Placeholder 2">
              <a:extLst>
                <a:ext uri="{FF2B5EF4-FFF2-40B4-BE49-F238E27FC236}">
                  <a16:creationId xmlns:a16="http://schemas.microsoft.com/office/drawing/2014/main" id="{08E7D781-AE57-46B7-8013-C804832561B0}"/>
                </a:ext>
              </a:extLst>
            </xdr:cNvPr>
            <xdr:cNvSpPr txBox="1">
              <a:spLocks/>
            </xdr:cNvSpPr>
          </xdr:nvSpPr>
          <xdr:spPr>
            <a:xfrm>
              <a:off x="8089604" y="1926993"/>
              <a:ext cx="4746013" cy="306264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200" b="1" kern="1200">
                  <a:solidFill>
                    <a:srgbClr val="0070C0"/>
                  </a:solidFill>
                  <a:effectLst/>
                  <a:latin typeface="+mn-lt"/>
                  <a:ea typeface="+mn-ea"/>
                  <a:cs typeface="+mn-cs"/>
                </a:rPr>
                <a:t>1st Order Unity-Gain Low-Pass Filter Equations</a:t>
              </a:r>
              <a:endParaRPr lang="en-CA" sz="1200" kern="1200">
                <a:solidFill>
                  <a:srgbClr val="0070C0"/>
                </a:solidFill>
                <a:effectLst/>
                <a:latin typeface="+mn-lt"/>
                <a:ea typeface="+mn-ea"/>
                <a:cs typeface="+mn-cs"/>
              </a:endParaRPr>
            </a:p>
            <a:p>
              <a:r>
                <a:rPr lang="en-US" sz="1200" b="1" i="1" kern="1200">
                  <a:solidFill>
                    <a:schemeClr val="tx1"/>
                  </a:solidFill>
                  <a:effectLst/>
                  <a:latin typeface="+mn-lt"/>
                  <a:ea typeface="+mn-ea"/>
                  <a:cs typeface="+mn-cs"/>
                </a:rPr>
                <a:t>Cutoff Frequency: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CA" sz="1200" b="0" i="0" kern="1200">
                  <a:solidFill>
                    <a:schemeClr val="tx1"/>
                  </a:solidFill>
                  <a:effectLst/>
                  <a:latin typeface="Cambria Math" panose="02040503050406030204" pitchFamily="18" charset="0"/>
                  <a:ea typeface="+mn-ea"/>
                  <a:cs typeface="+mn-cs"/>
                </a:rPr>
                <a:t>𝑉_𝑖𝑛</a:t>
              </a:r>
              <a:r>
                <a:rPr lang="en-CA" sz="1200" b="0" i="0" kern="1200">
                  <a:solidFill>
                    <a:schemeClr val="tx1"/>
                  </a:solidFill>
                  <a:effectLst/>
                  <a:latin typeface="+mn-lt"/>
                  <a:ea typeface="+mn-ea"/>
                  <a:cs typeface="+mn-cs"/>
                </a:rPr>
                <a:t> </a:t>
              </a:r>
              <a:r>
                <a:rPr lang="en-CA" sz="1200" b="0" i="0" kern="1200">
                  <a:solidFill>
                    <a:schemeClr val="tx1"/>
                  </a:solidFill>
                  <a:effectLst/>
                  <a:latin typeface="Cambria Math" panose="02040503050406030204" pitchFamily="18" charset="0"/>
                  <a:ea typeface="+mn-ea"/>
                  <a:cs typeface="+mn-cs"/>
                </a:rPr>
                <a:t> 1</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b="0" i="0" kern="1200">
                  <a:solidFill>
                    <a:schemeClr val="tx1"/>
                  </a:solidFill>
                  <a:effectLst/>
                  <a:latin typeface="Cambria Math" panose="02040503050406030204" pitchFamily="18" charset="0"/>
                  <a:ea typeface="+mn-ea"/>
                  <a:cs typeface="+mn-cs"/>
                </a:rPr>
                <a:t>,𝐿𝑃𝐹</a:t>
              </a:r>
              <a:r>
                <a:rPr lang="en-CA" sz="1200" b="0" i="0" kern="1200">
                  <a:solidFill>
                    <a:schemeClr val="tx1"/>
                  </a:solidFill>
                  <a:effectLst/>
                  <a:latin typeface="+mn-lt"/>
                  <a:ea typeface="+mn-ea"/>
                  <a:cs typeface="+mn-cs"/>
                </a:rPr>
                <a:t>)</a:t>
              </a:r>
              <a:r>
                <a:rPr lang="en-US" sz="1200" b="0" i="0" kern="1200">
                  <a:solidFill>
                    <a:schemeClr val="tx1"/>
                  </a:solidFill>
                  <a:effectLst/>
                  <a:latin typeface="+mn-lt"/>
                  <a:ea typeface="+mn-ea"/>
                  <a:cs typeface="+mn-cs"/>
                </a:rPr>
                <a:t> )</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r>
                <a:rPr lang="en-US" sz="1200" i="0" kern="1200">
                  <a:solidFill>
                    <a:schemeClr val="tx1"/>
                  </a:solidFill>
                  <a:effectLst/>
                  <a:latin typeface="Cambria Math" panose="02040503050406030204" pitchFamily="18" charset="0"/>
                  <a:ea typeface="Cambria Math" panose="02040503050406030204" pitchFamily="18" charset="0"/>
                  <a:cs typeface="+mn-cs"/>
                </a:rPr>
                <a:t>×((</a:t>
              </a:r>
              <a:r>
                <a:rPr lang="en-CA" sz="1200" b="0" i="0" kern="1200">
                  <a:solidFill>
                    <a:schemeClr val="tx1"/>
                  </a:solidFill>
                  <a:effectLst/>
                  <a:latin typeface="Cambria Math" panose="02040503050406030204" pitchFamily="18" charset="0"/>
                  <a:ea typeface="Cambria Math" panose="02040503050406030204" pitchFamily="18" charset="0"/>
                  <a:cs typeface="+mn-cs"/>
                </a:rPr>
                <a:t>𝑓</a:t>
              </a:r>
              <a:r>
                <a:rPr lang="en-US" sz="1200" b="0" i="0" kern="1200">
                  <a:solidFill>
                    <a:schemeClr val="tx1"/>
                  </a:solidFill>
                  <a:effectLst/>
                  <a:latin typeface="Cambria Math" panose="02040503050406030204" pitchFamily="18" charset="0"/>
                  <a:ea typeface="Cambria Math" panose="02040503050406030204" pitchFamily="18" charset="0"/>
                  <a:cs typeface="+mn-cs"/>
                </a:rPr>
                <a:t>/</a:t>
              </a:r>
              <a:r>
                <a:rPr lang="en-CA" sz="1200" b="0" i="0" kern="1200">
                  <a:solidFill>
                    <a:schemeClr val="tx1"/>
                  </a:solidFill>
                  <a:effectLst/>
                  <a:latin typeface="Cambria Math" panose="02040503050406030204" pitchFamily="18" charset="0"/>
                  <a:ea typeface="Cambria Math" panose="02040503050406030204" pitchFamily="18" charset="0"/>
                  <a:cs typeface="+mn-cs"/>
                </a:rPr>
                <a:t>𝑓</a:t>
              </a:r>
              <a:r>
                <a:rPr lang="en-US" sz="1200" b="0" i="0" kern="1200">
                  <a:solidFill>
                    <a:schemeClr val="tx1"/>
                  </a:solidFill>
                  <a:effectLst/>
                  <a:latin typeface="Cambria Math" panose="02040503050406030204" pitchFamily="18" charset="0"/>
                  <a:ea typeface="Cambria Math" panose="02040503050406030204" pitchFamily="18" charset="0"/>
                  <a:cs typeface="+mn-cs"/>
                </a:rPr>
                <a:t>_(</a:t>
              </a:r>
              <a:r>
                <a:rPr lang="en-CA" sz="1200" b="0" i="0" kern="1200">
                  <a:solidFill>
                    <a:schemeClr val="tx1"/>
                  </a:solidFill>
                  <a:effectLst/>
                  <a:latin typeface="Cambria Math" panose="02040503050406030204" pitchFamily="18" charset="0"/>
                  <a:ea typeface="Cambria Math" panose="02040503050406030204" pitchFamily="18" charset="0"/>
                  <a:cs typeface="+mn-cs"/>
                </a:rPr>
                <a:t>𝑐,𝐻𝑃𝐹</a:t>
              </a:r>
              <a:r>
                <a:rPr lang="en-US" sz="1200" b="0" i="0" kern="1200">
                  <a:solidFill>
                    <a:schemeClr val="tx1"/>
                  </a:solidFill>
                  <a:effectLst/>
                  <a:latin typeface="Cambria Math" panose="02040503050406030204" pitchFamily="18" charset="0"/>
                  <a:ea typeface="Cambria Math" panose="02040503050406030204" pitchFamily="18" charset="0"/>
                  <a:cs typeface="+mn-cs"/>
                </a:rPr>
                <a:t>) ))/√(</a:t>
              </a:r>
              <a:r>
                <a:rPr lang="en-CA" sz="1200" b="0" i="0" kern="1200">
                  <a:solidFill>
                    <a:schemeClr val="tx1"/>
                  </a:solidFill>
                  <a:effectLst/>
                  <a:latin typeface="Cambria Math" panose="02040503050406030204" pitchFamily="18" charset="0"/>
                  <a:ea typeface="Cambria Math" panose="02040503050406030204" pitchFamily="18" charset="0"/>
                  <a:cs typeface="+mn-cs"/>
                </a:rPr>
                <a:t>1+(𝑓/𝑓_(𝑐,𝐻𝑃𝐹) )^2</a:t>
              </a:r>
              <a:r>
                <a:rPr lang="en-US" sz="1200" b="0" i="0" kern="1200">
                  <a:solidFill>
                    <a:schemeClr val="tx1"/>
                  </a:solidFill>
                  <a:effectLst/>
                  <a:latin typeface="Cambria Math" panose="02040503050406030204" pitchFamily="18" charset="0"/>
                  <a:ea typeface="Cambria Math" panose="02040503050406030204" pitchFamily="18" charset="0"/>
                  <a:cs typeface="+mn-cs"/>
                </a:rPr>
                <a:t> )</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𝑣≈1; 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i="1" kern="1200" cap="small">
                  <a:solidFill>
                    <a:schemeClr val="tx1"/>
                  </a:solidFill>
                  <a:effectLst/>
                  <a:latin typeface="+mn-lt"/>
                  <a:ea typeface="+mn-ea"/>
                  <a:cs typeface="+mn-cs"/>
                </a:rPr>
                <a:t> </a:t>
              </a:r>
              <a:r>
                <a:rPr lang="en-US" sz="1200" i="0" kern="1200">
                  <a:solidFill>
                    <a:schemeClr val="tx1"/>
                  </a:solidFill>
                  <a:effectLst/>
                  <a:latin typeface="+mn-lt"/>
                  <a:ea typeface="+mn-ea"/>
                  <a:cs typeface="+mn-cs"/>
                </a:rPr>
                <a:t>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 =</a:t>
              </a:r>
              <a:r>
                <a:rPr lang="en-US" sz="1200" i="1" kern="1200">
                  <a:solidFill>
                    <a:schemeClr val="tx1"/>
                  </a:solidFill>
                  <a:effectLst/>
                  <a:latin typeface="+mn-lt"/>
                  <a:ea typeface="+mn-ea"/>
                  <a:cs typeface="+mn-cs"/>
                </a:rPr>
                <a:t> </a:t>
              </a:r>
              <a:r>
                <a:rPr lang="en-CA" sz="1200" b="0" i="0" kern="1200">
                  <a:solidFill>
                    <a:schemeClr val="tx1"/>
                  </a:solidFill>
                  <a:effectLst/>
                  <a:latin typeface="+mn-lt"/>
                  <a:ea typeface="+mn-ea"/>
                  <a:cs typeface="+mn-cs"/>
                </a:rPr>
                <a:t>1/√(</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b="0" i="0" kern="1200">
                  <a:solidFill>
                    <a:schemeClr val="tx1"/>
                  </a:solidFill>
                  <a:effectLst/>
                  <a:latin typeface="+mn-lt"/>
                  <a:ea typeface="+mn-ea"/>
                  <a:cs typeface="+mn-cs"/>
                </a:rPr>
                <a:t>,𝐿𝑃𝐹) )^</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b="0" i="0" kern="1200">
                  <a:solidFill>
                    <a:schemeClr val="tx1"/>
                  </a:solidFill>
                  <a:effectLst/>
                  <a:latin typeface="+mn-lt"/>
                  <a:ea typeface="+mn-ea"/>
                  <a:cs typeface="+mn-cs"/>
                </a:rPr>
                <a:t>𝑓</a:t>
              </a:r>
              <a:r>
                <a:rPr lang="en-US" sz="1200" b="0" i="0" kern="1200">
                  <a:solidFill>
                    <a:schemeClr val="tx1"/>
                  </a:solidFill>
                  <a:effectLst/>
                  <a:latin typeface="+mn-lt"/>
                  <a:ea typeface="+mn-ea"/>
                  <a:cs typeface="+mn-cs"/>
                </a:rPr>
                <a:t>/</a:t>
              </a:r>
              <a:r>
                <a:rPr lang="en-CA" sz="1200" b="0" i="0" kern="1200">
                  <a:solidFill>
                    <a:schemeClr val="tx1"/>
                  </a:solidFill>
                  <a:effectLst/>
                  <a:latin typeface="+mn-lt"/>
                  <a:ea typeface="+mn-ea"/>
                  <a:cs typeface="+mn-cs"/>
                </a:rPr>
                <a:t>𝑓</a:t>
              </a:r>
              <a:r>
                <a:rPr lang="en-US" sz="1200" b="0" i="0" kern="1200">
                  <a:solidFill>
                    <a:schemeClr val="tx1"/>
                  </a:solidFill>
                  <a:effectLst/>
                  <a:latin typeface="+mn-lt"/>
                  <a:ea typeface="+mn-ea"/>
                  <a:cs typeface="+mn-cs"/>
                </a:rPr>
                <a:t>_(</a:t>
              </a:r>
              <a:r>
                <a:rPr lang="en-CA" sz="1200" b="0" i="0" kern="1200">
                  <a:solidFill>
                    <a:schemeClr val="tx1"/>
                  </a:solidFill>
                  <a:effectLst/>
                  <a:latin typeface="+mn-lt"/>
                  <a:ea typeface="+mn-ea"/>
                  <a:cs typeface="+mn-cs"/>
                </a:rPr>
                <a:t>𝑐,𝐻𝑃𝐹</a:t>
              </a:r>
              <a:r>
                <a:rPr lang="en-US" sz="1200" b="0" i="0" kern="1200">
                  <a:solidFill>
                    <a:schemeClr val="tx1"/>
                  </a:solidFill>
                  <a:effectLst/>
                  <a:latin typeface="+mn-lt"/>
                  <a:ea typeface="+mn-ea"/>
                  <a:cs typeface="+mn-cs"/>
                </a:rPr>
                <a:t>)</a:t>
              </a:r>
              <a:r>
                <a:rPr lang="en-CA" sz="1200" b="0" i="0" kern="1200">
                  <a:solidFill>
                    <a:schemeClr val="tx1"/>
                  </a:solidFill>
                  <a:effectLst/>
                  <a:latin typeface="+mn-lt"/>
                  <a:ea typeface="+mn-ea"/>
                  <a:cs typeface="+mn-cs"/>
                </a:rPr>
                <a:t> )</a:t>
              </a:r>
              <a:r>
                <a:rPr lang="en-US" sz="1200" b="0" i="0" kern="1200">
                  <a:solidFill>
                    <a:schemeClr val="tx1"/>
                  </a:solidFill>
                  <a:effectLst/>
                  <a:latin typeface="+mn-lt"/>
                  <a:ea typeface="+mn-ea"/>
                  <a:cs typeface="+mn-cs"/>
                </a:rPr>
                <a:t>)/√(</a:t>
              </a:r>
              <a:r>
                <a:rPr lang="en-CA" sz="1200" b="0" i="0" kern="1200">
                  <a:solidFill>
                    <a:schemeClr val="tx1"/>
                  </a:solidFill>
                  <a:effectLst/>
                  <a:latin typeface="+mn-lt"/>
                  <a:ea typeface="+mn-ea"/>
                  <a:cs typeface="+mn-cs"/>
                </a:rPr>
                <a:t>1+(𝑓/𝑓_(𝑐,𝐻𝑃𝐹) )^2 </a:t>
              </a:r>
              <a:r>
                <a:rPr lang="en-US" sz="1200" b="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a:effectLst/>
              </a:endParaRPr>
            </a:p>
            <a:p>
              <a:r>
                <a:rPr lang="en-US" sz="1200" kern="1200">
                  <a:solidFill>
                    <a:schemeClr val="tx1"/>
                  </a:solidFill>
                  <a:effectLst/>
                  <a:latin typeface="+mn-lt"/>
                  <a:ea typeface="+mn-ea"/>
                  <a:cs typeface="+mn-cs"/>
                </a:rPr>
                <a:t>The capacitive reactance, </a:t>
              </a:r>
              <a:r>
                <a:rPr lang="en-US" sz="1200" i="1" kern="1200">
                  <a:solidFill>
                    <a:schemeClr val="tx1"/>
                  </a:solidFill>
                  <a:effectLst/>
                  <a:latin typeface="+mn-lt"/>
                  <a:ea typeface="+mn-ea"/>
                  <a:cs typeface="+mn-cs"/>
                </a:rPr>
                <a:t>X</a:t>
              </a:r>
              <a:r>
                <a:rPr lang="en-US" sz="1200" i="1" kern="1200" baseline="-25000">
                  <a:solidFill>
                    <a:schemeClr val="tx1"/>
                  </a:solidFill>
                  <a:effectLst/>
                  <a:latin typeface="+mn-lt"/>
                  <a:ea typeface="+mn-ea"/>
                  <a:cs typeface="+mn-cs"/>
                </a:rPr>
                <a:t>c</a:t>
              </a:r>
              <a:r>
                <a:rPr lang="en-US" sz="1200" kern="1200">
                  <a:solidFill>
                    <a:schemeClr val="tx1"/>
                  </a:solidFill>
                  <a:effectLst/>
                  <a:latin typeface="+mn-lt"/>
                  <a:ea typeface="+mn-ea"/>
                  <a:cs typeface="+mn-cs"/>
                </a:rPr>
                <a:t>, of a capacitor C</a:t>
              </a:r>
              <a:r>
                <a:rPr lang="en-US" sz="1200" kern="1200" baseline="-25000">
                  <a:solidFill>
                    <a:schemeClr val="tx1"/>
                  </a:solidFill>
                  <a:effectLst/>
                  <a:latin typeface="+mn-lt"/>
                  <a:ea typeface="+mn-ea"/>
                  <a:cs typeface="+mn-cs"/>
                </a:rPr>
                <a:t>1</a:t>
              </a:r>
              <a:r>
                <a:rPr lang="en-US" sz="1200" kern="1200">
                  <a:solidFill>
                    <a:schemeClr val="tx1"/>
                  </a:solidFill>
                  <a:effectLst/>
                  <a:latin typeface="+mn-lt"/>
                  <a:ea typeface="+mn-ea"/>
                  <a:cs typeface="+mn-cs"/>
                </a:rPr>
                <a:t>, with a signal of a given frequency </a:t>
              </a:r>
              <a:r>
                <a:rPr lang="en-US" sz="1200" i="1" kern="1200">
                  <a:solidFill>
                    <a:schemeClr val="tx1"/>
                  </a:solidFill>
                  <a:effectLst/>
                  <a:latin typeface="+mn-lt"/>
                  <a:ea typeface="+mn-ea"/>
                  <a:cs typeface="+mn-cs"/>
                </a:rPr>
                <a:t>f</a:t>
              </a:r>
              <a:r>
                <a:rPr lang="en-US" sz="1200" kern="1200">
                  <a:solidFill>
                    <a:schemeClr val="tx1"/>
                  </a:solidFill>
                  <a:effectLst/>
                  <a:latin typeface="+mn-lt"/>
                  <a:ea typeface="+mn-ea"/>
                  <a:cs typeface="+mn-cs"/>
                </a:rPr>
                <a:t>, is:  </a:t>
              </a:r>
              <a:endParaRPr lang="en-CA" sz="1200">
                <a:effectLst/>
              </a:endParaRPr>
            </a:p>
            <a:p>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r>
                <a:rPr lang="en-US" sz="1200" kern="1200">
                  <a:solidFill>
                    <a:schemeClr val="tx1"/>
                  </a:solidFill>
                  <a:effectLst/>
                  <a:latin typeface="+mn-lt"/>
                  <a:ea typeface="+mn-ea"/>
                  <a:cs typeface="+mn-cs"/>
                </a:rPr>
                <a:t>;</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b="0" i="0" kern="1200">
                  <a:solidFill>
                    <a:schemeClr val="tx1"/>
                  </a:solidFill>
                  <a:effectLst/>
                  <a:latin typeface="Cambria Math" panose="02040503050406030204" pitchFamily="18" charset="0"/>
                  <a:ea typeface="+mn-ea"/>
                  <a:cs typeface="+mn-cs"/>
                </a:rPr>
                <a:t>1</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b="0" i="0" kern="1200">
                  <a:solidFill>
                    <a:schemeClr val="tx1"/>
                  </a:solidFill>
                  <a:effectLst/>
                  <a:latin typeface="Cambria Math" panose="02040503050406030204" pitchFamily="18" charset="0"/>
                  <a:ea typeface="+mn-ea"/>
                  <a:cs typeface="+mn-cs"/>
                </a:rPr>
                <a:t>1</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r>
                <a:rPr lang="en-US" sz="1200" i="0" kern="1200">
                  <a:solidFill>
                    <a:schemeClr val="tx1"/>
                  </a:solidFill>
                  <a:effectLst/>
                  <a:latin typeface="Cambria Math" panose="02040503050406030204" pitchFamily="18" charset="0"/>
                  <a:ea typeface="Cambria Math" panose="02040503050406030204" pitchFamily="18" charset="0"/>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CA" sz="1200" b="0" i="0" kern="1200">
                  <a:solidFill>
                    <a:schemeClr val="tx1"/>
                  </a:solidFill>
                  <a:effectLst/>
                  <a:latin typeface="Cambria Math" panose="02040503050406030204" pitchFamily="18" charset="0"/>
                  <a:ea typeface="+mn-ea"/>
                  <a:cs typeface="+mn-cs"/>
                </a:rPr>
                <a:t>2</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CA" sz="1200" b="0" i="0" kern="1200">
                  <a:solidFill>
                    <a:schemeClr val="tx1"/>
                  </a:solidFill>
                  <a:effectLst/>
                  <a:latin typeface="Cambria Math" panose="02040503050406030204" pitchFamily="18" charset="0"/>
                  <a:ea typeface="+mn-ea"/>
                  <a:cs typeface="+mn-cs"/>
                </a:rPr>
                <a:t>2</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b="0" i="0" kern="1200">
                  <a:solidFill>
                    <a:schemeClr val="tx1"/>
                  </a:solidFill>
                  <a:effectLst/>
                  <a:latin typeface="Cambria Math" panose="02040503050406030204" pitchFamily="18" charset="0"/>
                  <a:ea typeface="+mn-ea"/>
                  <a:cs typeface="+mn-cs"/>
                </a:rPr>
                <a:t>2</a:t>
              </a:r>
              <a:r>
                <a:rPr lang="en-CA" sz="1200" b="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a:effectLst/>
              </a:endParaRPr>
            </a:p>
            <a:p>
              <a:endParaRPr lang="en-CA" sz="1200" kern="1200">
                <a:solidFill>
                  <a:schemeClr val="tx1"/>
                </a:solidFill>
                <a:effectLst/>
                <a:latin typeface="+mn-lt"/>
                <a:ea typeface="+mn-ea"/>
                <a:cs typeface="+mn-cs"/>
              </a:endParaRPr>
            </a:p>
            <a:p>
              <a:endParaRPr lang="en-US" sz="1200" b="0">
                <a:solidFill>
                  <a:schemeClr val="tx1"/>
                </a:solidFill>
              </a:endParaRPr>
            </a:p>
          </xdr:txBody>
        </xdr:sp>
      </mc:Fallback>
    </mc:AlternateContent>
    <xdr:clientData/>
  </xdr:twoCellAnchor>
  <xdr:twoCellAnchor editAs="oneCell">
    <xdr:from>
      <xdr:col>12</xdr:col>
      <xdr:colOff>259773</xdr:colOff>
      <xdr:row>0</xdr:row>
      <xdr:rowOff>330782</xdr:rowOff>
    </xdr:from>
    <xdr:to>
      <xdr:col>20</xdr:col>
      <xdr:colOff>52820</xdr:colOff>
      <xdr:row>5</xdr:row>
      <xdr:rowOff>179242</xdr:rowOff>
    </xdr:to>
    <xdr:pic>
      <xdr:nvPicPr>
        <xdr:cNvPr id="7" name="Picture 6">
          <a:extLst>
            <a:ext uri="{FF2B5EF4-FFF2-40B4-BE49-F238E27FC236}">
              <a16:creationId xmlns:a16="http://schemas.microsoft.com/office/drawing/2014/main" id="{307B201A-4819-A1A2-15A3-BAFA94286AF6}"/>
            </a:ext>
          </a:extLst>
        </xdr:cNvPr>
        <xdr:cNvPicPr>
          <a:picLocks noChangeAspect="1"/>
        </xdr:cNvPicPr>
      </xdr:nvPicPr>
      <xdr:blipFill>
        <a:blip xmlns:r="http://schemas.openxmlformats.org/officeDocument/2006/relationships" r:embed="rId3"/>
        <a:stretch>
          <a:fillRect/>
        </a:stretch>
      </xdr:blipFill>
      <xdr:spPr>
        <a:xfrm>
          <a:off x="8148205" y="330782"/>
          <a:ext cx="4676774" cy="1233915"/>
        </a:xfrm>
        <a:prstGeom prst="rect">
          <a:avLst/>
        </a:prstGeom>
      </xdr:spPr>
    </xdr:pic>
    <xdr:clientData/>
  </xdr:twoCellAnchor>
  <xdr:twoCellAnchor>
    <xdr:from>
      <xdr:col>15</xdr:col>
      <xdr:colOff>359019</xdr:colOff>
      <xdr:row>24</xdr:row>
      <xdr:rowOff>131885</xdr:rowOff>
    </xdr:from>
    <xdr:to>
      <xdr:col>18</xdr:col>
      <xdr:colOff>5275</xdr:colOff>
      <xdr:row>32</xdr:row>
      <xdr:rowOff>58615</xdr:rowOff>
    </xdr:to>
    <mc:AlternateContent xmlns:mc="http://schemas.openxmlformats.org/markup-compatibility/2006">
      <mc:Choice xmlns:a14="http://schemas.microsoft.com/office/drawing/2010/main" Requires="a14">
        <xdr:sp macro="" textlink="">
          <xdr:nvSpPr>
            <xdr:cNvPr id="8" name="Rectangle 7">
              <a:extLst>
                <a:ext uri="{FF2B5EF4-FFF2-40B4-BE49-F238E27FC236}">
                  <a16:creationId xmlns:a16="http://schemas.microsoft.com/office/drawing/2014/main" id="{B4E16459-B9B1-C4F3-EA29-B36637F3B5E7}"/>
                </a:ext>
              </a:extLst>
            </xdr:cNvPr>
            <xdr:cNvSpPr/>
          </xdr:nvSpPr>
          <xdr:spPr>
            <a:xfrm>
              <a:off x="10067192" y="5202116"/>
              <a:ext cx="1470660" cy="1450730"/>
            </a:xfrm>
            <a:prstGeom prst="rect">
              <a:avLst/>
            </a:prstGeom>
            <a:solidFill>
              <a:schemeClr val="accent4">
                <a:lumMod val="20000"/>
                <a:lumOff val="80000"/>
              </a:schemeClr>
            </a:solidFill>
            <a:ln>
              <a:solidFill>
                <a:schemeClr val="accent1"/>
              </a:solidFill>
            </a:ln>
          </xdr:spPr>
          <xdr:txBody>
            <a:bodyPr wrap="square" rtlCol="0">
              <a:noAutofit/>
            </a:bodyPr>
            <a:lstStyle/>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Resonant Frequency:</a:t>
              </a:r>
              <a:endParaRPr lang="en-CA" sz="1200">
                <a:effectLst/>
                <a:latin typeface="Times New Roman" panose="02020603050405020304" pitchFamily="18" charset="0"/>
                <a:ea typeface="Times New Roman" panose="02020603050405020304" pitchFamily="18" charset="0"/>
              </a:endParaRPr>
            </a:p>
            <a:p>
              <a:pPr algn="ctr">
                <a:buNone/>
              </a:pPr>
              <a14:m>
                <m:oMathPara xmlns:m="http://schemas.openxmlformats.org/officeDocument/2006/math">
                  <m:oMathParaPr>
                    <m:jc m:val="centerGroup"/>
                  </m:oMathParaPr>
                  <m:oMath xmlns:m="http://schemas.openxmlformats.org/officeDocument/2006/math">
                    <m:sSub>
                      <m:sSubPr>
                        <m:ctrlPr>
                          <a:rPr lang="en-CA"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𝒇</m:t>
                        </m:r>
                      </m:e>
                      <m:sub>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𝒓</m:t>
                        </m:r>
                      </m:sub>
                    </m:sSub>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rad>
                      <m:radPr>
                        <m:degHide m:val="on"/>
                        <m:ctrlPr>
                          <a:rPr lang="en-CA"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radPr>
                      <m:deg/>
                      <m:e>
                        <m:sSub>
                          <m:sSubPr>
                            <m:ctrlPr>
                              <a:rPr lang="en-CA"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𝒇</m:t>
                            </m:r>
                          </m:e>
                          <m:sub>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𝒄</m:t>
                            </m:r>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𝑯𝑷𝑭</m:t>
                            </m:r>
                          </m:sub>
                        </m:sSub>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sSub>
                          <m:sSubPr>
                            <m:ctrlPr>
                              <a:rPr lang="en-CA"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𝒇</m:t>
                            </m:r>
                          </m:e>
                          <m:sub>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𝒄</m:t>
                            </m:r>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r>
                              <a:rPr lang="en-US" sz="1000" b="1"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𝑳𝑷𝑭</m:t>
                            </m:r>
                          </m:sub>
                        </m:sSub>
                      </m:e>
                    </m:rad>
                  </m:oMath>
                </m:oMathPara>
              </a14:m>
              <a:endParaRPr lang="en-CA" sz="1200">
                <a:effectLst/>
                <a:latin typeface="Times New Roman" panose="02020603050405020304" pitchFamily="18" charset="0"/>
                <a:ea typeface="Times New Roman" panose="02020603050405020304" pitchFamily="18" charset="0"/>
              </a:endParaRPr>
            </a:p>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Bandwidth:</a:t>
              </a:r>
              <a:endParaRPr lang="en-CA" sz="1200">
                <a:effectLst/>
                <a:latin typeface="Times New Roman" panose="02020603050405020304" pitchFamily="18" charset="0"/>
                <a:ea typeface="Times New Roman" panose="02020603050405020304" pitchFamily="18" charset="0"/>
              </a:endParaRPr>
            </a:p>
            <a:p>
              <a:pPr algn="ctr">
                <a:buNone/>
              </a:pPr>
              <a14:m>
                <m:oMathPara xmlns:m="http://schemas.openxmlformats.org/officeDocument/2006/math">
                  <m:oMathParaPr>
                    <m:jc m:val="centerGroup"/>
                  </m:oMathParaPr>
                  <m:oMath xmlns:m="http://schemas.openxmlformats.org/officeDocument/2006/math">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𝐵𝑊</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3</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𝑑𝐵</m:t>
                        </m:r>
                      </m:sub>
                    </m:s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𝑓</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𝐿𝑃𝐹</m:t>
                        </m:r>
                      </m:sub>
                    </m:s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𝑓</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𝐻𝑃𝐹</m:t>
                        </m:r>
                      </m:sub>
                    </m:sSub>
                  </m:oMath>
                </m:oMathPara>
              </a14:m>
              <a:endParaRPr lang="en-CA" sz="1200">
                <a:effectLst/>
                <a:latin typeface="Times New Roman" panose="02020603050405020304" pitchFamily="18" charset="0"/>
                <a:ea typeface="Times New Roman" panose="02020603050405020304" pitchFamily="18" charset="0"/>
              </a:endParaRPr>
            </a:p>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Q-Factor:</a:t>
              </a:r>
              <a:endParaRPr lang="en-CA" sz="1200">
                <a:effectLst/>
                <a:latin typeface="Times New Roman" panose="02020603050405020304" pitchFamily="18" charset="0"/>
                <a:ea typeface="Times New Roman" panose="02020603050405020304" pitchFamily="18" charset="0"/>
              </a:endParaRPr>
            </a:p>
            <a:p>
              <a:pPr algn="ctr"/>
              <a14:m>
                <m:oMathPara xmlns:m="http://schemas.openxmlformats.org/officeDocument/2006/math">
                  <m:oMathParaPr>
                    <m:jc m:val="centerGroup"/>
                  </m:oMathParaPr>
                  <m:oMath xmlns:m="http://schemas.openxmlformats.org/officeDocument/2006/math">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𝑄</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𝐵𝑃</m:t>
                        </m:r>
                      </m:sub>
                    </m:s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𝑓</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𝑟</m:t>
                            </m:r>
                          </m:sub>
                        </m:sSub>
                      </m:num>
                      <m:den>
                        <m:sSub>
                          <m:sSubPr>
                            <m:ctrlPr>
                              <a:rPr lang="en-CA"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𝐵𝑊</m:t>
                            </m:r>
                          </m:e>
                          <m:sub>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3</m:t>
                            </m:r>
                            <m:r>
                              <a:rPr lang="en-US" sz="1000" i="1"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𝑑𝐵</m:t>
                            </m:r>
                          </m:sub>
                        </m:sSub>
                      </m:den>
                    </m:f>
                  </m:oMath>
                </m:oMathPara>
              </a14:m>
              <a:endParaRPr lang="en-CA" sz="1200">
                <a:effectLst/>
                <a:latin typeface="Times New Roman" panose="02020603050405020304" pitchFamily="18" charset="0"/>
                <a:ea typeface="Times New Roman" panose="02020603050405020304" pitchFamily="18" charset="0"/>
              </a:endParaRPr>
            </a:p>
          </xdr:txBody>
        </xdr:sp>
      </mc:Choice>
      <mc:Fallback>
        <xdr:sp macro="" textlink="">
          <xdr:nvSpPr>
            <xdr:cNvPr id="8" name="Rectangle 7">
              <a:extLst>
                <a:ext uri="{FF2B5EF4-FFF2-40B4-BE49-F238E27FC236}">
                  <a16:creationId xmlns:a16="http://schemas.microsoft.com/office/drawing/2014/main" id="{B4E16459-B9B1-C4F3-EA29-B36637F3B5E7}"/>
                </a:ext>
              </a:extLst>
            </xdr:cNvPr>
            <xdr:cNvSpPr/>
          </xdr:nvSpPr>
          <xdr:spPr>
            <a:xfrm>
              <a:off x="10067192" y="5202116"/>
              <a:ext cx="1470660" cy="1450730"/>
            </a:xfrm>
            <a:prstGeom prst="rect">
              <a:avLst/>
            </a:prstGeom>
            <a:solidFill>
              <a:schemeClr val="accent4">
                <a:lumMod val="20000"/>
                <a:lumOff val="80000"/>
              </a:schemeClr>
            </a:solidFill>
            <a:ln>
              <a:solidFill>
                <a:schemeClr val="accent1"/>
              </a:solidFill>
            </a:ln>
          </xdr:spPr>
          <xdr:txBody>
            <a:bodyPr wrap="square" rtlCol="0">
              <a:noAutofit/>
            </a:bodyPr>
            <a:lstStyle/>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Resonant Frequency:</a:t>
              </a:r>
              <a:endParaRPr lang="en-CA" sz="1200">
                <a:effectLst/>
                <a:latin typeface="Times New Roman" panose="02020603050405020304" pitchFamily="18" charset="0"/>
                <a:ea typeface="Times New Roman" panose="02020603050405020304" pitchFamily="18" charset="0"/>
              </a:endParaRPr>
            </a:p>
            <a:p>
              <a:pPr algn="ctr">
                <a:buNone/>
              </a:pP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𝒇</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𝒓=</a:t>
              </a:r>
              <a:r>
                <a:rPr lang="en-CA" sz="1000" b="1" i="0" kern="1200">
                  <a:solidFill>
                    <a:srgbClr val="000000"/>
                  </a:solidFill>
                  <a:effectLst/>
                  <a:latin typeface="Cambria Math" panose="02040503050406030204" pitchFamily="18" charset="0"/>
                  <a:cs typeface="Times New Roman" panose="02020603050405020304" pitchFamily="18" charset="0"/>
                </a:rPr>
                <a:t>√(</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𝒇</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𝒄,𝑯𝑷𝑭</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×𝒇</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𝒄,𝑳𝑷𝑭</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CA" sz="1000" b="1"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endParaRPr lang="en-CA" sz="1200">
                <a:effectLst/>
                <a:latin typeface="Times New Roman" panose="02020603050405020304" pitchFamily="18" charset="0"/>
                <a:ea typeface="Times New Roman" panose="02020603050405020304" pitchFamily="18" charset="0"/>
              </a:endParaRPr>
            </a:p>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Bandwidth:</a:t>
              </a:r>
              <a:endParaRPr lang="en-CA" sz="1200">
                <a:effectLst/>
                <a:latin typeface="Times New Roman" panose="02020603050405020304" pitchFamily="18" charset="0"/>
                <a:ea typeface="Times New Roman" panose="02020603050405020304" pitchFamily="18" charset="0"/>
              </a:endParaRPr>
            </a:p>
            <a:p>
              <a:pPr algn="ctr">
                <a:buNone/>
              </a:pPr>
              <a:r>
                <a:rPr lang="en-CA" sz="1000" i="0" kern="1200">
                  <a:solidFill>
                    <a:srgbClr val="000000"/>
                  </a:solidFill>
                  <a:effectLst/>
                  <a:latin typeface="Cambria Math" panose="02040503050406030204" pitchFamily="18" charset="0"/>
                  <a:cs typeface="Times New Roman" panose="02020603050405020304" pitchFamily="18" charset="0"/>
                </a:rPr>
                <a:t>〖</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𝐵𝑊</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3𝑑𝐵=𝑓</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𝑐,𝐿𝑃𝐹</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−𝑓</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𝑐,𝐻𝑃𝐹</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endParaRPr lang="en-CA" sz="1200">
                <a:effectLst/>
                <a:latin typeface="Times New Roman" panose="02020603050405020304" pitchFamily="18" charset="0"/>
                <a:ea typeface="Times New Roman" panose="02020603050405020304" pitchFamily="18" charset="0"/>
              </a:endParaRPr>
            </a:p>
            <a:p>
              <a:pPr algn="ctr">
                <a:buNone/>
              </a:pPr>
              <a:r>
                <a:rPr lang="en-US" sz="1000" b="1" kern="1200">
                  <a:solidFill>
                    <a:srgbClr val="0070C0"/>
                  </a:solidFill>
                  <a:effectLst/>
                  <a:latin typeface="Calibri" panose="020F0502020204030204" pitchFamily="34" charset="0"/>
                  <a:ea typeface="Times New Roman" panose="02020603050405020304" pitchFamily="18" charset="0"/>
                  <a:cs typeface="Times New Roman" panose="02020603050405020304" pitchFamily="18" charset="0"/>
                </a:rPr>
                <a:t>Q-Factor:</a:t>
              </a:r>
              <a:endParaRPr lang="en-CA" sz="1200">
                <a:effectLst/>
                <a:latin typeface="Times New Roman" panose="02020603050405020304" pitchFamily="18" charset="0"/>
                <a:ea typeface="Times New Roman" panose="02020603050405020304" pitchFamily="18" charset="0"/>
              </a:endParaRPr>
            </a:p>
            <a:p>
              <a:pPr algn="ct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𝑄</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𝐵𝑃=𝑓</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𝑟</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𝐵𝑊</a:t>
              </a:r>
              <a:r>
                <a:rPr lang="en-CA"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n-US" sz="1000" i="0" kern="120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3𝑑𝐵 </a:t>
              </a:r>
              <a:endParaRPr lang="en-CA" sz="12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39687</xdr:rowOff>
    </xdr:from>
    <xdr:to>
      <xdr:col>18</xdr:col>
      <xdr:colOff>314325</xdr:colOff>
      <xdr:row>34</xdr:row>
      <xdr:rowOff>161925</xdr:rowOff>
    </xdr:to>
    <mc:AlternateContent xmlns:mc="http://schemas.openxmlformats.org/markup-compatibility/2006">
      <mc:Choice xmlns:a14="http://schemas.microsoft.com/office/drawing/2010/main"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2"/>
              <a:ext cx="2945604" cy="355123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b="1" kern="1200">
                  <a:solidFill>
                    <a:schemeClr val="tx1"/>
                  </a:solidFill>
                  <a:effectLst/>
                  <a:latin typeface="+mn-lt"/>
                  <a:ea typeface="+mn-ea"/>
                  <a:cs typeface="+mn-cs"/>
                </a:rPr>
                <a:t> </a:t>
              </a:r>
              <a14:m>
                <m:oMath xmlns:m="http://schemas.openxmlformats.org/officeDocument/2006/math">
                  <m:sSub>
                    <m:sSubPr>
                      <m:ctrlPr>
                        <a:rPr lang="en-CA" sz="1200" b="1"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b="1"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b="1"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r>
                        <a:rPr lang="en-US" sz="1200" b="1" i="1" kern="1200">
                          <a:solidFill>
                            <a:schemeClr val="tx1"/>
                          </a:solidFill>
                          <a:effectLst/>
                          <a:latin typeface="+mn-lt"/>
                          <a:ea typeface="+mn-ea"/>
                          <a:cs typeface="+mn-cs"/>
                        </a:rPr>
                        <m:t> </m:t>
                      </m:r>
                    </m:num>
                    <m:den>
                      <m:rad>
                        <m:radPr>
                          <m:degHide m:val="on"/>
                          <m:ctrlPr>
                            <a:rPr lang="en-CA" sz="1200" b="1"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r>
                    <a:rPr lang="en-US" sz="1200" b="1" i="1" kern="1200">
                      <a:solidFill>
                        <a:schemeClr val="tx1"/>
                      </a:solidFill>
                      <a:effectLst/>
                      <a:latin typeface="+mn-lt"/>
                      <a:ea typeface="+mn-ea"/>
                      <a:cs typeface="+mn-cs"/>
                    </a:rPr>
                    <m:t> </m:t>
                  </m:r>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 </m:t>
                      </m:r>
                      <m:r>
                        <a:rPr lang="en-US" sz="1200" i="1" kern="1200">
                          <a:solidFill>
                            <a:schemeClr val="tx1"/>
                          </a:solidFill>
                          <a:effectLst/>
                          <a:latin typeface="+mn-lt"/>
                          <a:ea typeface="+mn-ea"/>
                          <a:cs typeface="+mn-cs"/>
                        </a:rPr>
                        <m:t>𝐴</m:t>
                      </m:r>
                    </m:e>
                    <m:sub>
                      <m:r>
                        <a:rPr lang="en-US" sz="1200" i="1" kern="1200">
                          <a:solidFill>
                            <a:schemeClr val="tx1"/>
                          </a:solidFill>
                          <a:effectLst/>
                          <a:latin typeface="+mn-lt"/>
                          <a:ea typeface="+mn-ea"/>
                          <a:cs typeface="+mn-cs"/>
                        </a:rPr>
                        <m:t>𝑣</m:t>
                      </m:r>
                    </m:sub>
                  </m:sSub>
                  <m:r>
                    <a:rPr lang="en-US" sz="1200" i="1" kern="1200">
                      <a:solidFill>
                        <a:schemeClr val="tx1"/>
                      </a:solidFill>
                      <a:effectLst/>
                      <a:latin typeface="+mn-lt"/>
                      <a:ea typeface="+mn-ea"/>
                      <a:cs typeface="+mn-cs"/>
                    </a:rPr>
                    <m:t>=</m:t>
                  </m:r>
                  <m:f>
                    <m:fPr>
                      <m:ctrlPr>
                        <a:rPr lang="en-CA" sz="1200" b="1"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r>
                        <a:rPr lang="en-US" sz="1200" b="1" i="1" kern="1200">
                          <a:solidFill>
                            <a:schemeClr val="tx1"/>
                          </a:solidFill>
                          <a:effectLst/>
                          <a:latin typeface="+mn-lt"/>
                          <a:ea typeface="+mn-ea"/>
                          <a:cs typeface="+mn-cs"/>
                        </a:rPr>
                        <m:t> </m:t>
                      </m:r>
                    </m:num>
                    <m:den>
                      <m:rad>
                        <m:radPr>
                          <m:degHide m:val="on"/>
                          <m:ctrlPr>
                            <a:rPr lang="en-CA" sz="1200" b="1"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b="1" i="1" kern="1200">
                                      <a:solidFill>
                                        <a:schemeClr val="tx1"/>
                                      </a:solidFill>
                                      <a:effectLst/>
                                      <a:latin typeface="+mn-lt"/>
                                      <a:ea typeface="+mn-ea"/>
                                      <a:cs typeface="+mn-cs"/>
                                    </a:rPr>
                                  </m:ctrlPr>
                                </m:dPr>
                                <m:e>
                                  <m:f>
                                    <m:fPr>
                                      <m:ctrlPr>
                                        <a:rPr lang="en-CA" sz="1200" b="1" i="1" kern="1200">
                                          <a:solidFill>
                                            <a:schemeClr val="tx1"/>
                                          </a:solidFill>
                                          <a:effectLst/>
                                          <a:latin typeface="+mn-lt"/>
                                          <a:ea typeface="+mn-ea"/>
                                          <a:cs typeface="+mn-cs"/>
                                        </a:rPr>
                                      </m:ctrlPr>
                                    </m:fPr>
                                    <m:num>
                                      <m:r>
                                        <a:rPr lang="en-US" sz="1200" b="1" i="1" kern="1200">
                                          <a:solidFill>
                                            <a:schemeClr val="tx1"/>
                                          </a:solidFill>
                                          <a:effectLst/>
                                          <a:latin typeface="+mn-lt"/>
                                          <a:ea typeface="+mn-ea"/>
                                          <a:cs typeface="+mn-cs"/>
                                        </a:rPr>
                                        <m:t>𝒇</m:t>
                                      </m:r>
                                    </m:num>
                                    <m:den>
                                      <m:sSub>
                                        <m:sSubPr>
                                          <m:ctrlPr>
                                            <a:rPr lang="en-CA" sz="1200" b="1" i="1" kern="1200">
                                              <a:solidFill>
                                                <a:schemeClr val="tx1"/>
                                              </a:solidFill>
                                              <a:effectLst/>
                                              <a:latin typeface="+mn-lt"/>
                                              <a:ea typeface="+mn-ea"/>
                                              <a:cs typeface="+mn-cs"/>
                                            </a:rPr>
                                          </m:ctrlPr>
                                        </m:sSubPr>
                                        <m:e>
                                          <m:r>
                                            <a:rPr lang="en-US" sz="1200" b="1" i="1" kern="1200">
                                              <a:solidFill>
                                                <a:schemeClr val="tx1"/>
                                              </a:solidFill>
                                              <a:effectLst/>
                                              <a:latin typeface="+mn-lt"/>
                                              <a:ea typeface="+mn-ea"/>
                                              <a:cs typeface="+mn-cs"/>
                                            </a:rPr>
                                            <m:t>𝒇</m:t>
                                          </m:r>
                                        </m:e>
                                        <m:sub>
                                          <m:r>
                                            <a:rPr lang="en-US" sz="1200" b="1" i="1" kern="1200">
                                              <a:solidFill>
                                                <a:schemeClr val="tx1"/>
                                              </a:solidFill>
                                              <a:effectLst/>
                                              <a:latin typeface="+mn-lt"/>
                                              <a:ea typeface="+mn-ea"/>
                                              <a:cs typeface="+mn-cs"/>
                                            </a:rPr>
                                            <m:t>𝒄</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sym typeface="Wingdings" panose="05000000000000000000" pitchFamily="2" charset="2"/>
                </a:rPr>
                <a:t></a:t>
              </a:r>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𝐺𝑎𝑖𝑛</m:t>
                      </m:r>
                    </m:e>
                    <m:sub>
                      <m:r>
                        <a:rPr lang="en-US" sz="1200" i="1" kern="1200">
                          <a:solidFill>
                            <a:schemeClr val="tx1"/>
                          </a:solidFill>
                          <a:effectLst/>
                          <a:latin typeface="+mn-lt"/>
                          <a:ea typeface="+mn-ea"/>
                          <a:cs typeface="+mn-cs"/>
                        </a:rPr>
                        <m:t>𝑑𝐵</m:t>
                      </m:r>
                    </m:sub>
                  </m:sSub>
                  <m:r>
                    <a:rPr lang="en-US" sz="1200" i="1" kern="1200">
                      <a:solidFill>
                        <a:schemeClr val="tx1"/>
                      </a:solidFill>
                      <a:effectLst/>
                      <a:latin typeface="+mn-lt"/>
                      <a:ea typeface="+mn-ea"/>
                      <a:cs typeface="+mn-cs"/>
                    </a:rPr>
                    <m:t>=20</m:t>
                  </m:r>
                  <m:r>
                    <a:rPr lang="en-US" sz="1200" i="1" kern="1200">
                      <a:solidFill>
                        <a:schemeClr val="tx1"/>
                      </a:solidFill>
                      <a:effectLst/>
                      <a:latin typeface="+mn-lt"/>
                      <a:ea typeface="+mn-ea"/>
                      <a:cs typeface="+mn-cs"/>
                      <a:sym typeface="Symbol" panose="05050102010706020507" pitchFamily="18" charset="2"/>
                    </a:rPr>
                    <m:t></m:t>
                  </m:r>
                  <m:r>
                    <a:rPr lang="en-US" sz="1200" i="1" kern="1200">
                      <a:solidFill>
                        <a:schemeClr val="tx1"/>
                      </a:solidFill>
                      <a:effectLst/>
                      <a:latin typeface="+mn-lt"/>
                      <a:ea typeface="+mn-ea"/>
                      <a:cs typeface="+mn-cs"/>
                    </a:rPr>
                    <m:t>𝑙𝑜𝑔</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m:t>
                      </m:r>
                      <m:d>
                        <m:dPr>
                          <m:ctrlPr>
                            <a:rPr lang="en-CA" sz="1200" i="1" kern="1200">
                              <a:solidFill>
                                <a:schemeClr val="tx1"/>
                              </a:solidFill>
                              <a:effectLst/>
                              <a:latin typeface="+mn-lt"/>
                              <a:ea typeface="+mn-ea"/>
                              <a:cs typeface="+mn-cs"/>
                            </a:rPr>
                          </m:ctrlPr>
                        </m:dPr>
                        <m:e>
                          <m:f>
                            <m:fPr>
                              <m:type m:val="lin"/>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𝑅</m:t>
                                  </m:r>
                                </m:e>
                                <m:sub>
                                  <m:r>
                                    <a:rPr lang="en-US" sz="1200" i="1" kern="1200">
                                      <a:solidFill>
                                        <a:schemeClr val="tx1"/>
                                      </a:solidFill>
                                      <a:effectLst/>
                                      <a:latin typeface="+mn-lt"/>
                                      <a:ea typeface="+mn-ea"/>
                                      <a:cs typeface="+mn-cs"/>
                                    </a:rPr>
                                    <m:t>1</m:t>
                                  </m:r>
                                </m:sub>
                              </m:sSub>
                            </m:den>
                          </m:f>
                        </m:e>
                      </m:d>
                      <m:r>
                        <a:rPr lang="en-US" sz="1200" i="1" kern="1200">
                          <a:solidFill>
                            <a:schemeClr val="tx1"/>
                          </a:solidFill>
                          <a:effectLst/>
                          <a:latin typeface="+mn-lt"/>
                          <a:ea typeface="+mn-ea"/>
                          <a:cs typeface="+mn-cs"/>
                        </a:rPr>
                        <m:t> </m:t>
                      </m:r>
                    </m:num>
                    <m:den>
                      <m:rad>
                        <m:radPr>
                          <m:degHide m:val="on"/>
                          <m:ctrlPr>
                            <a:rPr lang="en-CA" sz="1200" i="1" kern="1200">
                              <a:solidFill>
                                <a:schemeClr val="tx1"/>
                              </a:solidFill>
                              <a:effectLst/>
                              <a:latin typeface="+mn-lt"/>
                              <a:ea typeface="+mn-ea"/>
                              <a:cs typeface="+mn-cs"/>
                            </a:rPr>
                          </m:ctrlPr>
                        </m:radPr>
                        <m:deg/>
                        <m:e>
                          <m:r>
                            <a:rPr lang="en-US" sz="1200" i="1" kern="1200">
                              <a:solidFill>
                                <a:schemeClr val="tx1"/>
                              </a:solidFill>
                              <a:effectLst/>
                              <a:latin typeface="+mn-lt"/>
                              <a:ea typeface="+mn-ea"/>
                              <a:cs typeface="+mn-cs"/>
                            </a:rPr>
                            <m:t>1+</m:t>
                          </m:r>
                          <m:sSup>
                            <m:sSupPr>
                              <m:ctrlPr>
                                <a:rPr lang="en-CA" sz="1200" i="1" kern="1200">
                                  <a:solidFill>
                                    <a:schemeClr val="tx1"/>
                                  </a:solidFill>
                                  <a:effectLst/>
                                  <a:latin typeface="+mn-lt"/>
                                  <a:ea typeface="+mn-ea"/>
                                  <a:cs typeface="+mn-cs"/>
                                </a:rPr>
                              </m:ctrlPr>
                            </m:sSupPr>
                            <m:e>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𝑓</m:t>
                                      </m:r>
                                    </m:num>
                                    <m:den>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𝑓</m:t>
                                          </m:r>
                                        </m:e>
                                        <m:sub>
                                          <m:r>
                                            <a:rPr lang="en-US" sz="1200" i="1" kern="1200">
                                              <a:solidFill>
                                                <a:schemeClr val="tx1"/>
                                              </a:solidFill>
                                              <a:effectLst/>
                                              <a:latin typeface="+mn-lt"/>
                                              <a:ea typeface="+mn-ea"/>
                                              <a:cs typeface="+mn-cs"/>
                                            </a:rPr>
                                            <m:t>𝑐</m:t>
                                          </m:r>
                                        </m:sub>
                                      </m:sSub>
                                    </m:den>
                                  </m:f>
                                </m:e>
                              </m:d>
                            </m:e>
                            <m:sup>
                              <m:r>
                                <a:rPr lang="en-US" sz="1200" i="1" kern="1200">
                                  <a:solidFill>
                                    <a:schemeClr val="tx1"/>
                                  </a:solidFill>
                                  <a:effectLst/>
                                  <a:latin typeface="+mn-lt"/>
                                  <a:ea typeface="+mn-ea"/>
                                  <a:cs typeface="+mn-cs"/>
                                </a:rPr>
                                <m:t>2</m:t>
                              </m:r>
                            </m:sup>
                          </m:sSup>
                        </m:e>
                      </m:rad>
                    </m:den>
                  </m:f>
                </m:oMath>
              </a14:m>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US"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r>
                        <a:rPr lang="en-US" sz="1200" i="1" kern="1200">
                          <a:solidFill>
                            <a:schemeClr val="tx1"/>
                          </a:solidFill>
                          <a:effectLst/>
                          <a:latin typeface="+mn-lt"/>
                          <a:ea typeface="+mn-ea"/>
                          <a:cs typeface="+mn-cs"/>
                        </a:rPr>
                        <m:t>1</m:t>
                      </m:r>
                    </m:num>
                    <m:den>
                      <m:r>
                        <a:rPr lang="en-US" sz="1200" i="1" kern="1200">
                          <a:solidFill>
                            <a:schemeClr val="tx1"/>
                          </a:solidFill>
                          <a:effectLst/>
                          <a:latin typeface="+mn-lt"/>
                          <a:ea typeface="+mn-ea"/>
                          <a:cs typeface="+mn-cs"/>
                        </a:rPr>
                        <m:t>2</m:t>
                      </m:r>
                      <m:r>
                        <a:rPr lang="en-US" sz="1200" i="1" kern="1200">
                          <a:solidFill>
                            <a:schemeClr val="tx1"/>
                          </a:solidFill>
                          <a:effectLst/>
                          <a:latin typeface="+mn-lt"/>
                          <a:ea typeface="+mn-ea"/>
                          <a:cs typeface="+mn-cs"/>
                        </a:rPr>
                        <m:t>𝜋</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𝑓</m:t>
                          </m:r>
                          <m:r>
                            <a:rPr lang="en-US" sz="1200" i="1" kern="1200">
                              <a:solidFill>
                                <a:schemeClr val="tx1"/>
                              </a:solidFill>
                              <a:effectLst/>
                              <a:latin typeface="+mn-lt"/>
                              <a:ea typeface="+mn-ea"/>
                              <a:cs typeface="+mn-cs"/>
                            </a:rPr>
                            <m:t>𝐶</m:t>
                          </m:r>
                        </m:e>
                        <m:sub>
                          <m:r>
                            <a:rPr lang="en-US" sz="1200" i="1" kern="1200">
                              <a:solidFill>
                                <a:schemeClr val="tx1"/>
                              </a:solidFill>
                              <a:effectLst/>
                              <a:latin typeface="+mn-lt"/>
                              <a:ea typeface="+mn-ea"/>
                              <a:cs typeface="+mn-cs"/>
                            </a:rPr>
                            <m:t>1</m:t>
                          </m:r>
                        </m:sub>
                      </m:sSub>
                    </m:den>
                  </m:f>
                </m:oMath>
              </a14:m>
              <a:endParaRPr lang="en-CA" sz="1200" kern="1200">
                <a:solidFill>
                  <a:schemeClr val="tx1"/>
                </a:solidFill>
                <a:effectLst/>
                <a:latin typeface="+mn-lt"/>
                <a:ea typeface="+mn-ea"/>
                <a:cs typeface="+mn-cs"/>
              </a:endParaRPr>
            </a:p>
            <a:p>
              <a14:m>
                <m:oMath xmlns:m="http://schemas.openxmlformats.org/officeDocument/2006/math">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𝑜𝑢𝑡</m:t>
                      </m:r>
                    </m:sub>
                  </m:sSub>
                  <m:r>
                    <a:rPr lang="en-US" sz="1200" i="1" kern="1200">
                      <a:solidFill>
                        <a:schemeClr val="tx1"/>
                      </a:solidFill>
                      <a:effectLst/>
                      <a:latin typeface="+mn-lt"/>
                      <a:ea typeface="+mn-ea"/>
                      <a:cs typeface="+mn-cs"/>
                    </a:rPr>
                    <m:t>=</m:t>
                  </m:r>
                </m:oMath>
              </a14:m>
              <a:r>
                <a:rPr lang="en-US" sz="1200" i="1" kern="1200">
                  <a:solidFill>
                    <a:schemeClr val="tx1"/>
                  </a:solidFill>
                  <a:effectLst/>
                  <a:latin typeface="+mn-lt"/>
                  <a:ea typeface="+mn-ea"/>
                  <a:cs typeface="+mn-cs"/>
                </a:rPr>
                <a:t> </a:t>
              </a:r>
              <a14:m>
                <m:oMath xmlns:m="http://schemas.openxmlformats.org/officeDocument/2006/math">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m:t>
                      </m:r>
                      <m:r>
                        <a:rPr lang="en-US" sz="1200" i="1" kern="1200">
                          <a:solidFill>
                            <a:schemeClr val="tx1"/>
                          </a:solidFill>
                          <a:effectLst/>
                          <a:latin typeface="+mn-lt"/>
                          <a:ea typeface="+mn-ea"/>
                          <a:cs typeface="+mn-cs"/>
                        </a:rPr>
                        <m:t>𝑉</m:t>
                      </m:r>
                    </m:e>
                    <m:sub>
                      <m:r>
                        <a:rPr lang="en-US" sz="1200" i="1" kern="1200">
                          <a:solidFill>
                            <a:schemeClr val="tx1"/>
                          </a:solidFill>
                          <a:effectLst/>
                          <a:latin typeface="+mn-lt"/>
                          <a:ea typeface="+mn-ea"/>
                          <a:cs typeface="+mn-cs"/>
                        </a:rPr>
                        <m:t>𝑖𝑛</m:t>
                      </m:r>
                    </m:sub>
                  </m:sSub>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US" sz="1200" i="1" kern="1200">
                              <a:solidFill>
                                <a:schemeClr val="tx1"/>
                              </a:solidFill>
                              <a:effectLst/>
                              <a:latin typeface="+mn-lt"/>
                              <a:ea typeface="+mn-ea"/>
                              <a:cs typeface="+mn-cs"/>
                            </a:rPr>
                            <m:t>𝑋</m:t>
                          </m:r>
                        </m:e>
                        <m:sub>
                          <m:r>
                            <a:rPr lang="en-US" sz="1200" i="1" kern="1200">
                              <a:solidFill>
                                <a:schemeClr val="tx1"/>
                              </a:solidFill>
                              <a:effectLst/>
                              <a:latin typeface="+mn-lt"/>
                              <a:ea typeface="+mn-ea"/>
                              <a:cs typeface="+mn-cs"/>
                            </a:rPr>
                            <m:t>𝑐</m:t>
                          </m:r>
                        </m:sub>
                      </m:sSub>
                      <m:r>
                        <a:rPr lang="en-CA" sz="1200" i="1" kern="1200">
                          <a:solidFill>
                            <a:schemeClr val="tx1"/>
                          </a:solidFill>
                          <a:effectLst/>
                          <a:latin typeface="+mn-lt"/>
                          <a:ea typeface="+mn-ea"/>
                          <a:cs typeface="+mn-cs"/>
                        </a:rPr>
                        <m:t>||</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1</m:t>
                          </m:r>
                        </m:sub>
                      </m:sSub>
                    </m:den>
                  </m:f>
                  <m:r>
                    <a:rPr lang="en-CA" sz="1200" i="1" kern="1200">
                      <a:solidFill>
                        <a:schemeClr val="tx1"/>
                      </a:solidFill>
                      <a:effectLst/>
                      <a:latin typeface="+mn-lt"/>
                      <a:ea typeface="+mn-ea"/>
                      <a:cs typeface="+mn-cs"/>
                    </a:rPr>
                    <m:t>=−</m:t>
                  </m:r>
                  <m:f>
                    <m:fPr>
                      <m:ctrlPr>
                        <a:rPr lang="en-CA" sz="1200" i="1" kern="1200">
                          <a:solidFill>
                            <a:schemeClr val="tx1"/>
                          </a:solidFill>
                          <a:effectLst/>
                          <a:latin typeface="+mn-lt"/>
                          <a:ea typeface="+mn-ea"/>
                          <a:cs typeface="+mn-cs"/>
                        </a:rPr>
                      </m:ctrlPr>
                    </m:fPr>
                    <m:num>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num>
                    <m:den>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1</m:t>
                          </m:r>
                        </m:sub>
                      </m:sSub>
                    </m:den>
                  </m:f>
                  <m:d>
                    <m:dPr>
                      <m:ctrlPr>
                        <a:rPr lang="en-CA" sz="1200" i="1" kern="1200">
                          <a:solidFill>
                            <a:schemeClr val="tx1"/>
                          </a:solidFill>
                          <a:effectLst/>
                          <a:latin typeface="+mn-lt"/>
                          <a:ea typeface="+mn-ea"/>
                          <a:cs typeface="+mn-cs"/>
                        </a:rPr>
                      </m:ctrlPr>
                    </m:dPr>
                    <m:e>
                      <m:f>
                        <m:fPr>
                          <m:ctrlPr>
                            <a:rPr lang="en-CA" sz="1200" i="1" kern="1200">
                              <a:solidFill>
                                <a:schemeClr val="tx1"/>
                              </a:solidFill>
                              <a:effectLst/>
                              <a:latin typeface="+mn-lt"/>
                              <a:ea typeface="+mn-ea"/>
                              <a:cs typeface="+mn-cs"/>
                            </a:rPr>
                          </m:ctrlPr>
                        </m:fPr>
                        <m:num>
                          <m:r>
                            <a:rPr lang="en-CA" sz="1200" i="1" kern="1200">
                              <a:solidFill>
                                <a:schemeClr val="tx1"/>
                              </a:solidFill>
                              <a:effectLst/>
                              <a:latin typeface="+mn-lt"/>
                              <a:ea typeface="+mn-ea"/>
                              <a:cs typeface="+mn-cs"/>
                            </a:rPr>
                            <m:t>1</m:t>
                          </m:r>
                        </m:num>
                        <m:den>
                          <m:r>
                            <a:rPr lang="en-CA" sz="1200" i="1" kern="1200">
                              <a:solidFill>
                                <a:schemeClr val="tx1"/>
                              </a:solidFill>
                              <a:effectLst/>
                              <a:latin typeface="+mn-lt"/>
                              <a:ea typeface="+mn-ea"/>
                              <a:cs typeface="+mn-cs"/>
                            </a:rPr>
                            <m:t>1+2</m:t>
                          </m:r>
                          <m:r>
                            <a:rPr lang="en-CA" sz="1200" i="1" kern="1200">
                              <a:solidFill>
                                <a:schemeClr val="tx1"/>
                              </a:solidFill>
                              <a:effectLst/>
                              <a:latin typeface="+mn-lt"/>
                              <a:ea typeface="+mn-ea"/>
                              <a:cs typeface="+mn-cs"/>
                            </a:rPr>
                            <m:t>𝜋</m:t>
                          </m:r>
                          <m:r>
                            <a:rPr lang="en-CA" sz="1200" i="1" kern="1200">
                              <a:solidFill>
                                <a:schemeClr val="tx1"/>
                              </a:solidFill>
                              <a:effectLst/>
                              <a:latin typeface="+mn-lt"/>
                              <a:ea typeface="+mn-ea"/>
                              <a:cs typeface="+mn-cs"/>
                            </a:rPr>
                            <m:t>𝑓</m:t>
                          </m:r>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𝐶</m:t>
                              </m:r>
                            </m:e>
                            <m:sub>
                              <m:r>
                                <a:rPr lang="en-CA" sz="1200" i="1" kern="1200">
                                  <a:solidFill>
                                    <a:schemeClr val="tx1"/>
                                  </a:solidFill>
                                  <a:effectLst/>
                                  <a:latin typeface="+mn-lt"/>
                                  <a:ea typeface="+mn-ea"/>
                                  <a:cs typeface="+mn-cs"/>
                                </a:rPr>
                                <m:t>1</m:t>
                              </m:r>
                            </m:sub>
                          </m:sSub>
                          <m:sSub>
                            <m:sSubPr>
                              <m:ctrlPr>
                                <a:rPr lang="en-CA" sz="1200" i="1" kern="1200">
                                  <a:solidFill>
                                    <a:schemeClr val="tx1"/>
                                  </a:solidFill>
                                  <a:effectLst/>
                                  <a:latin typeface="+mn-lt"/>
                                  <a:ea typeface="+mn-ea"/>
                                  <a:cs typeface="+mn-cs"/>
                                </a:rPr>
                              </m:ctrlPr>
                            </m:sSubPr>
                            <m:e>
                              <m:r>
                                <a:rPr lang="en-CA" sz="1200" i="1" kern="1200">
                                  <a:solidFill>
                                    <a:schemeClr val="tx1"/>
                                  </a:solidFill>
                                  <a:effectLst/>
                                  <a:latin typeface="+mn-lt"/>
                                  <a:ea typeface="+mn-ea"/>
                                  <a:cs typeface="+mn-cs"/>
                                </a:rPr>
                                <m:t>𝑅</m:t>
                              </m:r>
                            </m:e>
                            <m:sub>
                              <m:r>
                                <a:rPr lang="en-CA" sz="1200" i="1" kern="1200">
                                  <a:solidFill>
                                    <a:schemeClr val="tx1"/>
                                  </a:solidFill>
                                  <a:effectLst/>
                                  <a:latin typeface="+mn-lt"/>
                                  <a:ea typeface="+mn-ea"/>
                                  <a:cs typeface="+mn-cs"/>
                                </a:rPr>
                                <m:t>𝐹</m:t>
                              </m:r>
                            </m:sub>
                          </m:sSub>
                        </m:den>
                      </m:f>
                    </m:e>
                  </m:d>
                </m:oMath>
              </a14:m>
              <a:endParaRPr lang="en-CA" sz="1200" kern="1200">
                <a:solidFill>
                  <a:schemeClr val="tx1"/>
                </a:solidFill>
                <a:effectLst/>
                <a:latin typeface="+mn-lt"/>
                <a:ea typeface="+mn-ea"/>
                <a:cs typeface="+mn-cs"/>
              </a:endParaRPr>
            </a:p>
            <a:p>
              <a:endParaRPr lang="en-CA" sz="1200" kern="1200">
                <a:solidFill>
                  <a:schemeClr val="tx1"/>
                </a:solidFill>
                <a:effectLst/>
                <a:latin typeface="+mn-lt"/>
                <a:ea typeface="+mn-ea"/>
                <a:cs typeface="+mn-cs"/>
              </a:endParaRPr>
            </a:p>
            <a:p>
              <a:endParaRPr lang="en-US" sz="1400" b="0">
                <a:solidFill>
                  <a:sysClr val="windowText" lastClr="000000"/>
                </a:solidFill>
              </a:endParaRPr>
            </a:p>
          </xdr:txBody>
        </xdr:sp>
      </mc:Choice>
      <mc:Fallback>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2"/>
              <a:ext cx="2945604" cy="355123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200" b="1" i="1" kern="1200">
                  <a:solidFill>
                    <a:schemeClr val="tx1"/>
                  </a:solidFill>
                  <a:effectLst/>
                  <a:latin typeface="+mn-lt"/>
                  <a:ea typeface="+mn-ea"/>
                  <a:cs typeface="+mn-cs"/>
                </a:rPr>
                <a:t>Cutoff Frequency:</a:t>
              </a:r>
              <a:r>
                <a:rPr lang="en-US" sz="1200" b="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a:t>
              </a:r>
              <a:r>
                <a:rPr lang="en-US" sz="1200" b="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b="1"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b="1" i="1"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b="1"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Pass-Region Gain:</a:t>
              </a:r>
              <a:r>
                <a:rPr lang="en-US" sz="1200" b="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US" sz="1200" b="1" i="0" kern="1200">
                  <a:solidFill>
                    <a:schemeClr val="tx1"/>
                  </a:solidFill>
                  <a:effectLst/>
                  <a:latin typeface="+mn-lt"/>
                  <a:ea typeface="+mn-ea"/>
                  <a:cs typeface="+mn-cs"/>
                </a:rPr>
                <a:t>  </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Stop-Region Gain:</a:t>
              </a:r>
              <a:r>
                <a:rPr lang="en-US" sz="1200" b="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 𝐴</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𝑣=</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a:t>
              </a:r>
              <a:r>
                <a:rPr lang="en-US" sz="1200" b="1" i="0" kern="1200">
                  <a:solidFill>
                    <a:schemeClr val="tx1"/>
                  </a:solidFill>
                  <a:effectLst/>
                  <a:latin typeface="+mn-lt"/>
                  <a:ea typeface="+mn-ea"/>
                  <a:cs typeface="+mn-cs"/>
                </a:rPr>
                <a:t>𝒇</a:t>
              </a:r>
              <a:r>
                <a:rPr lang="en-CA" sz="1200" b="1" i="0" kern="1200">
                  <a:solidFill>
                    <a:schemeClr val="tx1"/>
                  </a:solidFill>
                  <a:effectLst/>
                  <a:latin typeface="+mn-lt"/>
                  <a:ea typeface="+mn-ea"/>
                  <a:cs typeface="+mn-cs"/>
                </a:rPr>
                <a:t>_</a:t>
              </a:r>
              <a:r>
                <a:rPr lang="en-US" sz="1200" b="1" i="0" kern="1200">
                  <a:solidFill>
                    <a:schemeClr val="tx1"/>
                  </a:solidFill>
                  <a:effectLst/>
                  <a:latin typeface="+mn-lt"/>
                  <a:ea typeface="+mn-ea"/>
                  <a:cs typeface="+mn-cs"/>
                </a:rPr>
                <a:t>𝒄 )</a:t>
              </a:r>
              <a:r>
                <a:rPr lang="en-CA" sz="1200" b="1"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a:t>
              </a:r>
              <a:r>
                <a:rPr lang="en-US" sz="1200" b="1" i="0" kern="1200">
                  <a:solidFill>
                    <a:schemeClr val="tx1"/>
                  </a:solidFill>
                  <a:effectLst/>
                  <a:latin typeface="+mn-lt"/>
                  <a:ea typeface="+mn-ea"/>
                  <a:cs typeface="+mn-cs"/>
                </a:rPr>
                <a:t> </a:t>
              </a:r>
              <a:r>
                <a:rPr lang="en-CA" sz="1200" b="1"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kern="1200">
                  <a:solidFill>
                    <a:schemeClr val="tx1"/>
                  </a:solidFill>
                  <a:effectLst/>
                  <a:latin typeface="+mn-lt"/>
                  <a:ea typeface="+mn-ea"/>
                  <a:cs typeface="+mn-cs"/>
                  <a:sym typeface="Wingdings" panose="05000000000000000000" pitchFamily="2" charset="2"/>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𝐺𝑎𝑖𝑛</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𝑑𝐵=20</a:t>
              </a:r>
              <a:r>
                <a:rPr lang="en-US" sz="1200" i="0" kern="1200">
                  <a:solidFill>
                    <a:schemeClr val="tx1"/>
                  </a:solidFill>
                  <a:effectLst/>
                  <a:latin typeface="+mn-lt"/>
                  <a:ea typeface="+mn-ea"/>
                  <a:cs typeface="+mn-cs"/>
                  <a:sym typeface="Symbol" panose="05050102010706020507" pitchFamily="18" charset="2"/>
                </a:rPr>
                <a:t></a:t>
              </a:r>
              <a:r>
                <a:rPr lang="en-US" sz="1200" i="0" kern="1200">
                  <a:solidFill>
                    <a:schemeClr val="tx1"/>
                  </a:solidFill>
                  <a:effectLst/>
                  <a:latin typeface="+mn-lt"/>
                  <a:ea typeface="+mn-ea"/>
                  <a:cs typeface="+mn-cs"/>
                </a:rPr>
                <a:t>𝑙𝑜𝑔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𝐹</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𝑅</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𝑓</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b="1" i="1" kern="1200">
                  <a:solidFill>
                    <a:schemeClr val="tx1"/>
                  </a:solidFill>
                  <a:effectLst/>
                  <a:latin typeface="+mn-lt"/>
                  <a:ea typeface="+mn-ea"/>
                  <a:cs typeface="+mn-cs"/>
                </a:rPr>
                <a:t>Transfer Function in Terms of Capacitive Reactance:</a:t>
              </a:r>
              <a:endParaRPr lang="en-CA" sz="1200" kern="1200">
                <a:solidFill>
                  <a:schemeClr val="tx1"/>
                </a:solidFill>
                <a:effectLst/>
                <a:latin typeface="+mn-lt"/>
                <a:ea typeface="+mn-ea"/>
                <a:cs typeface="+mn-cs"/>
              </a:endParaRPr>
            </a:p>
            <a:p>
              <a:r>
                <a:rPr lang="en-US" sz="1200" i="1" kern="1200">
                  <a:solidFill>
                    <a:schemeClr val="tx1"/>
                  </a:solidFill>
                  <a:effectLst/>
                  <a:latin typeface="+mn-lt"/>
                  <a:ea typeface="+mn-ea"/>
                  <a:cs typeface="+mn-cs"/>
                </a:rPr>
                <a:t>Reactance of C</a:t>
              </a:r>
              <a:r>
                <a:rPr lang="en-US" sz="1200" i="1" kern="1200" baseline="-25000">
                  <a:solidFill>
                    <a:schemeClr val="tx1"/>
                  </a:solidFill>
                  <a:effectLst/>
                  <a:latin typeface="+mn-lt"/>
                  <a:ea typeface="+mn-ea"/>
                  <a:cs typeface="+mn-cs"/>
                </a:rPr>
                <a:t>1</a:t>
              </a:r>
              <a:r>
                <a:rPr lang="en-US" sz="1200" i="1" kern="1200">
                  <a:solidFill>
                    <a:schemeClr val="tx1"/>
                  </a:solidFill>
                  <a:effectLst/>
                  <a:latin typeface="+mn-lt"/>
                  <a:ea typeface="+mn-ea"/>
                  <a:cs typeface="+mn-cs"/>
                </a:rPr>
                <a:t>: </a:t>
              </a:r>
              <a:r>
                <a:rPr lang="en-CA" sz="1200" i="0" kern="1200">
                  <a:solidFill>
                    <a:schemeClr val="tx1"/>
                  </a:solidFill>
                  <a:effectLst/>
                  <a:latin typeface="+mn-lt"/>
                  <a:ea typeface="+mn-ea"/>
                  <a:cs typeface="+mn-cs"/>
                </a:rPr>
                <a:t>𝑋_</a:t>
              </a:r>
              <a:r>
                <a:rPr lang="en-US" sz="1200" i="0" kern="1200">
                  <a:solidFill>
                    <a:schemeClr val="tx1"/>
                  </a:solidFill>
                  <a:effectLst/>
                  <a:latin typeface="+mn-lt"/>
                  <a:ea typeface="+mn-ea"/>
                  <a:cs typeface="+mn-cs"/>
                </a:rPr>
                <a:t>𝑐=1</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2𝜋</a:t>
              </a:r>
              <a:r>
                <a:rPr lang="en-CA" sz="1200" i="0" kern="1200">
                  <a:solidFill>
                    <a:schemeClr val="tx1"/>
                  </a:solidFill>
                  <a:effectLst/>
                  <a:latin typeface="+mn-lt"/>
                  <a:ea typeface="+mn-ea"/>
                  <a:cs typeface="+mn-cs"/>
                </a:rPr>
                <a:t>〖𝑓</a:t>
              </a:r>
              <a:r>
                <a:rPr lang="en-US" sz="1200" i="0" kern="1200">
                  <a:solidFill>
                    <a:schemeClr val="tx1"/>
                  </a:solidFill>
                  <a:effectLst/>
                  <a:latin typeface="+mn-lt"/>
                  <a:ea typeface="+mn-ea"/>
                  <a:cs typeface="+mn-cs"/>
                </a:rPr>
                <a:t>𝐶</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1 </a:t>
              </a:r>
              <a:r>
                <a:rPr lang="en-CA" sz="1200" i="0" kern="1200">
                  <a:solidFill>
                    <a:schemeClr val="tx1"/>
                  </a:solidFill>
                  <a:effectLst/>
                  <a:latin typeface="+mn-lt"/>
                  <a:ea typeface="+mn-ea"/>
                  <a:cs typeface="+mn-cs"/>
                </a:rPr>
                <a:t>)</a:t>
              </a:r>
              <a:endParaRPr lang="en-CA" sz="1200" kern="1200">
                <a:solidFill>
                  <a:schemeClr val="tx1"/>
                </a:solidFill>
                <a:effectLst/>
                <a:latin typeface="+mn-lt"/>
                <a:ea typeface="+mn-ea"/>
                <a:cs typeface="+mn-cs"/>
              </a:endParaRPr>
            </a:p>
            <a:p>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𝑜𝑢𝑡=</a:t>
              </a:r>
              <a:r>
                <a:rPr lang="en-US" sz="1200" i="1" kern="1200">
                  <a:solidFill>
                    <a:schemeClr val="tx1"/>
                  </a:solidFill>
                  <a:effectLst/>
                  <a:latin typeface="+mn-lt"/>
                  <a:ea typeface="+mn-ea"/>
                  <a:cs typeface="+mn-cs"/>
                </a:rPr>
                <a:t> </a:t>
              </a:r>
              <a:r>
                <a:rPr lang="en-CA" sz="1200" i="0" kern="1200">
                  <a:solidFill>
                    <a:schemeClr val="tx1"/>
                  </a:solidFill>
                  <a:effectLst/>
                  <a:latin typeface="+mn-lt"/>
                  <a:ea typeface="+mn-ea"/>
                  <a:cs typeface="+mn-cs"/>
                </a:rPr>
                <a:t>〖−</a:t>
              </a:r>
              <a:r>
                <a:rPr lang="en-US" sz="1200" i="0" kern="1200">
                  <a:solidFill>
                    <a:schemeClr val="tx1"/>
                  </a:solidFill>
                  <a:effectLst/>
                  <a:latin typeface="+mn-lt"/>
                  <a:ea typeface="+mn-ea"/>
                  <a:cs typeface="+mn-cs"/>
                </a:rPr>
                <a:t>𝑉</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𝑖𝑛</a:t>
              </a:r>
              <a:r>
                <a:rPr lang="en-CA" sz="1200" i="0" kern="1200">
                  <a:solidFill>
                    <a:schemeClr val="tx1"/>
                  </a:solidFill>
                  <a:effectLst/>
                  <a:latin typeface="+mn-lt"/>
                  <a:ea typeface="+mn-ea"/>
                  <a:cs typeface="+mn-cs"/>
                </a:rPr>
                <a:t>  (</a:t>
              </a:r>
              <a:r>
                <a:rPr lang="en-US" sz="1200" i="0" kern="1200">
                  <a:solidFill>
                    <a:schemeClr val="tx1"/>
                  </a:solidFill>
                  <a:effectLst/>
                  <a:latin typeface="+mn-lt"/>
                  <a:ea typeface="+mn-ea"/>
                  <a:cs typeface="+mn-cs"/>
                </a:rPr>
                <a:t>𝑋</a:t>
              </a:r>
              <a:r>
                <a:rPr lang="en-CA" sz="1200" i="0" kern="1200">
                  <a:solidFill>
                    <a:schemeClr val="tx1"/>
                  </a:solidFill>
                  <a:effectLst/>
                  <a:latin typeface="+mn-lt"/>
                  <a:ea typeface="+mn-ea"/>
                  <a:cs typeface="+mn-cs"/>
                </a:rPr>
                <a:t>_</a:t>
              </a:r>
              <a:r>
                <a:rPr lang="en-US" sz="1200" i="0" kern="1200">
                  <a:solidFill>
                    <a:schemeClr val="tx1"/>
                  </a:solidFill>
                  <a:effectLst/>
                  <a:latin typeface="+mn-lt"/>
                  <a:ea typeface="+mn-ea"/>
                  <a:cs typeface="+mn-cs"/>
                </a:rPr>
                <a:t>𝑐</a:t>
              </a:r>
              <a:r>
                <a:rPr lang="en-CA" sz="1200" i="0" kern="1200">
                  <a:solidFill>
                    <a:schemeClr val="tx1"/>
                  </a:solidFill>
                  <a:effectLst/>
                  <a:latin typeface="+mn-lt"/>
                  <a:ea typeface="+mn-ea"/>
                  <a:cs typeface="+mn-cs"/>
                </a:rPr>
                <a:t> ||𝑅_𝐹)/𝑅_1 =−𝑅_𝐹/𝑅_1  (1/(1+2𝜋𝑓𝐶_1 𝑅_𝐹 ))</a:t>
              </a:r>
              <a:endParaRPr lang="en-CA" sz="1200" kern="1200">
                <a:solidFill>
                  <a:schemeClr val="tx1"/>
                </a:solidFill>
                <a:effectLst/>
                <a:latin typeface="+mn-lt"/>
                <a:ea typeface="+mn-ea"/>
                <a:cs typeface="+mn-cs"/>
              </a:endParaRPr>
            </a:p>
            <a:p>
              <a:endParaRPr lang="en-CA" sz="1200" kern="1200">
                <a:solidFill>
                  <a:schemeClr val="tx1"/>
                </a:solidFill>
                <a:effectLst/>
                <a:latin typeface="+mn-lt"/>
                <a:ea typeface="+mn-ea"/>
                <a:cs typeface="+mn-cs"/>
              </a:endParaRPr>
            </a:p>
            <a:p>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476252</xdr:colOff>
      <xdr:row>16</xdr:row>
      <xdr:rowOff>76201</xdr:rowOff>
    </xdr:from>
    <xdr:to>
      <xdr:col>25</xdr:col>
      <xdr:colOff>583617</xdr:colOff>
      <xdr:row>28</xdr:row>
      <xdr:rowOff>119386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11753852" y="3609976"/>
          <a:ext cx="4374565" cy="2329185"/>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lectronics-tutorials.ws/filter/filter_5.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www.electronics-tutorials.ws/filter/filter_5.html"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electronics-tutorials.ws/opamp/opamp_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H36"/>
  <sheetViews>
    <sheetView tabSelected="1" zoomScaleNormal="100"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8">
      <c r="B17" s="2">
        <v>4.2</v>
      </c>
      <c r="C17" s="2">
        <f t="shared" si="0"/>
        <v>-0.87157577241358819</v>
      </c>
      <c r="D17" s="2">
        <f t="shared" si="1"/>
        <v>1.5838340632505452</v>
      </c>
    </row>
    <row r="18" spans="2:8">
      <c r="B18" s="2">
        <v>5.2</v>
      </c>
      <c r="C18" s="2">
        <f t="shared" si="0"/>
        <v>-0.88345465572015314</v>
      </c>
      <c r="D18" s="2">
        <f t="shared" si="1"/>
        <v>1.6677325577760986</v>
      </c>
    </row>
    <row r="19" spans="2:8">
      <c r="B19" s="2">
        <v>6.2</v>
      </c>
      <c r="C19" s="2">
        <f t="shared" si="0"/>
        <v>-8.3089402817496397E-2</v>
      </c>
      <c r="D19" s="2">
        <f t="shared" si="1"/>
        <v>2.5168139004843497</v>
      </c>
    </row>
    <row r="20" spans="2:8">
      <c r="B20" s="2">
        <v>7.2</v>
      </c>
      <c r="C20" s="2">
        <f t="shared" si="0"/>
        <v>0.79366786384915311</v>
      </c>
      <c r="D20" s="2">
        <f t="shared" si="1"/>
        <v>3.3504366206285643</v>
      </c>
    </row>
    <row r="21" spans="2:8">
      <c r="B21" s="2">
        <v>8.1999999999999993</v>
      </c>
      <c r="C21" s="2">
        <f t="shared" si="0"/>
        <v>0.94073055667977312</v>
      </c>
      <c r="D21" s="2">
        <f t="shared" si="1"/>
        <v>3.4021718337562943</v>
      </c>
    </row>
    <row r="22" spans="2:8">
      <c r="B22" s="2">
        <v>9.1999999999999993</v>
      </c>
      <c r="C22" s="2">
        <f t="shared" si="0"/>
        <v>0.22288991410024764</v>
      </c>
      <c r="D22" s="2">
        <f t="shared" si="1"/>
        <v>2.6244544235070633</v>
      </c>
    </row>
    <row r="23" spans="2:8">
      <c r="B23" s="2">
        <v>10.199999999999999</v>
      </c>
      <c r="C23" s="2">
        <f t="shared" si="0"/>
        <v>-0.69987468759354232</v>
      </c>
      <c r="D23" s="2">
        <f t="shared" si="1"/>
        <v>1.7323141902364187</v>
      </c>
    </row>
    <row r="24" spans="2:8">
      <c r="B24" s="2">
        <v>11.2</v>
      </c>
      <c r="C24" s="2">
        <f t="shared" si="0"/>
        <v>-0.9791777291513174</v>
      </c>
      <c r="D24" s="2">
        <f t="shared" si="1"/>
        <v>1.5459807500979106</v>
      </c>
    </row>
    <row r="25" spans="2:8">
      <c r="B25" s="2">
        <v>12.2</v>
      </c>
      <c r="C25" s="2">
        <f t="shared" si="0"/>
        <v>-0.35822928223682871</v>
      </c>
      <c r="D25" s="2">
        <f t="shared" si="1"/>
        <v>2.2367682086341976</v>
      </c>
    </row>
    <row r="26" spans="2:8">
      <c r="B26" s="2">
        <v>13.2</v>
      </c>
      <c r="C26" s="2">
        <f t="shared" si="0"/>
        <v>0.59207351470722303</v>
      </c>
      <c r="D26" s="2">
        <f t="shared" si="1"/>
        <v>3.169569762196601</v>
      </c>
    </row>
    <row r="27" spans="2:8">
      <c r="B27" s="2">
        <v>14.2</v>
      </c>
      <c r="C27" s="2">
        <f t="shared" si="0"/>
        <v>0.99802665271636171</v>
      </c>
      <c r="D27" s="2">
        <f t="shared" si="1"/>
        <v>3.4867719642746136</v>
      </c>
      <c r="H27" s="2">
        <f>-30*LOG(2)</f>
        <v>-9.0308998699194358</v>
      </c>
    </row>
    <row r="28" spans="2:8">
      <c r="B28" s="2">
        <v>15.2</v>
      </c>
      <c r="C28" s="2">
        <f t="shared" si="0"/>
        <v>0.48639868885379967</v>
      </c>
      <c r="D28" s="2">
        <f t="shared" si="1"/>
        <v>2.8967405731306135</v>
      </c>
    </row>
    <row r="29" spans="2:8">
      <c r="B29" s="2">
        <v>16.2</v>
      </c>
      <c r="C29" s="2">
        <f t="shared" si="0"/>
        <v>-0.47242198639846616</v>
      </c>
      <c r="D29" s="2">
        <f t="shared" si="1"/>
        <v>1.9419477287132207</v>
      </c>
    </row>
    <row r="30" spans="2:8">
      <c r="B30" s="2">
        <v>17.2</v>
      </c>
      <c r="C30" s="2">
        <f t="shared" si="0"/>
        <v>-0.99690006604159609</v>
      </c>
      <c r="D30" s="2">
        <f t="shared" si="1"/>
        <v>1.500225568926989</v>
      </c>
    </row>
    <row r="31" spans="2:8">
      <c r="B31" s="2">
        <v>18.2</v>
      </c>
      <c r="C31" s="2">
        <f t="shared" si="0"/>
        <v>-0.60483282240628411</v>
      </c>
      <c r="D31" s="2">
        <f t="shared" si="1"/>
        <v>1.9776914103732683</v>
      </c>
    </row>
    <row r="32" spans="2:8">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topLeftCell="A3" zoomScaleNormal="100" workbookViewId="0">
      <selection activeCell="C4" sqref="C4"/>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7.25" thickBot="1">
      <c r="B1" s="1" t="s">
        <v>100</v>
      </c>
    </row>
    <row r="2" spans="2:27" ht="15.75" thickBot="1">
      <c r="B2" s="2" t="s">
        <v>12</v>
      </c>
      <c r="C2" s="4">
        <v>1</v>
      </c>
      <c r="D2" s="2" t="s">
        <v>16</v>
      </c>
      <c r="H2" s="6" t="s">
        <v>36</v>
      </c>
      <c r="AA2"/>
    </row>
    <row r="3" spans="2:27" ht="15.75" thickBot="1">
      <c r="B3" s="2" t="s">
        <v>82</v>
      </c>
      <c r="C3" s="4">
        <v>0.1</v>
      </c>
      <c r="D3" s="2" t="s">
        <v>83</v>
      </c>
      <c r="H3" s="2" t="s">
        <v>9</v>
      </c>
      <c r="I3" s="4">
        <v>5</v>
      </c>
      <c r="J3" s="2" t="s">
        <v>18</v>
      </c>
    </row>
    <row r="4" spans="2:27" ht="15.75" thickBot="1">
      <c r="B4" s="2" t="s">
        <v>99</v>
      </c>
      <c r="C4" s="4">
        <v>1</v>
      </c>
      <c r="D4" s="2" t="s">
        <v>16</v>
      </c>
      <c r="H4" s="2" t="s">
        <v>10</v>
      </c>
      <c r="I4" s="5">
        <v>-5</v>
      </c>
      <c r="J4" s="2" t="s">
        <v>19</v>
      </c>
    </row>
    <row r="5" spans="2:27" ht="15.75" thickBot="1">
      <c r="B5" s="2" t="s">
        <v>0</v>
      </c>
      <c r="C5" s="3">
        <v>0</v>
      </c>
      <c r="D5" s="2" t="s">
        <v>17</v>
      </c>
      <c r="H5" s="2" t="s">
        <v>31</v>
      </c>
      <c r="I5" s="4">
        <v>1.2</v>
      </c>
      <c r="J5" s="2" t="s">
        <v>32</v>
      </c>
    </row>
    <row r="6" spans="2:27">
      <c r="B6" s="2" t="s">
        <v>1</v>
      </c>
      <c r="C6" s="3">
        <f>-C4/C2</f>
        <v>-1</v>
      </c>
      <c r="D6" s="2" t="s">
        <v>39</v>
      </c>
    </row>
    <row r="7" spans="2:27" ht="15.75" thickBot="1">
      <c r="B7" s="2" t="s">
        <v>97</v>
      </c>
      <c r="C7" s="3">
        <f>1/(2*PI()*C9*C3*0.000001)</f>
        <v>999.99999999999977</v>
      </c>
      <c r="D7" s="2" t="s">
        <v>217</v>
      </c>
      <c r="H7" s="6" t="s">
        <v>33</v>
      </c>
    </row>
    <row r="8" spans="2:27" ht="15.75" thickBot="1">
      <c r="B8" s="2" t="s">
        <v>25</v>
      </c>
      <c r="C8" s="4">
        <v>1</v>
      </c>
      <c r="D8" s="2" t="s">
        <v>38</v>
      </c>
      <c r="H8" s="6"/>
    </row>
    <row r="9" spans="2:27" ht="15.7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75" thickBot="1">
      <c r="B11" s="2" t="s">
        <v>81</v>
      </c>
      <c r="C11" s="3">
        <f>1/(2*PI()*(C2*1000)*(C3*0.000001))</f>
        <v>1591.5494309189537</v>
      </c>
      <c r="D11" s="2" t="s">
        <v>80</v>
      </c>
    </row>
    <row r="12" spans="2:27" ht="15.7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28" t="s">
        <v>229</v>
      </c>
      <c r="G16" s="28"/>
    </row>
    <row r="17" spans="2:7">
      <c r="B17" s="2">
        <v>0</v>
      </c>
      <c r="C17" s="2">
        <f t="shared" ref="C17:C42" si="0">$C$8*SIN($B17*$C$9*2*PI())</f>
        <v>0</v>
      </c>
      <c r="D17" s="2">
        <f t="shared" ref="D17:D42" si="1">C17*$C$6*($C$9/$C$11)/SQRT(1+($C$9/$C$11)^2)</f>
        <v>0</v>
      </c>
      <c r="E17" s="2">
        <f t="shared" ref="E17:E42" si="2">IF(D17&gt;($I$3-$I$5),($I$3-$I$5),IF(D17&lt;($I$4+$I$5),($I$4+$I$5),D17))</f>
        <v>0</v>
      </c>
      <c r="F17" s="28">
        <f t="shared" ref="F17:F42" si="3">-C17*($C$4*1000)/SQRT(($C$2*1000)^2+$C$7^2)</f>
        <v>0</v>
      </c>
      <c r="G17" s="28"/>
    </row>
    <row r="18" spans="2:7">
      <c r="B18" s="2">
        <f t="shared" ref="B18:B42" si="4">B17+$C$13</f>
        <v>1.0053096491487336E-4</v>
      </c>
      <c r="C18" s="2">
        <f t="shared" si="0"/>
        <v>0.84432792550201508</v>
      </c>
      <c r="D18" s="2">
        <f t="shared" si="1"/>
        <v>-0.59703000166764497</v>
      </c>
      <c r="E18" s="2">
        <f t="shared" si="2"/>
        <v>-0.59703000166764497</v>
      </c>
      <c r="F18" s="28">
        <f t="shared" si="3"/>
        <v>-0.59703000166764508</v>
      </c>
      <c r="G18" s="28"/>
    </row>
    <row r="19" spans="2:7">
      <c r="B19" s="2">
        <f t="shared" si="4"/>
        <v>2.0106192982974672E-4</v>
      </c>
      <c r="C19" s="2">
        <f t="shared" si="0"/>
        <v>0.90482705246601947</v>
      </c>
      <c r="D19" s="2">
        <f t="shared" si="1"/>
        <v>-0.63980934459975836</v>
      </c>
      <c r="E19" s="2">
        <f t="shared" si="2"/>
        <v>-0.63980934459975836</v>
      </c>
      <c r="F19" s="28">
        <f t="shared" si="3"/>
        <v>-0.63980934459975847</v>
      </c>
      <c r="G19" s="28"/>
    </row>
    <row r="20" spans="2:7">
      <c r="B20" s="2">
        <f t="shared" si="4"/>
        <v>3.0159289474462008E-4</v>
      </c>
      <c r="C20" s="2">
        <f t="shared" si="0"/>
        <v>0.12533323356430454</v>
      </c>
      <c r="D20" s="2">
        <f t="shared" si="1"/>
        <v>-8.862397936135713E-2</v>
      </c>
      <c r="E20" s="2">
        <f t="shared" si="2"/>
        <v>-8.862397936135713E-2</v>
      </c>
      <c r="F20" s="28">
        <f t="shared" si="3"/>
        <v>-8.8623979361357158E-2</v>
      </c>
      <c r="G20" s="28"/>
    </row>
    <row r="21" spans="2:7">
      <c r="B21" s="2">
        <f t="shared" si="4"/>
        <v>4.0212385965949344E-4</v>
      </c>
      <c r="C21" s="2">
        <f t="shared" si="0"/>
        <v>-0.77051324277578936</v>
      </c>
      <c r="D21" s="2">
        <f t="shared" si="1"/>
        <v>0.54483513896079727</v>
      </c>
      <c r="E21" s="2">
        <f t="shared" si="2"/>
        <v>0.54483513896079727</v>
      </c>
      <c r="F21" s="28">
        <f t="shared" si="3"/>
        <v>0.54483513896079727</v>
      </c>
      <c r="G21" s="28"/>
    </row>
    <row r="22" spans="2:7">
      <c r="B22" s="2">
        <f t="shared" si="4"/>
        <v>5.0265482457436685E-4</v>
      </c>
      <c r="C22" s="2">
        <f t="shared" si="0"/>
        <v>-0.95105651629515364</v>
      </c>
      <c r="D22" s="2">
        <f t="shared" si="1"/>
        <v>0.67249851196395738</v>
      </c>
      <c r="E22" s="2">
        <f t="shared" si="2"/>
        <v>0.67249851196395738</v>
      </c>
      <c r="F22" s="28">
        <f t="shared" si="3"/>
        <v>0.67249851196395749</v>
      </c>
      <c r="G22" s="28"/>
    </row>
    <row r="23" spans="2:7">
      <c r="B23" s="2">
        <f t="shared" si="4"/>
        <v>6.0318578948924026E-4</v>
      </c>
      <c r="C23" s="2">
        <f t="shared" si="0"/>
        <v>-0.24868988716485363</v>
      </c>
      <c r="D23" s="2">
        <f t="shared" si="1"/>
        <v>0.17585030562678533</v>
      </c>
      <c r="E23" s="2">
        <f t="shared" si="2"/>
        <v>0.17585030562678533</v>
      </c>
      <c r="F23" s="28">
        <f t="shared" si="3"/>
        <v>0.17585030562678536</v>
      </c>
      <c r="G23" s="28"/>
    </row>
    <row r="24" spans="2:7">
      <c r="B24" s="2">
        <f t="shared" si="4"/>
        <v>7.0371675440411368E-4</v>
      </c>
      <c r="C24" s="2">
        <f t="shared" si="0"/>
        <v>0.68454710592868995</v>
      </c>
      <c r="D24" s="2">
        <f t="shared" si="1"/>
        <v>-0.48404790064380249</v>
      </c>
      <c r="E24" s="2">
        <f t="shared" si="2"/>
        <v>-0.48404790064380249</v>
      </c>
      <c r="F24" s="28">
        <f t="shared" si="3"/>
        <v>-0.4840479006438026</v>
      </c>
      <c r="G24" s="28"/>
    </row>
    <row r="25" spans="2:7">
      <c r="B25" s="2">
        <f t="shared" si="4"/>
        <v>8.0424771931898709E-4</v>
      </c>
      <c r="C25" s="2">
        <f t="shared" si="0"/>
        <v>0.98228725072868861</v>
      </c>
      <c r="D25" s="2">
        <f t="shared" si="1"/>
        <v>-0.69458197606334615</v>
      </c>
      <c r="E25" s="2">
        <f t="shared" si="2"/>
        <v>-0.69458197606334615</v>
      </c>
      <c r="F25" s="28">
        <f t="shared" si="3"/>
        <v>-0.69458197606334626</v>
      </c>
      <c r="G25" s="28"/>
    </row>
    <row r="26" spans="2:7">
      <c r="B26" s="2">
        <f t="shared" si="4"/>
        <v>9.0477868423386051E-4</v>
      </c>
      <c r="C26" s="2">
        <f t="shared" si="0"/>
        <v>0.36812455268467631</v>
      </c>
      <c r="D26" s="2">
        <f t="shared" si="1"/>
        <v>-0.26030336752459909</v>
      </c>
      <c r="E26" s="2">
        <f t="shared" si="2"/>
        <v>-0.26030336752459909</v>
      </c>
      <c r="F26" s="28">
        <f t="shared" si="3"/>
        <v>-0.26030336752459915</v>
      </c>
      <c r="G26" s="28"/>
    </row>
    <row r="27" spans="2:7">
      <c r="B27" s="2">
        <f t="shared" si="4"/>
        <v>1.0053096491487339E-3</v>
      </c>
      <c r="C27" s="2">
        <f t="shared" si="0"/>
        <v>-0.58778525229247569</v>
      </c>
      <c r="D27" s="2">
        <f t="shared" si="1"/>
        <v>0.41562693777745519</v>
      </c>
      <c r="E27" s="2">
        <f t="shared" si="2"/>
        <v>0.41562693777745519</v>
      </c>
      <c r="F27" s="28">
        <f t="shared" si="3"/>
        <v>0.4156269377774553</v>
      </c>
      <c r="G27" s="28"/>
    </row>
    <row r="28" spans="2:7">
      <c r="B28" s="2">
        <f t="shared" si="4"/>
        <v>1.1058406140636073E-3</v>
      </c>
      <c r="C28" s="2">
        <f t="shared" si="0"/>
        <v>-0.99802672842827134</v>
      </c>
      <c r="D28" s="2">
        <f t="shared" si="1"/>
        <v>0.70571146747705549</v>
      </c>
      <c r="E28" s="2">
        <f t="shared" si="2"/>
        <v>0.70571146747705549</v>
      </c>
      <c r="F28" s="28">
        <f t="shared" si="3"/>
        <v>0.7057114674770556</v>
      </c>
      <c r="G28" s="28"/>
    </row>
    <row r="29" spans="2:7">
      <c r="B29" s="2">
        <f t="shared" si="4"/>
        <v>1.2063715789784807E-3</v>
      </c>
      <c r="C29" s="2">
        <f t="shared" si="0"/>
        <v>-0.48175367410171166</v>
      </c>
      <c r="D29" s="2">
        <f t="shared" si="1"/>
        <v>0.34065128981885434</v>
      </c>
      <c r="E29" s="2">
        <f t="shared" si="2"/>
        <v>0.34065128981885434</v>
      </c>
      <c r="F29" s="28">
        <f t="shared" si="3"/>
        <v>0.3406512898188544</v>
      </c>
      <c r="G29" s="28"/>
    </row>
    <row r="30" spans="2:7">
      <c r="B30" s="2">
        <f t="shared" si="4"/>
        <v>1.3069025438933542E-3</v>
      </c>
      <c r="C30" s="2">
        <f t="shared" si="0"/>
        <v>0.48175367410171699</v>
      </c>
      <c r="D30" s="2">
        <f t="shared" si="1"/>
        <v>-0.34065128981885812</v>
      </c>
      <c r="E30" s="2">
        <f t="shared" si="2"/>
        <v>-0.34065128981885812</v>
      </c>
      <c r="F30" s="28">
        <f t="shared" si="3"/>
        <v>-0.34065128981885817</v>
      </c>
      <c r="G30" s="28"/>
    </row>
    <row r="31" spans="2:7">
      <c r="B31" s="2">
        <f t="shared" si="4"/>
        <v>1.4074335088082276E-3</v>
      </c>
      <c r="C31" s="2">
        <f t="shared" si="0"/>
        <v>0.99802672842827178</v>
      </c>
      <c r="D31" s="2">
        <f t="shared" si="1"/>
        <v>-0.70571146747705582</v>
      </c>
      <c r="E31" s="2">
        <f t="shared" si="2"/>
        <v>-0.70571146747705582</v>
      </c>
      <c r="F31" s="28">
        <f t="shared" si="3"/>
        <v>-0.70571146747705593</v>
      </c>
      <c r="G31" s="28"/>
    </row>
    <row r="32" spans="2:7">
      <c r="B32" s="2">
        <f t="shared" si="4"/>
        <v>1.507964473723101E-3</v>
      </c>
      <c r="C32" s="2">
        <f t="shared" si="0"/>
        <v>0.58778525229246925</v>
      </c>
      <c r="D32" s="2">
        <f t="shared" si="1"/>
        <v>-0.41562693777745063</v>
      </c>
      <c r="E32" s="2">
        <f t="shared" si="2"/>
        <v>-0.41562693777745063</v>
      </c>
      <c r="F32" s="28">
        <f t="shared" si="3"/>
        <v>-0.41562693777745074</v>
      </c>
      <c r="G32" s="28"/>
    </row>
    <row r="33" spans="2:11">
      <c r="B33" s="2">
        <f t="shared" si="4"/>
        <v>1.6084954386379744E-3</v>
      </c>
      <c r="C33" s="2">
        <f t="shared" si="0"/>
        <v>-0.36812455268468203</v>
      </c>
      <c r="D33" s="2">
        <f t="shared" si="1"/>
        <v>0.26030336752460315</v>
      </c>
      <c r="E33" s="2">
        <f t="shared" si="2"/>
        <v>0.26030336752460315</v>
      </c>
      <c r="F33" s="28">
        <f t="shared" si="3"/>
        <v>0.2603033675246032</v>
      </c>
      <c r="G33" s="28"/>
    </row>
    <row r="34" spans="2:11">
      <c r="B34" s="2">
        <f t="shared" si="4"/>
        <v>1.7090264035528478E-3</v>
      </c>
      <c r="C34" s="2">
        <f t="shared" si="0"/>
        <v>-0.98228725072868972</v>
      </c>
      <c r="D34" s="2">
        <f t="shared" si="1"/>
        <v>0.69458197606334693</v>
      </c>
      <c r="E34" s="2">
        <f t="shared" si="2"/>
        <v>0.69458197606334693</v>
      </c>
      <c r="F34" s="28">
        <f t="shared" si="3"/>
        <v>0.69458197606334704</v>
      </c>
      <c r="G34" s="28"/>
    </row>
    <row r="35" spans="2:11">
      <c r="B35" s="2">
        <f t="shared" si="4"/>
        <v>1.8095573684677212E-3</v>
      </c>
      <c r="C35" s="2">
        <f t="shared" si="0"/>
        <v>-0.68454710592868351</v>
      </c>
      <c r="D35" s="2">
        <f t="shared" si="1"/>
        <v>0.48404790064379793</v>
      </c>
      <c r="E35" s="2">
        <f t="shared" si="2"/>
        <v>0.48404790064379793</v>
      </c>
      <c r="F35" s="28">
        <f t="shared" si="3"/>
        <v>0.48404790064379805</v>
      </c>
      <c r="G35" s="28"/>
    </row>
    <row r="36" spans="2:11">
      <c r="B36" s="2">
        <f t="shared" si="4"/>
        <v>1.9100883333825946E-3</v>
      </c>
      <c r="C36" s="2">
        <f t="shared" si="0"/>
        <v>0.24868988716486301</v>
      </c>
      <c r="D36" s="2">
        <f t="shared" si="1"/>
        <v>-0.17585030562679196</v>
      </c>
      <c r="E36" s="2">
        <f t="shared" si="2"/>
        <v>-0.17585030562679196</v>
      </c>
      <c r="F36" s="28">
        <f t="shared" si="3"/>
        <v>-0.17585030562679202</v>
      </c>
      <c r="G36" s="28"/>
      <c r="H36" s="6" t="s">
        <v>65</v>
      </c>
    </row>
    <row r="37" spans="2:11">
      <c r="B37" s="2">
        <f t="shared" si="4"/>
        <v>2.0106192982974678E-3</v>
      </c>
      <c r="C37" s="2">
        <f t="shared" si="0"/>
        <v>0.95105651629515553</v>
      </c>
      <c r="D37" s="2">
        <f t="shared" si="1"/>
        <v>-0.67249851196395871</v>
      </c>
      <c r="E37" s="2">
        <f t="shared" si="2"/>
        <v>-0.67249851196395871</v>
      </c>
      <c r="F37" s="28">
        <f t="shared" si="3"/>
        <v>-0.67249851196395882</v>
      </c>
      <c r="G37" s="28"/>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28">
        <f t="shared" si="3"/>
        <v>-0.54483513896079383</v>
      </c>
      <c r="G38" s="28"/>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28">
        <f t="shared" si="3"/>
        <v>8.8623979361360822E-2</v>
      </c>
      <c r="G39" s="28"/>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28">
        <f t="shared" si="3"/>
        <v>0.63980934459976058</v>
      </c>
      <c r="G40" s="28"/>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28">
        <f t="shared" si="3"/>
        <v>0.59703000166764197</v>
      </c>
      <c r="G41" s="28"/>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28">
        <f t="shared" si="3"/>
        <v>-6.8433951773412358E-15</v>
      </c>
      <c r="G42" s="28"/>
      <c r="H42" s="12" t="s">
        <v>103</v>
      </c>
      <c r="I42" s="12">
        <f>ROUND(C9,0)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223</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43</v>
      </c>
    </row>
    <row r="2" spans="2:9" ht="15.75" thickBot="1">
      <c r="B2" s="2" t="s">
        <v>12</v>
      </c>
      <c r="C2" s="4">
        <v>1</v>
      </c>
      <c r="D2" s="2" t="s">
        <v>16</v>
      </c>
      <c r="G2" s="6" t="s">
        <v>36</v>
      </c>
    </row>
    <row r="3" spans="2:9" ht="15.75" thickBot="1">
      <c r="B3" s="2" t="s">
        <v>15</v>
      </c>
      <c r="C3" s="4">
        <v>3.5</v>
      </c>
      <c r="D3" s="2" t="s">
        <v>16</v>
      </c>
      <c r="G3" s="2" t="s">
        <v>9</v>
      </c>
      <c r="H3" s="4">
        <v>10</v>
      </c>
      <c r="I3" s="2" t="s">
        <v>18</v>
      </c>
    </row>
    <row r="4" spans="2:9" ht="15.75" thickBot="1">
      <c r="B4" s="2" t="s">
        <v>0</v>
      </c>
      <c r="C4" s="3">
        <v>0</v>
      </c>
      <c r="D4" s="2" t="s">
        <v>17</v>
      </c>
      <c r="G4" s="2" t="s">
        <v>10</v>
      </c>
      <c r="H4" s="15">
        <v>0</v>
      </c>
      <c r="I4" s="2" t="s">
        <v>19</v>
      </c>
    </row>
    <row r="5" spans="2:9" ht="15.75" thickBot="1">
      <c r="B5" s="2" t="s">
        <v>1</v>
      </c>
      <c r="C5" s="3">
        <f>-C3/C2</f>
        <v>-3.5</v>
      </c>
      <c r="D5" s="2" t="s">
        <v>39</v>
      </c>
      <c r="G5" s="2" t="s">
        <v>31</v>
      </c>
      <c r="H5" s="4">
        <v>0.5</v>
      </c>
      <c r="I5" s="2" t="s">
        <v>32</v>
      </c>
    </row>
    <row r="6" spans="2:9" ht="15.75" thickBot="1">
      <c r="B6" s="2" t="s">
        <v>25</v>
      </c>
      <c r="C6" s="4">
        <v>1</v>
      </c>
      <c r="D6"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D9BF-0F6E-4A4D-9A74-74057F0FF1D7}">
  <dimension ref="B1:S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263</v>
      </c>
    </row>
    <row r="2" spans="2:9" ht="15.75" thickBot="1">
      <c r="B2" s="2" t="s">
        <v>12</v>
      </c>
      <c r="C2" s="4">
        <v>1</v>
      </c>
      <c r="D2" s="2" t="s">
        <v>16</v>
      </c>
      <c r="G2" s="6" t="s">
        <v>36</v>
      </c>
    </row>
    <row r="3" spans="2:9" ht="15.75" thickBot="1">
      <c r="B3" s="2" t="s">
        <v>15</v>
      </c>
      <c r="C3" s="4">
        <v>5</v>
      </c>
      <c r="D3" s="2" t="s">
        <v>16</v>
      </c>
      <c r="G3" s="2" t="s">
        <v>9</v>
      </c>
      <c r="H3" s="4">
        <v>5</v>
      </c>
      <c r="I3" s="2" t="s">
        <v>18</v>
      </c>
    </row>
    <row r="4" spans="2:9" ht="15.75" thickBot="1">
      <c r="B4" s="2" t="s">
        <v>11</v>
      </c>
      <c r="C4" s="3">
        <f>H3/2</f>
        <v>2.5</v>
      </c>
      <c r="D4" s="2" t="s">
        <v>256</v>
      </c>
      <c r="G4" s="2" t="s">
        <v>10</v>
      </c>
      <c r="H4" s="5">
        <v>0</v>
      </c>
      <c r="I4" s="2" t="s">
        <v>19</v>
      </c>
    </row>
    <row r="5" spans="2:9" ht="15.75" thickBot="1">
      <c r="B5" s="2" t="s">
        <v>0</v>
      </c>
      <c r="C5" s="3">
        <f>(1+C3/C2)*C4</f>
        <v>15</v>
      </c>
      <c r="D5" s="2" t="s">
        <v>17</v>
      </c>
      <c r="G5" s="2" t="s">
        <v>31</v>
      </c>
      <c r="H5" s="4">
        <v>0</v>
      </c>
      <c r="I5" s="2" t="s">
        <v>32</v>
      </c>
    </row>
    <row r="6" spans="2:9" ht="15.75" thickBot="1">
      <c r="B6" s="2" t="s">
        <v>1</v>
      </c>
      <c r="C6" s="3">
        <f>-C3/C2</f>
        <v>-5</v>
      </c>
      <c r="D6" s="2" t="s">
        <v>39</v>
      </c>
    </row>
    <row r="7" spans="2:9" ht="15.75" thickBot="1">
      <c r="B7" s="2" t="s">
        <v>25</v>
      </c>
      <c r="C7" s="4">
        <v>0.1</v>
      </c>
      <c r="D7" s="2" t="s">
        <v>262</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$C$7*SIN($B10)+$C$4</f>
        <v>2.5</v>
      </c>
      <c r="D10" s="2">
        <f t="shared" ref="D10:D35" si="0">$C$6*C10+(1-$C$6)*$C$4</f>
        <v>2.5</v>
      </c>
      <c r="E10" s="2">
        <f t="shared" ref="E10:E35" si="1">IF(D10&gt;($H$3-$H$5),($H$3-$H$5),IF(D10&lt;($H$4+$H$5),($H$4+$H$5),D10))</f>
        <v>2.5</v>
      </c>
      <c r="G10" s="6" t="s">
        <v>34</v>
      </c>
      <c r="H10" s="3">
        <f>IF($C$6*H9+(1-$C$6)*$C$4&gt;($H$3-$H$5),($H$3-$H$5),IF($C$6*H9+(1-$C$6)*$C$4&lt;($H$4+$H$5),($H$4+$H$5),$C$6*H9+(1-$C$6)*$C$4))</f>
        <v>2</v>
      </c>
      <c r="I10" s="2" t="s">
        <v>17</v>
      </c>
    </row>
    <row r="11" spans="2:9">
      <c r="B11" s="2">
        <v>0.1</v>
      </c>
      <c r="C11" s="2">
        <f t="shared" ref="C11:C35" si="2">$C$7*SIN($B11)+$C$4</f>
        <v>2.5099833416646828</v>
      </c>
      <c r="D11" s="2">
        <f t="shared" si="0"/>
        <v>2.4500832916765862</v>
      </c>
      <c r="E11" s="2">
        <f t="shared" si="1"/>
        <v>2.4500832916765862</v>
      </c>
    </row>
    <row r="12" spans="2:9">
      <c r="B12" s="2">
        <v>0.2</v>
      </c>
      <c r="C12" s="2">
        <f t="shared" si="2"/>
        <v>2.519866933079506</v>
      </c>
      <c r="D12" s="2">
        <f t="shared" si="0"/>
        <v>2.4006653346024702</v>
      </c>
      <c r="E12" s="2">
        <f t="shared" si="1"/>
        <v>2.4006653346024702</v>
      </c>
    </row>
    <row r="13" spans="2:9">
      <c r="B13" s="2">
        <v>1.2</v>
      </c>
      <c r="C13" s="2">
        <f t="shared" si="2"/>
        <v>2.5932039085967227</v>
      </c>
      <c r="D13" s="2">
        <f t="shared" si="0"/>
        <v>2.0339804570163871</v>
      </c>
      <c r="E13" s="2">
        <f t="shared" si="1"/>
        <v>2.0339804570163871</v>
      </c>
    </row>
    <row r="14" spans="2:9">
      <c r="B14" s="2">
        <v>2.2000000000000002</v>
      </c>
      <c r="C14" s="2">
        <f t="shared" si="2"/>
        <v>2.5808496403819592</v>
      </c>
      <c r="D14" s="2">
        <f t="shared" si="0"/>
        <v>2.0957517980902036</v>
      </c>
      <c r="E14" s="2">
        <f t="shared" si="1"/>
        <v>2.0957517980902036</v>
      </c>
    </row>
    <row r="15" spans="2:9">
      <c r="B15" s="2">
        <v>3.2</v>
      </c>
      <c r="C15" s="2">
        <f t="shared" si="2"/>
        <v>2.494162585657242</v>
      </c>
      <c r="D15" s="2">
        <f t="shared" si="0"/>
        <v>2.529187071713789</v>
      </c>
      <c r="E15" s="2">
        <f t="shared" si="1"/>
        <v>2.529187071713789</v>
      </c>
    </row>
    <row r="16" spans="2:9">
      <c r="B16" s="2">
        <v>4.2</v>
      </c>
      <c r="C16" s="2">
        <f t="shared" si="2"/>
        <v>2.4128424227586414</v>
      </c>
      <c r="D16" s="2">
        <f t="shared" si="0"/>
        <v>2.9357878862067928</v>
      </c>
      <c r="E16" s="2">
        <f t="shared" si="1"/>
        <v>2.9357878862067928</v>
      </c>
    </row>
    <row r="17" spans="2:19">
      <c r="B17" s="2">
        <v>5.2</v>
      </c>
      <c r="C17" s="2">
        <f t="shared" si="2"/>
        <v>2.4116545344279845</v>
      </c>
      <c r="D17" s="2">
        <f t="shared" si="0"/>
        <v>2.9417273278600771</v>
      </c>
      <c r="E17" s="2">
        <f t="shared" si="1"/>
        <v>2.9417273278600771</v>
      </c>
    </row>
    <row r="18" spans="2:19">
      <c r="B18" s="2">
        <v>6.2</v>
      </c>
      <c r="C18" s="2">
        <f t="shared" si="2"/>
        <v>2.4916910597182502</v>
      </c>
      <c r="D18" s="2">
        <f t="shared" si="0"/>
        <v>2.5415447014087498</v>
      </c>
      <c r="E18" s="2">
        <f t="shared" si="1"/>
        <v>2.5415447014087498</v>
      </c>
    </row>
    <row r="19" spans="2:19">
      <c r="B19" s="2">
        <v>7.2</v>
      </c>
      <c r="C19" s="2">
        <f t="shared" si="2"/>
        <v>2.5793667863849152</v>
      </c>
      <c r="D19" s="2">
        <f t="shared" si="0"/>
        <v>2.1031660680754243</v>
      </c>
      <c r="E19" s="2">
        <f t="shared" si="1"/>
        <v>2.1031660680754243</v>
      </c>
    </row>
    <row r="20" spans="2:19">
      <c r="B20" s="2">
        <v>8.1999999999999993</v>
      </c>
      <c r="C20" s="2">
        <f t="shared" si="2"/>
        <v>2.5940730556679772</v>
      </c>
      <c r="D20" s="2">
        <f t="shared" si="0"/>
        <v>2.0296347216601145</v>
      </c>
      <c r="E20" s="2">
        <f t="shared" si="1"/>
        <v>2.0296347216601145</v>
      </c>
    </row>
    <row r="21" spans="2:19">
      <c r="B21" s="2">
        <v>9.1999999999999993</v>
      </c>
      <c r="C21" s="2">
        <f t="shared" si="2"/>
        <v>2.5222889914100248</v>
      </c>
      <c r="D21" s="2">
        <f t="shared" si="0"/>
        <v>2.388555042949875</v>
      </c>
      <c r="E21" s="2">
        <f t="shared" si="1"/>
        <v>2.388555042949875</v>
      </c>
    </row>
    <row r="22" spans="2:19">
      <c r="B22" s="2">
        <v>10.199999999999999</v>
      </c>
      <c r="C22" s="2">
        <f t="shared" si="2"/>
        <v>2.4300125312406458</v>
      </c>
      <c r="D22" s="2">
        <f t="shared" si="0"/>
        <v>2.8499373437967712</v>
      </c>
      <c r="E22" s="2">
        <f t="shared" si="1"/>
        <v>2.8499373437967712</v>
      </c>
    </row>
    <row r="23" spans="2:19">
      <c r="B23" s="2">
        <v>11.2</v>
      </c>
      <c r="C23" s="2">
        <f t="shared" si="2"/>
        <v>2.4020822270848683</v>
      </c>
      <c r="D23" s="2">
        <f t="shared" si="0"/>
        <v>2.9895888645756585</v>
      </c>
      <c r="E23" s="2">
        <f t="shared" si="1"/>
        <v>2.9895888645756585</v>
      </c>
    </row>
    <row r="24" spans="2:19">
      <c r="B24" s="2">
        <v>12.2</v>
      </c>
      <c r="C24" s="2">
        <f t="shared" si="2"/>
        <v>2.4641770717763172</v>
      </c>
      <c r="D24" s="2">
        <f t="shared" si="0"/>
        <v>2.6791146411184137</v>
      </c>
      <c r="E24" s="2">
        <f t="shared" si="1"/>
        <v>2.6791146411184137</v>
      </c>
    </row>
    <row r="25" spans="2:19">
      <c r="B25" s="2">
        <v>13.2</v>
      </c>
      <c r="C25" s="2">
        <f t="shared" si="2"/>
        <v>2.5592073514707221</v>
      </c>
      <c r="D25" s="2">
        <f t="shared" si="0"/>
        <v>2.20396324264639</v>
      </c>
      <c r="E25" s="2">
        <f t="shared" si="1"/>
        <v>2.20396324264639</v>
      </c>
    </row>
    <row r="26" spans="2:19">
      <c r="B26" s="2">
        <v>14.2</v>
      </c>
      <c r="C26" s="2">
        <f t="shared" si="2"/>
        <v>2.5998026652716364</v>
      </c>
      <c r="D26" s="2">
        <f t="shared" si="0"/>
        <v>2.0009866736418189</v>
      </c>
      <c r="E26" s="2">
        <f t="shared" si="1"/>
        <v>2.0009866736418189</v>
      </c>
      <c r="S26" s="6" t="s">
        <v>266</v>
      </c>
    </row>
    <row r="27" spans="2:19">
      <c r="B27" s="2">
        <v>15.2</v>
      </c>
      <c r="C27" s="2">
        <f t="shared" si="2"/>
        <v>2.5486398688853802</v>
      </c>
      <c r="D27" s="2">
        <f t="shared" si="0"/>
        <v>2.2568006555730982</v>
      </c>
      <c r="E27" s="2">
        <f t="shared" si="1"/>
        <v>2.2568006555730982</v>
      </c>
    </row>
    <row r="28" spans="2:19">
      <c r="B28" s="2">
        <v>16.2</v>
      </c>
      <c r="C28" s="2">
        <f t="shared" si="2"/>
        <v>2.4527578013601534</v>
      </c>
      <c r="D28" s="2">
        <f t="shared" si="0"/>
        <v>2.7362109931992329</v>
      </c>
      <c r="E28" s="2">
        <f t="shared" si="1"/>
        <v>2.7362109931992329</v>
      </c>
      <c r="N28" s="2" t="s">
        <v>257</v>
      </c>
    </row>
    <row r="29" spans="2:19">
      <c r="B29" s="2">
        <v>17.2</v>
      </c>
      <c r="C29" s="2">
        <f t="shared" si="2"/>
        <v>2.4003099933958403</v>
      </c>
      <c r="D29" s="2">
        <f t="shared" si="0"/>
        <v>2.9984500330207986</v>
      </c>
      <c r="E29" s="2">
        <f t="shared" si="1"/>
        <v>2.9984500330207986</v>
      </c>
      <c r="G29" s="6" t="s">
        <v>65</v>
      </c>
    </row>
    <row r="30" spans="2:19">
      <c r="B30" s="2">
        <v>18.2</v>
      </c>
      <c r="C30" s="2">
        <f t="shared" si="2"/>
        <v>2.4395167177593717</v>
      </c>
      <c r="D30" s="2">
        <f t="shared" si="0"/>
        <v>2.8024164112031418</v>
      </c>
      <c r="E30" s="2">
        <f t="shared" si="1"/>
        <v>2.8024164112031418</v>
      </c>
      <c r="G30" s="12" t="s">
        <v>64</v>
      </c>
      <c r="H30" s="12">
        <f>H3</f>
        <v>5</v>
      </c>
      <c r="I30" s="12" t="s">
        <v>17</v>
      </c>
      <c r="J30" s="13" t="str">
        <f>TRIM(G30)&amp;"   "&amp;IF(H30&gt;0,"+","")&amp;TRIM(H30)&amp;" "&amp;TRIM(I30)</f>
        <v>V+:   +5 V</v>
      </c>
      <c r="N30" s="6" t="s">
        <v>258</v>
      </c>
    </row>
    <row r="31" spans="2:19">
      <c r="B31" s="2">
        <v>19.2</v>
      </c>
      <c r="C31" s="2">
        <f t="shared" si="2"/>
        <v>2.5343314928819893</v>
      </c>
      <c r="D31" s="2">
        <f t="shared" si="0"/>
        <v>2.3283425355900533</v>
      </c>
      <c r="E31" s="2">
        <f t="shared" si="1"/>
        <v>2.3283425355900533</v>
      </c>
      <c r="G31" s="12" t="s">
        <v>66</v>
      </c>
      <c r="H31" s="12">
        <f>H4</f>
        <v>0</v>
      </c>
      <c r="I31" s="12" t="s">
        <v>17</v>
      </c>
      <c r="J31" s="13" t="str">
        <f t="shared" ref="J31:J33" si="3">TRIM(G31)&amp;"   "&amp;IF(H31&gt;0,"+","")&amp;TRIM(H31)&amp;" "&amp;TRIM(I31)</f>
        <v>V-:   0 V</v>
      </c>
      <c r="N31" s="2" t="s">
        <v>265</v>
      </c>
    </row>
    <row r="32" spans="2:19">
      <c r="B32" s="2">
        <v>20.2</v>
      </c>
      <c r="C32" s="2">
        <f t="shared" si="2"/>
        <v>2.5975820517766977</v>
      </c>
      <c r="D32" s="2">
        <f t="shared" si="0"/>
        <v>2.0120897411165117</v>
      </c>
      <c r="E32" s="2">
        <f t="shared" si="1"/>
        <v>2.0120897411165117</v>
      </c>
      <c r="G32" s="12" t="s">
        <v>29</v>
      </c>
      <c r="H32" s="12">
        <f>H9</f>
        <v>2.6</v>
      </c>
      <c r="I32" s="12" t="s">
        <v>17</v>
      </c>
      <c r="J32" s="13" t="str">
        <f t="shared" si="3"/>
        <v>Vin:   +2.6 V</v>
      </c>
      <c r="N32" s="2" t="s">
        <v>260</v>
      </c>
    </row>
    <row r="33" spans="2:14">
      <c r="B33" s="2">
        <v>21.2</v>
      </c>
      <c r="C33" s="2">
        <f t="shared" si="2"/>
        <v>2.571116122290598</v>
      </c>
      <c r="D33" s="2">
        <f t="shared" si="0"/>
        <v>2.1444193885470106</v>
      </c>
      <c r="E33" s="2">
        <f t="shared" si="1"/>
        <v>2.1444193885470106</v>
      </c>
      <c r="G33" s="12" t="s">
        <v>69</v>
      </c>
      <c r="H33" s="12">
        <f>C4</f>
        <v>2.5</v>
      </c>
      <c r="I33" s="12" t="s">
        <v>17</v>
      </c>
      <c r="J33" s="13" t="str">
        <f t="shared" si="3"/>
        <v>Vb:   +2.5 V</v>
      </c>
      <c r="N33" s="2" t="s">
        <v>261</v>
      </c>
    </row>
    <row r="34" spans="2:14">
      <c r="B34" s="2">
        <v>22.2</v>
      </c>
      <c r="C34" s="2">
        <f t="shared" si="2"/>
        <v>2.4792663579393239</v>
      </c>
      <c r="D34" s="2">
        <f t="shared" si="0"/>
        <v>2.6036682103033808</v>
      </c>
      <c r="E34" s="2">
        <f t="shared" si="1"/>
        <v>2.6036682103033808</v>
      </c>
      <c r="G34" s="12" t="s">
        <v>67</v>
      </c>
      <c r="H34" s="12">
        <f>C2</f>
        <v>1</v>
      </c>
      <c r="I34" s="12" t="s">
        <v>16</v>
      </c>
      <c r="J34" s="13" t="str">
        <f>TRIM(G34)&amp;"   "&amp;TRIM(H34)&amp;" "&amp;TRIM(I34)</f>
        <v>R1:   1 K</v>
      </c>
    </row>
    <row r="35" spans="2:14">
      <c r="B35" s="2">
        <v>23.2</v>
      </c>
      <c r="C35" s="2">
        <f t="shared" si="2"/>
        <v>2.4064790084805461</v>
      </c>
      <c r="D35" s="2">
        <f t="shared" si="0"/>
        <v>2.9676049575972705</v>
      </c>
      <c r="E35" s="2">
        <f t="shared" si="1"/>
        <v>2.9676049575972705</v>
      </c>
      <c r="G35" s="12" t="s">
        <v>68</v>
      </c>
      <c r="H35" s="12">
        <f>C3</f>
        <v>5</v>
      </c>
      <c r="I35" s="12" t="s">
        <v>16</v>
      </c>
      <c r="J35" s="13" t="str">
        <f>TRIM(G35)&amp;"   "&amp;TRIM(H35)&amp;" "&amp;TRIM(I35)</f>
        <v>RF:   5 K</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topLeftCell="A3" zoomScaleNormal="100" workbookViewId="0">
      <selection activeCell="C4" sqref="C4"/>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7.25" thickBot="1">
      <c r="B1" s="1" t="s">
        <v>104</v>
      </c>
    </row>
    <row r="2" spans="2:10" ht="15.75" thickBot="1">
      <c r="B2" s="2" t="s">
        <v>12</v>
      </c>
      <c r="C2" s="4">
        <v>1</v>
      </c>
      <c r="D2" s="2" t="s">
        <v>16</v>
      </c>
      <c r="H2" s="6" t="s">
        <v>36</v>
      </c>
    </row>
    <row r="3" spans="2:10" ht="15.75" thickBot="1">
      <c r="B3" s="2" t="s">
        <v>15</v>
      </c>
      <c r="C3" s="4">
        <v>33</v>
      </c>
      <c r="D3" s="2" t="s">
        <v>16</v>
      </c>
      <c r="H3" s="2" t="s">
        <v>9</v>
      </c>
      <c r="I3" s="4">
        <v>5</v>
      </c>
      <c r="J3" s="2" t="s">
        <v>18</v>
      </c>
    </row>
    <row r="4" spans="2:10" ht="15.75" thickBot="1">
      <c r="B4" s="2" t="s">
        <v>82</v>
      </c>
      <c r="C4" s="4">
        <v>2.1000000000000001E-2</v>
      </c>
      <c r="D4" s="2" t="s">
        <v>83</v>
      </c>
      <c r="H4" s="2" t="s">
        <v>10</v>
      </c>
      <c r="I4" s="5">
        <v>-5</v>
      </c>
      <c r="J4" s="2" t="s">
        <v>19</v>
      </c>
    </row>
    <row r="5" spans="2:10" ht="15.7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75" thickBot="1">
      <c r="B8" s="2" t="s">
        <v>97</v>
      </c>
      <c r="C8" s="3">
        <f>1/(2*PI()*C11*C4*0.000001)</f>
        <v>3300</v>
      </c>
      <c r="D8" s="2" t="s">
        <v>217</v>
      </c>
      <c r="H8" s="6" t="s">
        <v>33</v>
      </c>
    </row>
    <row r="9" spans="2:10" ht="15.75" thickBot="1">
      <c r="B9" s="2" t="s">
        <v>218</v>
      </c>
      <c r="C9" s="3">
        <f>-((C3*1000)*C8/(C3*1000+C8))/(C2*1000)</f>
        <v>-3</v>
      </c>
      <c r="D9" s="2" t="s">
        <v>39</v>
      </c>
      <c r="H9" s="6" t="s">
        <v>29</v>
      </c>
      <c r="I9" s="4">
        <v>1</v>
      </c>
      <c r="J9" s="2" t="s">
        <v>17</v>
      </c>
    </row>
    <row r="10" spans="2:10" ht="15.75" thickBot="1">
      <c r="B10" s="2" t="s">
        <v>25</v>
      </c>
      <c r="C10" s="4">
        <v>1</v>
      </c>
      <c r="D10" s="2" t="s">
        <v>38</v>
      </c>
      <c r="H10" s="6" t="s">
        <v>34</v>
      </c>
      <c r="I10" s="3">
        <f>IF($C$7*I9/SQRT(1+($C$11/$C$13)^2)&gt;($I$3-$I$5),($I$3-$I$5),IF($C$7*I9/SQRT(1+($C$11/$C$13)^2)&lt;($I$4+$I$5),($I$4+$I$5),$C$7*I9/SQRT(1+($C$11/$C$13)^2)))</f>
        <v>-3.2836227276929644</v>
      </c>
      <c r="J10" s="2" t="s">
        <v>17</v>
      </c>
    </row>
    <row r="11" spans="2:10" ht="15.75" thickBot="1">
      <c r="B11" s="2" t="s">
        <v>84</v>
      </c>
      <c r="C11" s="4">
        <f>C13*10</f>
        <v>2296.6081254241753</v>
      </c>
      <c r="D11" s="2" t="s">
        <v>80</v>
      </c>
    </row>
    <row r="12" spans="2:10">
      <c r="B12" s="2" t="s">
        <v>87</v>
      </c>
      <c r="C12" s="3">
        <f>1/C11</f>
        <v>4.354247417875453E-4</v>
      </c>
      <c r="D12" s="2" t="s">
        <v>86</v>
      </c>
      <c r="H12" s="6" t="s">
        <v>105</v>
      </c>
    </row>
    <row r="13" spans="2:10" ht="15.75" thickBot="1">
      <c r="B13" s="2" t="s">
        <v>81</v>
      </c>
      <c r="C13" s="3">
        <f>1/(2*PI()*(C3*1000)*(C4*0.000001))</f>
        <v>229.66081254241752</v>
      </c>
      <c r="D13" s="2" t="s">
        <v>80</v>
      </c>
      <c r="H13" s="17" t="s">
        <v>106</v>
      </c>
      <c r="I13" s="3">
        <f>1000*(C3*1000)*(C4*0.000001)</f>
        <v>0.69299999999999995</v>
      </c>
      <c r="J13" s="2" t="s">
        <v>107</v>
      </c>
    </row>
    <row r="14" spans="2:10" ht="15.7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28" t="s">
        <v>221</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28">
        <f t="shared" ref="F19:F44" si="3">$C$9*C19+(1-$C$9)*$C$5</f>
        <v>2</v>
      </c>
    </row>
    <row r="20" spans="2:6">
      <c r="B20" s="2">
        <f t="shared" ref="B20:B44" si="4">B19+$C$15</f>
        <v>6.9667958686007244E-5</v>
      </c>
      <c r="C20" s="2">
        <f t="shared" si="0"/>
        <v>0.84432792550201496</v>
      </c>
      <c r="D20" s="2">
        <f t="shared" si="1"/>
        <v>-0.630643001957786</v>
      </c>
      <c r="E20" s="2">
        <f t="shared" si="2"/>
        <v>-0.630643001957786</v>
      </c>
      <c r="F20" s="28">
        <f t="shared" si="3"/>
        <v>-0.532983776506045</v>
      </c>
    </row>
    <row r="21" spans="2:6">
      <c r="B21" s="2">
        <f t="shared" si="4"/>
        <v>1.3933591737201449E-4</v>
      </c>
      <c r="C21" s="2">
        <f t="shared" si="0"/>
        <v>0.90482705246601969</v>
      </c>
      <c r="D21" s="2">
        <f t="shared" si="1"/>
        <v>-0.8292993102623738</v>
      </c>
      <c r="E21" s="2">
        <f t="shared" si="2"/>
        <v>-0.8292993102623738</v>
      </c>
      <c r="F21" s="28">
        <f t="shared" si="3"/>
        <v>-0.71448115739805917</v>
      </c>
    </row>
    <row r="22" spans="2:6">
      <c r="B22" s="2">
        <f t="shared" si="4"/>
        <v>2.0900387605802173E-4</v>
      </c>
      <c r="C22" s="2">
        <f t="shared" si="0"/>
        <v>0.12533323356430454</v>
      </c>
      <c r="D22" s="2">
        <f t="shared" si="1"/>
        <v>1.7302643095794814</v>
      </c>
      <c r="E22" s="2">
        <f t="shared" si="2"/>
        <v>1.7302643095794814</v>
      </c>
      <c r="F22" s="28">
        <f t="shared" si="3"/>
        <v>1.6240002993070863</v>
      </c>
    </row>
    <row r="23" spans="2:6">
      <c r="B23" s="2">
        <f t="shared" si="4"/>
        <v>2.7867183474402897E-4</v>
      </c>
      <c r="C23" s="2">
        <f t="shared" si="0"/>
        <v>-0.77051324277578881</v>
      </c>
      <c r="D23" s="2">
        <f t="shared" si="1"/>
        <v>4.6718861598134698</v>
      </c>
      <c r="E23" s="2">
        <f t="shared" si="2"/>
        <v>4.6718861598134698</v>
      </c>
      <c r="F23" s="28">
        <f t="shared" si="3"/>
        <v>4.3115397283273662</v>
      </c>
    </row>
    <row r="24" spans="2:6">
      <c r="B24" s="2">
        <f t="shared" si="4"/>
        <v>3.4833979343003622E-4</v>
      </c>
      <c r="C24" s="2">
        <f t="shared" si="0"/>
        <v>-0.95105651629515364</v>
      </c>
      <c r="D24" s="2">
        <f t="shared" si="1"/>
        <v>5.2647221560737432</v>
      </c>
      <c r="E24" s="2">
        <f t="shared" si="2"/>
        <v>5</v>
      </c>
      <c r="F24" s="28">
        <f t="shared" si="3"/>
        <v>4.8531695488854609</v>
      </c>
    </row>
    <row r="25" spans="2:6">
      <c r="B25" s="2">
        <f t="shared" si="4"/>
        <v>4.1800775211604346E-4</v>
      </c>
      <c r="C25" s="2">
        <f t="shared" si="0"/>
        <v>-0.24868988716485535</v>
      </c>
      <c r="D25" s="2">
        <f t="shared" si="1"/>
        <v>2.9584151294884</v>
      </c>
      <c r="E25" s="2">
        <f t="shared" si="2"/>
        <v>2.9584151294884</v>
      </c>
      <c r="F25" s="28">
        <f t="shared" si="3"/>
        <v>2.7460696614945661</v>
      </c>
    </row>
    <row r="26" spans="2:6">
      <c r="B26" s="2">
        <f t="shared" si="4"/>
        <v>4.876757108020507E-4</v>
      </c>
      <c r="C26" s="2">
        <f t="shared" si="0"/>
        <v>0.68454710592868795</v>
      </c>
      <c r="D26" s="2">
        <f t="shared" si="1"/>
        <v>-0.10598307135740015</v>
      </c>
      <c r="E26" s="2">
        <f t="shared" si="2"/>
        <v>-0.10598307135740015</v>
      </c>
      <c r="F26" s="28">
        <f t="shared" si="3"/>
        <v>-5.3641317786063958E-2</v>
      </c>
    </row>
    <row r="27" spans="2:6">
      <c r="B27" s="2">
        <f t="shared" si="4"/>
        <v>5.5734366948805795E-4</v>
      </c>
      <c r="C27" s="2">
        <f t="shared" si="0"/>
        <v>0.98228725072868894</v>
      </c>
      <c r="D27" s="2">
        <f t="shared" si="1"/>
        <v>-1.0836493777692784</v>
      </c>
      <c r="E27" s="2">
        <f t="shared" si="2"/>
        <v>-1.0836493777692784</v>
      </c>
      <c r="F27" s="28">
        <f t="shared" si="3"/>
        <v>-0.94686175218606694</v>
      </c>
    </row>
    <row r="28" spans="2:6">
      <c r="B28" s="2">
        <f t="shared" si="4"/>
        <v>6.2701162817406519E-4</v>
      </c>
      <c r="C28" s="2">
        <f t="shared" si="0"/>
        <v>0.36812455268467797</v>
      </c>
      <c r="D28" s="2">
        <f t="shared" si="1"/>
        <v>0.93302921602926769</v>
      </c>
      <c r="E28" s="2">
        <f t="shared" si="2"/>
        <v>0.93302921602926769</v>
      </c>
      <c r="F28" s="28">
        <f t="shared" si="3"/>
        <v>0.89562634194596602</v>
      </c>
    </row>
    <row r="29" spans="2:6">
      <c r="B29" s="2">
        <f t="shared" si="4"/>
        <v>6.9667958686007244E-4</v>
      </c>
      <c r="C29" s="2">
        <f t="shared" si="0"/>
        <v>-0.5877852522924728</v>
      </c>
      <c r="D29" s="2">
        <f t="shared" si="1"/>
        <v>4.071876377276789</v>
      </c>
      <c r="E29" s="2">
        <f t="shared" si="2"/>
        <v>4.071876377276789</v>
      </c>
      <c r="F29" s="28">
        <f t="shared" si="3"/>
        <v>3.7633557568774183</v>
      </c>
    </row>
    <row r="30" spans="2:6">
      <c r="B30" s="2">
        <f t="shared" si="4"/>
        <v>7.6634754554607968E-4</v>
      </c>
      <c r="C30" s="2">
        <f t="shared" si="0"/>
        <v>-0.99802672842827167</v>
      </c>
      <c r="D30" s="2">
        <f t="shared" si="1"/>
        <v>5.4189546121586094</v>
      </c>
      <c r="E30" s="2">
        <f t="shared" si="2"/>
        <v>5</v>
      </c>
      <c r="F30" s="28">
        <f t="shared" si="3"/>
        <v>4.9940801852848153</v>
      </c>
    </row>
    <row r="31" spans="2:6">
      <c r="B31" s="2">
        <f t="shared" si="4"/>
        <v>8.3601550423208692E-4</v>
      </c>
      <c r="C31" s="2">
        <f t="shared" si="0"/>
        <v>-0.48175367410171632</v>
      </c>
      <c r="D31" s="2">
        <f t="shared" si="1"/>
        <v>3.7237086772764676</v>
      </c>
      <c r="E31" s="2">
        <f t="shared" si="2"/>
        <v>3.7237086772764676</v>
      </c>
      <c r="F31" s="28">
        <f t="shared" si="3"/>
        <v>3.4452610223051492</v>
      </c>
    </row>
    <row r="32" spans="2:6">
      <c r="B32" s="2">
        <f t="shared" si="4"/>
        <v>9.0568346291809417E-4</v>
      </c>
      <c r="C32" s="2">
        <f t="shared" si="0"/>
        <v>0.48175367410171543</v>
      </c>
      <c r="D32" s="2">
        <f t="shared" si="1"/>
        <v>0.55991405041650011</v>
      </c>
      <c r="E32" s="2">
        <f t="shared" si="2"/>
        <v>0.55991405041650011</v>
      </c>
      <c r="F32" s="28">
        <f t="shared" si="3"/>
        <v>0.5547389776948537</v>
      </c>
    </row>
    <row r="33" spans="2:11">
      <c r="B33" s="2">
        <f t="shared" si="4"/>
        <v>9.7535142160410141E-4</v>
      </c>
      <c r="C33" s="2">
        <f t="shared" si="0"/>
        <v>0.99802672842827145</v>
      </c>
      <c r="D33" s="2">
        <f t="shared" si="1"/>
        <v>-1.1353318844656433</v>
      </c>
      <c r="E33" s="2">
        <f t="shared" si="2"/>
        <v>-1.1353318844656433</v>
      </c>
      <c r="F33" s="28">
        <f t="shared" si="3"/>
        <v>-0.99408018528481445</v>
      </c>
    </row>
    <row r="34" spans="2:11">
      <c r="B34" s="2">
        <f t="shared" si="4"/>
        <v>1.0450193802901088E-3</v>
      </c>
      <c r="C34" s="2">
        <f t="shared" si="0"/>
        <v>0.58778525229247358</v>
      </c>
      <c r="D34" s="2">
        <f t="shared" si="1"/>
        <v>0.21174635041617318</v>
      </c>
      <c r="E34" s="2">
        <f t="shared" si="2"/>
        <v>0.21174635041617318</v>
      </c>
      <c r="F34" s="28">
        <f t="shared" si="3"/>
        <v>0.23664424312257926</v>
      </c>
    </row>
    <row r="35" spans="2:11">
      <c r="B35" s="2">
        <f t="shared" si="4"/>
        <v>1.1146873389761159E-3</v>
      </c>
      <c r="C35" s="2">
        <f t="shared" si="0"/>
        <v>-0.36812455268467542</v>
      </c>
      <c r="D35" s="2">
        <f t="shared" si="1"/>
        <v>3.3505935116636887</v>
      </c>
      <c r="E35" s="2">
        <f t="shared" si="2"/>
        <v>3.3505935116636887</v>
      </c>
      <c r="F35" s="28">
        <f t="shared" si="3"/>
        <v>3.1043736580540262</v>
      </c>
    </row>
    <row r="36" spans="2:11">
      <c r="B36" s="2">
        <f t="shared" si="4"/>
        <v>1.184355297662123E-3</v>
      </c>
      <c r="C36" s="2">
        <f t="shared" si="0"/>
        <v>-0.98228725072868839</v>
      </c>
      <c r="D36" s="2">
        <f t="shared" si="1"/>
        <v>5.3672721054622414</v>
      </c>
      <c r="E36" s="2">
        <f t="shared" si="2"/>
        <v>5</v>
      </c>
      <c r="F36" s="28">
        <f t="shared" si="3"/>
        <v>4.9468617521860647</v>
      </c>
    </row>
    <row r="37" spans="2:11">
      <c r="B37" s="2">
        <f t="shared" si="4"/>
        <v>1.2540232563481302E-3</v>
      </c>
      <c r="C37" s="2">
        <f t="shared" si="0"/>
        <v>-0.68454710592869128</v>
      </c>
      <c r="D37" s="2">
        <f t="shared" si="1"/>
        <v>4.3896057990503756</v>
      </c>
      <c r="E37" s="2">
        <f t="shared" si="2"/>
        <v>4.3896057990503756</v>
      </c>
      <c r="F37" s="28">
        <f t="shared" si="3"/>
        <v>4.0536413177860737</v>
      </c>
    </row>
    <row r="38" spans="2:11">
      <c r="B38" s="2">
        <f t="shared" si="4"/>
        <v>1.3236912150341373E-3</v>
      </c>
      <c r="C38" s="2">
        <f t="shared" si="0"/>
        <v>0.24868988716484924</v>
      </c>
      <c r="D38" s="2">
        <f t="shared" si="1"/>
        <v>1.3252075982045848</v>
      </c>
      <c r="E38" s="2">
        <f t="shared" si="2"/>
        <v>1.3252075982045848</v>
      </c>
      <c r="F38" s="28">
        <f t="shared" si="3"/>
        <v>1.2539303385054523</v>
      </c>
      <c r="H38" s="6" t="s">
        <v>65</v>
      </c>
    </row>
    <row r="39" spans="2:11">
      <c r="B39" s="2">
        <f t="shared" si="4"/>
        <v>1.3933591737201444E-3</v>
      </c>
      <c r="C39" s="2">
        <f t="shared" si="0"/>
        <v>0.95105651629515109</v>
      </c>
      <c r="D39" s="2">
        <f t="shared" si="1"/>
        <v>-0.98109942838076947</v>
      </c>
      <c r="E39" s="2">
        <f t="shared" si="2"/>
        <v>-0.98109942838076947</v>
      </c>
      <c r="F39" s="28">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28">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28">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28">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28">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28">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topLeftCell="A2"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168</v>
      </c>
    </row>
    <row r="2" spans="2:9" ht="15.75" thickBot="1">
      <c r="B2" s="2" t="s">
        <v>173</v>
      </c>
      <c r="C2" s="4">
        <v>5</v>
      </c>
      <c r="D2" s="2" t="s">
        <v>17</v>
      </c>
      <c r="G2" s="6" t="s">
        <v>36</v>
      </c>
    </row>
    <row r="3" spans="2:9" ht="15.75" thickBot="1">
      <c r="B3" s="2" t="s">
        <v>12</v>
      </c>
      <c r="C3" s="4">
        <v>10</v>
      </c>
      <c r="D3" s="2" t="s">
        <v>16</v>
      </c>
      <c r="G3" s="2" t="s">
        <v>9</v>
      </c>
      <c r="H3" s="4">
        <v>5</v>
      </c>
      <c r="I3" s="2" t="s">
        <v>18</v>
      </c>
    </row>
    <row r="4" spans="2:9" ht="15.75" thickBot="1">
      <c r="B4" s="2" t="s">
        <v>13</v>
      </c>
      <c r="C4" s="4">
        <v>1</v>
      </c>
      <c r="D4" s="2" t="s">
        <v>16</v>
      </c>
      <c r="G4" s="2" t="s">
        <v>10</v>
      </c>
      <c r="H4" s="5">
        <v>0</v>
      </c>
      <c r="I4" s="2" t="s">
        <v>19</v>
      </c>
    </row>
    <row r="5" spans="2:9" ht="15.75" thickBot="1">
      <c r="B5" s="2" t="s">
        <v>2</v>
      </c>
      <c r="C5" s="4">
        <f>C2*C4/(C3+C4)</f>
        <v>0.45454545454545453</v>
      </c>
      <c r="D5" s="2" t="s">
        <v>17</v>
      </c>
      <c r="G5" s="2" t="s">
        <v>31</v>
      </c>
      <c r="H5" s="4">
        <v>0</v>
      </c>
      <c r="I5" s="2" t="s">
        <v>32</v>
      </c>
    </row>
    <row r="6" spans="2:9" ht="15.75" thickBot="1">
      <c r="B6" s="6" t="s">
        <v>177</v>
      </c>
    </row>
    <row r="7" spans="2:9" ht="15.75" thickBot="1">
      <c r="B7" s="2" t="s">
        <v>170</v>
      </c>
      <c r="C7" s="4">
        <v>2100</v>
      </c>
      <c r="D7" s="2" t="s">
        <v>16</v>
      </c>
    </row>
    <row r="8" spans="2:9" ht="15.75" thickBot="1">
      <c r="B8" s="2" t="s">
        <v>169</v>
      </c>
      <c r="C8" s="4">
        <v>145</v>
      </c>
      <c r="D8" s="2" t="s">
        <v>16</v>
      </c>
      <c r="G8" s="6" t="s">
        <v>33</v>
      </c>
    </row>
    <row r="9" spans="2:9" ht="15.75" thickBot="1">
      <c r="B9" s="2" t="s">
        <v>171</v>
      </c>
      <c r="C9" s="4">
        <v>1000</v>
      </c>
      <c r="D9" s="2" t="s">
        <v>16</v>
      </c>
      <c r="G9" s="6" t="s">
        <v>29</v>
      </c>
      <c r="H9" s="4">
        <v>0.6</v>
      </c>
      <c r="I9" s="2" t="s">
        <v>17</v>
      </c>
    </row>
    <row r="10" spans="2:9" ht="15.75" thickBot="1">
      <c r="B10" s="2" t="s">
        <v>175</v>
      </c>
      <c r="C10" s="4">
        <f>C5*$C$9/($C$7+$C$9)</f>
        <v>0.14662756598240467</v>
      </c>
      <c r="D10" s="2" t="s">
        <v>239</v>
      </c>
      <c r="G10" s="6" t="s">
        <v>34</v>
      </c>
      <c r="H10" s="3">
        <f>IF(H9*C15&gt;($H$3-$H$5),($H$3-$H$5),IF(H9*C15&lt;($H$4+$H$5),($H$4+$H$5),H9*C15))</f>
        <v>3.9599999999999995</v>
      </c>
      <c r="I10" s="2" t="s">
        <v>17</v>
      </c>
    </row>
    <row r="11" spans="2:9" ht="15.75" thickBot="1">
      <c r="B11" s="2" t="s">
        <v>174</v>
      </c>
      <c r="C11" s="4">
        <f>C5*$C$9/($C$8+$C$9)</f>
        <v>0.39698292973402138</v>
      </c>
      <c r="D11" s="2" t="s">
        <v>38</v>
      </c>
    </row>
    <row r="12" spans="2:9" ht="15.75" thickBot="1">
      <c r="B12" s="2" t="s">
        <v>172</v>
      </c>
      <c r="C12" s="4">
        <v>10</v>
      </c>
      <c r="D12" s="2" t="s">
        <v>16</v>
      </c>
    </row>
    <row r="13" spans="2:9" ht="15.7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AE56"/>
  <sheetViews>
    <sheetView topLeftCell="D2"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6" ht="47.25" thickBot="1">
      <c r="B1" s="1" t="s">
        <v>238</v>
      </c>
    </row>
    <row r="2" spans="2:26" ht="15.75" thickBot="1">
      <c r="B2" s="2" t="s">
        <v>173</v>
      </c>
      <c r="C2" s="4">
        <v>3.3</v>
      </c>
      <c r="D2" s="2" t="s">
        <v>17</v>
      </c>
      <c r="G2" s="6" t="s">
        <v>36</v>
      </c>
    </row>
    <row r="3" spans="2:26" ht="15.75" thickBot="1">
      <c r="B3" s="2" t="s">
        <v>12</v>
      </c>
      <c r="C3" s="4">
        <v>5</v>
      </c>
      <c r="D3" s="2" t="s">
        <v>16</v>
      </c>
      <c r="G3" s="2" t="s">
        <v>9</v>
      </c>
      <c r="H3" s="4">
        <v>5</v>
      </c>
      <c r="I3" s="2" t="s">
        <v>18</v>
      </c>
    </row>
    <row r="4" spans="2:26" ht="15.75" thickBot="1">
      <c r="B4" s="2" t="s">
        <v>13</v>
      </c>
      <c r="C4" s="4">
        <v>1</v>
      </c>
      <c r="D4" s="2" t="s">
        <v>16</v>
      </c>
      <c r="G4" s="2" t="s">
        <v>10</v>
      </c>
      <c r="H4" s="5">
        <v>-5</v>
      </c>
      <c r="I4" s="2" t="s">
        <v>19</v>
      </c>
    </row>
    <row r="5" spans="2:26" ht="15.75" thickBot="1">
      <c r="B5" s="2" t="s">
        <v>11</v>
      </c>
      <c r="C5" s="3">
        <f>C2*C4/(C3+C4)</f>
        <v>0.54999999999999993</v>
      </c>
      <c r="D5" s="2" t="s">
        <v>17</v>
      </c>
      <c r="G5" s="2" t="s">
        <v>31</v>
      </c>
      <c r="H5" s="4">
        <v>1.3</v>
      </c>
      <c r="I5" s="2" t="s">
        <v>32</v>
      </c>
      <c r="X5" s="31" t="s">
        <v>245</v>
      </c>
      <c r="Y5" s="31" t="s">
        <v>246</v>
      </c>
      <c r="Z5" s="31" t="s">
        <v>17</v>
      </c>
    </row>
    <row r="6" spans="2:26" ht="15.75" thickBot="1">
      <c r="B6" s="2" t="s">
        <v>14</v>
      </c>
      <c r="C6" s="4">
        <v>1</v>
      </c>
      <c r="D6" s="2" t="s">
        <v>16</v>
      </c>
      <c r="X6" s="31">
        <v>-100</v>
      </c>
      <c r="Y6" s="31">
        <v>-3.5539999999999998</v>
      </c>
      <c r="Z6" s="31">
        <f>Y6/1000</f>
        <v>-3.5539999999999999E-3</v>
      </c>
    </row>
    <row r="7" spans="2:26" ht="15.75" thickBot="1">
      <c r="B7" s="2" t="s">
        <v>241</v>
      </c>
      <c r="C7" s="4">
        <v>1</v>
      </c>
      <c r="D7" s="2" t="s">
        <v>16</v>
      </c>
      <c r="X7" s="31">
        <v>-90</v>
      </c>
      <c r="Y7" s="31">
        <v>-3.2429999999999999</v>
      </c>
      <c r="Z7" s="31">
        <f t="shared" ref="Z7:Z26" si="0">Y7/1000</f>
        <v>-3.2429999999999998E-3</v>
      </c>
    </row>
    <row r="8" spans="2:26" ht="15.75" thickBot="1">
      <c r="B8" s="2" t="s">
        <v>242</v>
      </c>
      <c r="C8" s="4">
        <v>1</v>
      </c>
      <c r="D8" s="2" t="s">
        <v>16</v>
      </c>
      <c r="G8" s="6" t="s">
        <v>33</v>
      </c>
      <c r="X8" s="31">
        <v>-80</v>
      </c>
      <c r="Y8" s="31">
        <v>-2.92</v>
      </c>
      <c r="Z8" s="31">
        <f t="shared" si="0"/>
        <v>-2.9199999999999999E-3</v>
      </c>
    </row>
    <row r="9" spans="2:26" ht="15.75" thickBot="1">
      <c r="B9" s="2" t="s">
        <v>243</v>
      </c>
      <c r="C9" s="4">
        <v>1</v>
      </c>
      <c r="D9" s="2" t="s">
        <v>16</v>
      </c>
      <c r="G9" s="6" t="s">
        <v>29</v>
      </c>
      <c r="H9" s="4">
        <v>-3.8999999999999999E-4</v>
      </c>
      <c r="I9" s="2" t="s">
        <v>17</v>
      </c>
      <c r="X9" s="31">
        <v>-70</v>
      </c>
      <c r="Y9" s="31">
        <v>-2.5870000000000002</v>
      </c>
      <c r="Z9" s="31">
        <f t="shared" si="0"/>
        <v>-2.5870000000000003E-3</v>
      </c>
    </row>
    <row r="10" spans="2:26" ht="15.75" thickBot="1">
      <c r="B10" s="2" t="s">
        <v>175</v>
      </c>
      <c r="C10" s="4">
        <f>-0.392/1000</f>
        <v>-3.9200000000000004E-4</v>
      </c>
      <c r="D10" s="2" t="s">
        <v>239</v>
      </c>
      <c r="G10" s="6" t="s">
        <v>34</v>
      </c>
      <c r="H10" s="3">
        <f>IF((1+$C$9/$C$8)*($C$15*H9*($C$7/($C$6+$C$7))+$C$5*($C$6/($C$6+$C$7)))&gt;($H$3-$H$5),($H$3-$H$5),IF((1+$C$9/$C$8)*($C$15*H9*($C$7/($C$6+$C$7))+$C$5*($C$6/($C$6+$C$7)))&lt;($H$4+$H$5),($H$4+$H$5),(1+$C$9/$C$8)*($C$15*H9*($C$7/($C$6+$C$7))+$C$5*($C$6/($C$6+$C$7)))))</f>
        <v>0.15960999999999992</v>
      </c>
      <c r="I10" s="2" t="s">
        <v>17</v>
      </c>
      <c r="X10" s="31">
        <v>-60</v>
      </c>
      <c r="Y10" s="31">
        <v>-2.2429999999999999</v>
      </c>
      <c r="Z10" s="31">
        <f t="shared" si="0"/>
        <v>-2.2429999999999998E-3</v>
      </c>
    </row>
    <row r="11" spans="2:26" ht="15.75" thickBot="1">
      <c r="B11" s="2" t="s">
        <v>174</v>
      </c>
      <c r="C11" s="4">
        <f>1.203/1000</f>
        <v>1.2030000000000001E-3</v>
      </c>
      <c r="D11" s="2" t="s">
        <v>38</v>
      </c>
      <c r="G11" s="2" t="s">
        <v>244</v>
      </c>
      <c r="H11" s="3">
        <f>H9*Z28+Z29</f>
        <v>-12.629615765618523</v>
      </c>
      <c r="I11" s="17" t="s">
        <v>249</v>
      </c>
      <c r="X11" s="31">
        <v>-50</v>
      </c>
      <c r="Y11" s="31">
        <v>-1.889</v>
      </c>
      <c r="Z11" s="31">
        <f t="shared" si="0"/>
        <v>-1.8890000000000001E-3</v>
      </c>
    </row>
    <row r="12" spans="2:26" ht="15.75" thickBot="1">
      <c r="B12" s="2" t="s">
        <v>172</v>
      </c>
      <c r="C12" s="4">
        <v>1</v>
      </c>
      <c r="D12" s="2" t="s">
        <v>16</v>
      </c>
      <c r="X12" s="31">
        <v>-40</v>
      </c>
      <c r="Y12" s="31">
        <v>-1.5269999999999999</v>
      </c>
      <c r="Z12" s="31">
        <f t="shared" si="0"/>
        <v>-1.5269999999999999E-3</v>
      </c>
    </row>
    <row r="13" spans="2:26" ht="15.75" thickBot="1">
      <c r="B13" s="2" t="s">
        <v>15</v>
      </c>
      <c r="C13" s="4">
        <v>1000</v>
      </c>
      <c r="D13" s="2" t="s">
        <v>16</v>
      </c>
      <c r="X13" s="31">
        <v>-30</v>
      </c>
      <c r="Y13" s="31">
        <v>-1.1559999999999999</v>
      </c>
      <c r="Z13" s="31">
        <f t="shared" si="0"/>
        <v>-1.1559999999999999E-3</v>
      </c>
    </row>
    <row r="14" spans="2:26">
      <c r="B14" s="2" t="s">
        <v>0</v>
      </c>
      <c r="C14" s="3">
        <f>C5</f>
        <v>0.54999999999999993</v>
      </c>
      <c r="D14" s="2" t="s">
        <v>240</v>
      </c>
      <c r="X14" s="31">
        <v>-20</v>
      </c>
      <c r="Y14" s="31">
        <v>-0.77800000000000002</v>
      </c>
      <c r="Z14" s="31">
        <f t="shared" si="0"/>
        <v>-7.7800000000000005E-4</v>
      </c>
    </row>
    <row r="15" spans="2:26">
      <c r="B15" s="2" t="s">
        <v>1</v>
      </c>
      <c r="C15" s="3">
        <f>1+C13/C12</f>
        <v>1001</v>
      </c>
      <c r="D15" s="2" t="s">
        <v>39</v>
      </c>
      <c r="X15" s="31">
        <v>-10</v>
      </c>
      <c r="Y15" s="31">
        <v>-0.39200000000000002</v>
      </c>
      <c r="Z15" s="31">
        <f t="shared" si="0"/>
        <v>-3.9200000000000004E-4</v>
      </c>
    </row>
    <row r="16" spans="2:26">
      <c r="X16" s="31">
        <v>0</v>
      </c>
      <c r="Y16" s="31">
        <v>0</v>
      </c>
      <c r="Z16" s="31">
        <f t="shared" si="0"/>
        <v>0</v>
      </c>
    </row>
    <row r="17" spans="2:26">
      <c r="E17" s="6" t="s">
        <v>30</v>
      </c>
      <c r="X17" s="31">
        <v>10</v>
      </c>
      <c r="Y17" s="31">
        <v>0.39700000000000002</v>
      </c>
      <c r="Z17" s="31">
        <f t="shared" si="0"/>
        <v>3.97E-4</v>
      </c>
    </row>
    <row r="18" spans="2:26">
      <c r="B18" s="7" t="s">
        <v>6</v>
      </c>
      <c r="C18" s="7" t="s">
        <v>7</v>
      </c>
      <c r="D18" s="7" t="s">
        <v>3</v>
      </c>
      <c r="E18" s="7" t="s">
        <v>3</v>
      </c>
      <c r="X18" s="31">
        <f>X17+10</f>
        <v>20</v>
      </c>
      <c r="Y18" s="31">
        <v>0.79800000000000004</v>
      </c>
      <c r="Z18" s="31">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31">
        <f t="shared" ref="X19:X26" si="3">X18+10</f>
        <v>30</v>
      </c>
      <c r="Y19" s="31">
        <v>1.2030000000000001</v>
      </c>
      <c r="Z19" s="31">
        <f t="shared" si="0"/>
        <v>1.2030000000000001E-3</v>
      </c>
    </row>
    <row r="20" spans="2:26">
      <c r="B20" s="2">
        <v>0.1</v>
      </c>
      <c r="C20" s="2">
        <f t="shared" si="1"/>
        <v>4.851171497758455E-4</v>
      </c>
      <c r="D20" s="2">
        <f t="shared" ref="D20:D44" si="4">(1+$C$9/$C$8)*($C$15*C20*($C$7/($C$6+$C$7))+$C$5*($C$6/($C$6+$C$7)))</f>
        <v>1.0356022669256213</v>
      </c>
      <c r="E20" s="2">
        <f t="shared" si="2"/>
        <v>1.0356022669256213</v>
      </c>
      <c r="X20" s="31">
        <f t="shared" si="3"/>
        <v>40</v>
      </c>
      <c r="Y20" s="31">
        <v>1.6120000000000001</v>
      </c>
      <c r="Z20" s="31">
        <f t="shared" si="0"/>
        <v>1.6120000000000002E-3</v>
      </c>
    </row>
    <row r="21" spans="2:26">
      <c r="B21" s="2">
        <v>0.2</v>
      </c>
      <c r="C21" s="2">
        <f t="shared" si="1"/>
        <v>5.639387913090614E-4</v>
      </c>
      <c r="D21" s="2">
        <f t="shared" si="4"/>
        <v>1.1145027301003703</v>
      </c>
      <c r="E21" s="2">
        <f t="shared" si="2"/>
        <v>1.1145027301003703</v>
      </c>
      <c r="X21" s="31">
        <f t="shared" si="3"/>
        <v>50</v>
      </c>
      <c r="Y21" s="31">
        <v>2.0230000000000001</v>
      </c>
      <c r="Z21" s="31">
        <f t="shared" si="0"/>
        <v>2.0230000000000001E-3</v>
      </c>
    </row>
    <row r="22" spans="2:26">
      <c r="B22" s="2">
        <v>1.2</v>
      </c>
      <c r="C22" s="2">
        <f t="shared" si="1"/>
        <v>1.1488011710588631E-3</v>
      </c>
      <c r="D22" s="2">
        <f t="shared" si="4"/>
        <v>1.6999499722299221</v>
      </c>
      <c r="E22" s="2">
        <f t="shared" si="2"/>
        <v>1.6999499722299221</v>
      </c>
      <c r="X22" s="31">
        <f t="shared" si="3"/>
        <v>60</v>
      </c>
      <c r="Y22" s="31">
        <v>2.4359999999999999</v>
      </c>
      <c r="Z22" s="31">
        <f t="shared" si="0"/>
        <v>2.4359999999999998E-3</v>
      </c>
    </row>
    <row r="23" spans="2:26">
      <c r="B23" s="2">
        <v>2.2000000000000002</v>
      </c>
      <c r="C23" s="2">
        <f t="shared" si="1"/>
        <v>1.0502758820461232E-3</v>
      </c>
      <c r="D23" s="2">
        <f t="shared" si="4"/>
        <v>1.6013261579281695</v>
      </c>
      <c r="E23" s="2">
        <f t="shared" si="2"/>
        <v>1.6013261579281695</v>
      </c>
      <c r="X23" s="31">
        <f t="shared" si="3"/>
        <v>70</v>
      </c>
      <c r="Y23" s="31">
        <v>2.851</v>
      </c>
      <c r="Z23" s="31">
        <f t="shared" si="0"/>
        <v>2.8509999999999998E-3</v>
      </c>
    </row>
    <row r="24" spans="2:26">
      <c r="B24" s="2">
        <v>3.2</v>
      </c>
      <c r="C24" s="2">
        <f t="shared" si="1"/>
        <v>3.5894662061650493E-4</v>
      </c>
      <c r="D24" s="2">
        <f t="shared" si="4"/>
        <v>0.9093055672371213</v>
      </c>
      <c r="E24" s="2">
        <f t="shared" si="2"/>
        <v>0.9093055672371213</v>
      </c>
      <c r="X24" s="31">
        <f t="shared" si="3"/>
        <v>80</v>
      </c>
      <c r="Y24" s="31">
        <v>3.2669999999999999</v>
      </c>
      <c r="Z24" s="31">
        <f t="shared" si="0"/>
        <v>3.2669999999999999E-3</v>
      </c>
    </row>
    <row r="25" spans="2:26">
      <c r="B25" s="2">
        <v>4.2</v>
      </c>
      <c r="C25" s="2">
        <f t="shared" si="1"/>
        <v>-2.8958167849983663E-4</v>
      </c>
      <c r="D25" s="2">
        <f t="shared" si="4"/>
        <v>0.26012873982166346</v>
      </c>
      <c r="E25" s="2">
        <f t="shared" si="2"/>
        <v>0.26012873982166346</v>
      </c>
      <c r="X25" s="31">
        <f>X24+10</f>
        <v>90</v>
      </c>
      <c r="Y25" s="31">
        <v>3.6819999999999999</v>
      </c>
      <c r="Z25" s="31">
        <f t="shared" si="0"/>
        <v>3.6819999999999999E-3</v>
      </c>
    </row>
    <row r="26" spans="2:26">
      <c r="B26" s="2">
        <v>5.2</v>
      </c>
      <c r="C26" s="2">
        <f t="shared" si="1"/>
        <v>-2.9905508793682216E-4</v>
      </c>
      <c r="D26" s="2">
        <f t="shared" si="4"/>
        <v>0.25064585697524094</v>
      </c>
      <c r="E26" s="2">
        <f t="shared" si="2"/>
        <v>0.25064585697524094</v>
      </c>
      <c r="X26" s="31">
        <f t="shared" si="3"/>
        <v>100</v>
      </c>
      <c r="Y26" s="31">
        <v>4.0960000000000001</v>
      </c>
      <c r="Z26" s="31">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247</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248</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251</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252</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253</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250</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row r="55" spans="31:31">
      <c r="AE55" s="6" t="s">
        <v>267</v>
      </c>
    </row>
    <row r="56" spans="31:31">
      <c r="AE56" s="2" t="s">
        <v>268</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P102"/>
  <sheetViews>
    <sheetView topLeftCell="A3" zoomScaleNormal="100" workbookViewId="0">
      <selection activeCell="C4" sqref="C4"/>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10" ht="47.25" thickBot="1">
      <c r="B1" s="1" t="s">
        <v>233</v>
      </c>
    </row>
    <row r="2" spans="2:10" ht="15.75" thickBot="1">
      <c r="B2" s="2" t="s">
        <v>12</v>
      </c>
      <c r="C2" s="4">
        <v>1</v>
      </c>
      <c r="D2" s="2" t="s">
        <v>16</v>
      </c>
      <c r="H2" s="6" t="s">
        <v>36</v>
      </c>
    </row>
    <row r="3" spans="2:10" ht="15.75" thickBot="1">
      <c r="B3" s="2" t="s">
        <v>82</v>
      </c>
      <c r="C3" s="4">
        <v>0.1</v>
      </c>
      <c r="D3" s="2" t="s">
        <v>83</v>
      </c>
      <c r="H3" s="2" t="s">
        <v>9</v>
      </c>
      <c r="I3" s="4">
        <v>5</v>
      </c>
      <c r="J3" s="2" t="s">
        <v>18</v>
      </c>
    </row>
    <row r="4" spans="2:10" ht="15.75" thickBot="1">
      <c r="B4" s="2" t="s">
        <v>172</v>
      </c>
      <c r="C4" s="4">
        <v>1</v>
      </c>
      <c r="D4" s="2" t="s">
        <v>16</v>
      </c>
      <c r="H4" s="2" t="s">
        <v>10</v>
      </c>
      <c r="I4" s="5">
        <v>-5</v>
      </c>
      <c r="J4" s="2" t="s">
        <v>19</v>
      </c>
    </row>
    <row r="5" spans="2:10" ht="15.75" thickBot="1">
      <c r="B5" s="2" t="s">
        <v>15</v>
      </c>
      <c r="C5" s="4">
        <v>1</v>
      </c>
      <c r="D5" s="2" t="s">
        <v>16</v>
      </c>
      <c r="H5" s="2" t="s">
        <v>31</v>
      </c>
      <c r="I5" s="4">
        <v>1.2</v>
      </c>
      <c r="J5" s="2" t="s">
        <v>32</v>
      </c>
    </row>
    <row r="6" spans="2:10">
      <c r="B6" s="2" t="s">
        <v>0</v>
      </c>
      <c r="C6" s="3">
        <v>0</v>
      </c>
      <c r="D6" s="2" t="s">
        <v>17</v>
      </c>
    </row>
    <row r="7" spans="2:10" ht="15.75" thickBot="1">
      <c r="B7" s="2" t="s">
        <v>1</v>
      </c>
      <c r="C7" s="3">
        <f>1+C5/C4</f>
        <v>2</v>
      </c>
      <c r="D7" s="2" t="s">
        <v>39</v>
      </c>
      <c r="H7" s="6" t="s">
        <v>33</v>
      </c>
    </row>
    <row r="8" spans="2:10" ht="15.75" thickBot="1">
      <c r="B8" s="2" t="s">
        <v>97</v>
      </c>
      <c r="C8" s="3">
        <f>1/(2*PI()*$C$10*$C$3*0.000001)</f>
        <v>1591.5494309189535</v>
      </c>
      <c r="D8" s="2" t="s">
        <v>217</v>
      </c>
      <c r="H8" s="6" t="s">
        <v>29</v>
      </c>
      <c r="I8" s="4">
        <v>1</v>
      </c>
      <c r="J8" s="2" t="s">
        <v>17</v>
      </c>
    </row>
    <row r="9" spans="2:10" ht="15.75" thickBot="1">
      <c r="B9" s="2" t="s">
        <v>25</v>
      </c>
      <c r="C9" s="4">
        <v>1</v>
      </c>
      <c r="D9" s="2" t="s">
        <v>38</v>
      </c>
      <c r="H9" s="6" t="s">
        <v>34</v>
      </c>
      <c r="I9" s="3">
        <f>IF($C$7*I8/SQRT(1+($C$10/$C$12)^2)&gt;($I$3-$I$5),($I$3-$I$5),IF($C$7*I8/SQRT(1+($C$10/$C$12)^2)&lt;($I$4+$I$5),($I$4+$I$5),$C$7*I8/SQRT(1+($C$10/$C$12)^2)))</f>
        <v>1.6934660319296608</v>
      </c>
      <c r="J9" s="2" t="s">
        <v>17</v>
      </c>
    </row>
    <row r="10" spans="2:10" ht="15.75" thickBot="1">
      <c r="B10" s="2" t="s">
        <v>84</v>
      </c>
      <c r="C10" s="4">
        <v>1000</v>
      </c>
      <c r="D10" s="2" t="s">
        <v>80</v>
      </c>
    </row>
    <row r="11" spans="2:10">
      <c r="B11" s="2" t="s">
        <v>87</v>
      </c>
      <c r="C11" s="3">
        <f>1/C10</f>
        <v>1E-3</v>
      </c>
      <c r="D11" s="2" t="s">
        <v>86</v>
      </c>
      <c r="H11" s="6" t="s">
        <v>198</v>
      </c>
    </row>
    <row r="12" spans="2:10" ht="15.75" thickBot="1">
      <c r="B12" s="2" t="s">
        <v>81</v>
      </c>
      <c r="C12" s="3">
        <f>1/(2*PI()*(C3*0.000001)*(C5*1000))</f>
        <v>1591.5494309189535</v>
      </c>
      <c r="D12" s="2" t="s">
        <v>80</v>
      </c>
      <c r="H12" s="17" t="s">
        <v>106</v>
      </c>
      <c r="I12" s="3">
        <f>1000*(C3*1000)*(C5*0.000001)</f>
        <v>9.9999999999999992E-2</v>
      </c>
      <c r="J12" s="2" t="s">
        <v>107</v>
      </c>
    </row>
    <row r="13" spans="2:10" ht="15.7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16">
      <c r="B17" s="7" t="s">
        <v>85</v>
      </c>
      <c r="C17" s="7" t="s">
        <v>7</v>
      </c>
      <c r="D17" s="7" t="s">
        <v>3</v>
      </c>
      <c r="E17" s="7" t="s">
        <v>3</v>
      </c>
      <c r="F17" s="28" t="s">
        <v>228</v>
      </c>
      <c r="G17" s="28"/>
    </row>
    <row r="18" spans="2:16">
      <c r="B18" s="2">
        <v>0</v>
      </c>
      <c r="C18" s="2">
        <f t="shared" ref="C18:C43" si="0">$C$9*SIN($B18*$C$10*2*PI())</f>
        <v>0</v>
      </c>
      <c r="D18" s="2">
        <f t="shared" ref="D18:D43" si="1">C18*$C$7/SQRT(1+($C$10/$C$12)^2)</f>
        <v>0</v>
      </c>
      <c r="E18" s="2">
        <f t="shared" ref="E18:E43" si="2">IF(D18&gt;($I$3-$I$5),($I$3-$I$5),IF(D18&lt;($I$4+$I$5),($I$4+$I$5),D18))</f>
        <v>0</v>
      </c>
      <c r="F18" s="28">
        <f t="shared" ref="F18:F43" si="3">C18*(1+$C$5/$C$4)*$C$8/SQRT(($C$2*1000)^2+$C$8^2)</f>
        <v>0</v>
      </c>
      <c r="G18" s="28"/>
    </row>
    <row r="19" spans="2:16">
      <c r="B19" s="2">
        <f t="shared" ref="B19:B43" si="4">B18+$C$14</f>
        <v>1.6000000000000001E-4</v>
      </c>
      <c r="C19" s="2">
        <f t="shared" si="0"/>
        <v>0.84432792550201508</v>
      </c>
      <c r="D19" s="2">
        <f t="shared" si="1"/>
        <v>1.4298406616472996</v>
      </c>
      <c r="E19" s="2">
        <f t="shared" si="2"/>
        <v>1.4298406616472996</v>
      </c>
      <c r="F19" s="28">
        <f t="shared" si="3"/>
        <v>1.4298406616473001</v>
      </c>
      <c r="G19" s="28"/>
    </row>
    <row r="20" spans="2:16">
      <c r="B20" s="2">
        <f t="shared" si="4"/>
        <v>3.2000000000000003E-4</v>
      </c>
      <c r="C20" s="2">
        <f t="shared" si="0"/>
        <v>0.90482705246601947</v>
      </c>
      <c r="D20" s="2">
        <f t="shared" si="1"/>
        <v>1.5322938781222408</v>
      </c>
      <c r="E20" s="2">
        <f t="shared" si="2"/>
        <v>1.5322938781222408</v>
      </c>
      <c r="F20" s="28">
        <f t="shared" si="3"/>
        <v>1.532293878122241</v>
      </c>
      <c r="G20" s="28"/>
    </row>
    <row r="21" spans="2:16">
      <c r="B21" s="2">
        <f t="shared" si="4"/>
        <v>4.8000000000000007E-4</v>
      </c>
      <c r="C21" s="2">
        <f t="shared" si="0"/>
        <v>0.12533323356430365</v>
      </c>
      <c r="D21" s="2">
        <f t="shared" si="1"/>
        <v>0.21224757371305467</v>
      </c>
      <c r="E21" s="2">
        <f t="shared" si="2"/>
        <v>0.21224757371305467</v>
      </c>
      <c r="F21" s="28">
        <f t="shared" si="3"/>
        <v>0.21224757371305469</v>
      </c>
      <c r="G21" s="28"/>
    </row>
    <row r="22" spans="2:16">
      <c r="B22" s="2">
        <f t="shared" si="4"/>
        <v>6.4000000000000005E-4</v>
      </c>
      <c r="C22" s="2">
        <f t="shared" si="0"/>
        <v>-0.77051324277578936</v>
      </c>
      <c r="D22" s="2">
        <f t="shared" si="1"/>
        <v>-1.3048380037927714</v>
      </c>
      <c r="E22" s="2">
        <f t="shared" si="2"/>
        <v>-1.3048380037927714</v>
      </c>
      <c r="F22" s="28">
        <f t="shared" si="3"/>
        <v>-1.3048380037927716</v>
      </c>
      <c r="G22" s="28"/>
    </row>
    <row r="23" spans="2:16">
      <c r="B23" s="2">
        <f t="shared" si="4"/>
        <v>8.0000000000000004E-4</v>
      </c>
      <c r="C23" s="2">
        <f t="shared" si="0"/>
        <v>-0.95105651629515364</v>
      </c>
      <c r="D23" s="2">
        <f t="shared" si="1"/>
        <v>-1.6105819047912007</v>
      </c>
      <c r="E23" s="2">
        <f t="shared" si="2"/>
        <v>-1.6105819047912007</v>
      </c>
      <c r="F23" s="28">
        <f t="shared" si="3"/>
        <v>-1.6105819047912007</v>
      </c>
      <c r="G23" s="28"/>
    </row>
    <row r="24" spans="2:16">
      <c r="B24" s="2">
        <f t="shared" si="4"/>
        <v>9.6000000000000002E-4</v>
      </c>
      <c r="C24" s="2">
        <f t="shared" si="0"/>
        <v>-0.24868988716485449</v>
      </c>
      <c r="D24" s="2">
        <f t="shared" si="1"/>
        <v>-0.4211478763981012</v>
      </c>
      <c r="E24" s="2">
        <f t="shared" si="2"/>
        <v>-0.4211478763981012</v>
      </c>
      <c r="F24" s="28">
        <f t="shared" si="3"/>
        <v>-0.42114787639810125</v>
      </c>
      <c r="G24" s="28"/>
    </row>
    <row r="25" spans="2:16">
      <c r="B25" s="2">
        <f t="shared" si="4"/>
        <v>1.1200000000000001E-3</v>
      </c>
      <c r="C25" s="2">
        <f t="shared" si="0"/>
        <v>0.68454710592868928</v>
      </c>
      <c r="D25" s="2">
        <f t="shared" si="1"/>
        <v>1.1592572711459905</v>
      </c>
      <c r="E25" s="2">
        <f t="shared" si="2"/>
        <v>1.1592572711459905</v>
      </c>
      <c r="F25" s="28">
        <f t="shared" si="3"/>
        <v>1.1592572711459908</v>
      </c>
      <c r="G25" s="28"/>
    </row>
    <row r="26" spans="2:16">
      <c r="B26" s="2">
        <f t="shared" si="4"/>
        <v>1.2800000000000001E-3</v>
      </c>
      <c r="C26" s="2">
        <f t="shared" si="0"/>
        <v>0.98228725072868861</v>
      </c>
      <c r="D26" s="2">
        <f t="shared" si="1"/>
        <v>1.663470092706608</v>
      </c>
      <c r="E26" s="2">
        <f t="shared" si="2"/>
        <v>1.663470092706608</v>
      </c>
      <c r="F26" s="28">
        <f t="shared" si="3"/>
        <v>1.6634700927066082</v>
      </c>
      <c r="G26" s="28"/>
    </row>
    <row r="27" spans="2:16">
      <c r="B27" s="2">
        <f t="shared" si="4"/>
        <v>1.4400000000000001E-3</v>
      </c>
      <c r="C27" s="2">
        <f t="shared" si="0"/>
        <v>0.36812455268467797</v>
      </c>
      <c r="D27" s="2">
        <f t="shared" si="1"/>
        <v>0.62340642549080294</v>
      </c>
      <c r="E27" s="2">
        <f t="shared" si="2"/>
        <v>0.62340642549080294</v>
      </c>
      <c r="F27" s="28">
        <f t="shared" si="3"/>
        <v>0.62340642549080305</v>
      </c>
      <c r="G27" s="28"/>
    </row>
    <row r="28" spans="2:16">
      <c r="B28" s="2">
        <f t="shared" si="4"/>
        <v>1.6000000000000001E-3</v>
      </c>
      <c r="C28" s="2">
        <f t="shared" si="0"/>
        <v>-0.5877852522924728</v>
      </c>
      <c r="D28" s="2">
        <f t="shared" si="1"/>
        <v>-0.9953943588265084</v>
      </c>
      <c r="E28" s="2">
        <f t="shared" si="2"/>
        <v>-0.9953943588265084</v>
      </c>
      <c r="F28" s="28">
        <f t="shared" si="3"/>
        <v>-0.99539435882650851</v>
      </c>
      <c r="G28" s="28"/>
    </row>
    <row r="29" spans="2:16">
      <c r="B29" s="2">
        <f t="shared" si="4"/>
        <v>1.7600000000000001E-3</v>
      </c>
      <c r="C29" s="2">
        <f t="shared" si="0"/>
        <v>-0.99802672842827156</v>
      </c>
      <c r="D29" s="2">
        <f t="shared" si="1"/>
        <v>-1.6901243635511662</v>
      </c>
      <c r="E29" s="2">
        <f t="shared" si="2"/>
        <v>-1.6901243635511662</v>
      </c>
      <c r="F29" s="28">
        <f t="shared" si="3"/>
        <v>-1.6901243635511662</v>
      </c>
      <c r="G29" s="28"/>
    </row>
    <row r="30" spans="2:16">
      <c r="B30" s="2">
        <f t="shared" si="4"/>
        <v>1.92E-3</v>
      </c>
      <c r="C30" s="2">
        <f t="shared" si="0"/>
        <v>-0.48175367410171477</v>
      </c>
      <c r="D30" s="2">
        <f t="shared" si="1"/>
        <v>-0.81583348284856583</v>
      </c>
      <c r="E30" s="2">
        <f t="shared" si="2"/>
        <v>-0.81583348284856583</v>
      </c>
      <c r="F30" s="28">
        <f t="shared" si="3"/>
        <v>-0.81583348284856594</v>
      </c>
      <c r="G30" s="28"/>
    </row>
    <row r="31" spans="2:16">
      <c r="B31" s="2">
        <f t="shared" si="4"/>
        <v>2.0800000000000003E-3</v>
      </c>
      <c r="C31" s="2">
        <f t="shared" si="0"/>
        <v>0.48175367410171543</v>
      </c>
      <c r="D31" s="2">
        <f t="shared" si="1"/>
        <v>0.81583348284856705</v>
      </c>
      <c r="E31" s="2">
        <f t="shared" si="2"/>
        <v>0.81583348284856705</v>
      </c>
      <c r="F31" s="28">
        <f t="shared" si="3"/>
        <v>0.81583348284856716</v>
      </c>
      <c r="G31" s="28"/>
    </row>
    <row r="32" spans="2:16">
      <c r="B32" s="2">
        <f t="shared" si="4"/>
        <v>2.2400000000000002E-3</v>
      </c>
      <c r="C32" s="2">
        <f t="shared" si="0"/>
        <v>0.99802672842827167</v>
      </c>
      <c r="D32" s="2">
        <f t="shared" si="1"/>
        <v>1.6901243635511665</v>
      </c>
      <c r="E32" s="2">
        <f t="shared" si="2"/>
        <v>1.6901243635511665</v>
      </c>
      <c r="F32" s="28">
        <f t="shared" si="3"/>
        <v>1.6901243635511665</v>
      </c>
      <c r="G32" s="28"/>
      <c r="P32" s="30" t="s">
        <v>225</v>
      </c>
    </row>
    <row r="33" spans="2:11">
      <c r="B33" s="2">
        <f t="shared" si="4"/>
        <v>2.4000000000000002E-3</v>
      </c>
      <c r="C33" s="2">
        <f t="shared" si="0"/>
        <v>0.58778525229247214</v>
      </c>
      <c r="D33" s="2">
        <f t="shared" si="1"/>
        <v>0.99539435882650729</v>
      </c>
      <c r="E33" s="2">
        <f t="shared" si="2"/>
        <v>0.99539435882650729</v>
      </c>
      <c r="F33" s="28">
        <f t="shared" si="3"/>
        <v>0.9953943588265074</v>
      </c>
      <c r="G33" s="28"/>
    </row>
    <row r="34" spans="2:11">
      <c r="B34" s="2">
        <f t="shared" si="4"/>
        <v>2.5600000000000002E-3</v>
      </c>
      <c r="C34" s="2">
        <f t="shared" si="0"/>
        <v>-0.3681245526846787</v>
      </c>
      <c r="D34" s="2">
        <f t="shared" si="1"/>
        <v>-0.62340642549080416</v>
      </c>
      <c r="E34" s="2">
        <f t="shared" si="2"/>
        <v>-0.62340642549080416</v>
      </c>
      <c r="F34" s="28">
        <f t="shared" si="3"/>
        <v>-0.62340642549080427</v>
      </c>
      <c r="G34" s="28"/>
    </row>
    <row r="35" spans="2:11">
      <c r="B35" s="2">
        <f t="shared" si="4"/>
        <v>2.7200000000000002E-3</v>
      </c>
      <c r="C35" s="2">
        <f t="shared" si="0"/>
        <v>-0.98228725072868905</v>
      </c>
      <c r="D35" s="2">
        <f t="shared" si="1"/>
        <v>-1.6634700927066088</v>
      </c>
      <c r="E35" s="2">
        <f t="shared" si="2"/>
        <v>-1.6634700927066088</v>
      </c>
      <c r="F35" s="28">
        <f t="shared" si="3"/>
        <v>-1.6634700927066091</v>
      </c>
      <c r="G35" s="28"/>
    </row>
    <row r="36" spans="2:11">
      <c r="B36" s="2">
        <f t="shared" si="4"/>
        <v>2.8800000000000002E-3</v>
      </c>
      <c r="C36" s="2">
        <f t="shared" si="0"/>
        <v>-0.68454710592868862</v>
      </c>
      <c r="D36" s="2">
        <f t="shared" si="1"/>
        <v>-1.1592572711459894</v>
      </c>
      <c r="E36" s="2">
        <f t="shared" si="2"/>
        <v>-1.1592572711459894</v>
      </c>
      <c r="F36" s="28">
        <f t="shared" si="3"/>
        <v>-1.1592572711459896</v>
      </c>
      <c r="G36" s="28"/>
    </row>
    <row r="37" spans="2:11">
      <c r="B37" s="2">
        <f t="shared" si="4"/>
        <v>3.0400000000000002E-3</v>
      </c>
      <c r="C37" s="2">
        <f t="shared" si="0"/>
        <v>0.24868988716485269</v>
      </c>
      <c r="D37" s="2">
        <f t="shared" si="1"/>
        <v>0.42114787639809814</v>
      </c>
      <c r="E37" s="2">
        <f t="shared" si="2"/>
        <v>0.42114787639809814</v>
      </c>
      <c r="F37" s="28">
        <f t="shared" si="3"/>
        <v>0.4211478763980982</v>
      </c>
      <c r="G37" s="28"/>
      <c r="H37" s="6" t="s">
        <v>65</v>
      </c>
    </row>
    <row r="38" spans="2:11">
      <c r="B38" s="2">
        <f t="shared" si="4"/>
        <v>3.2000000000000002E-3</v>
      </c>
      <c r="C38" s="2">
        <f t="shared" si="0"/>
        <v>0.95105651629515331</v>
      </c>
      <c r="D38" s="2">
        <f t="shared" si="1"/>
        <v>1.6105819047912</v>
      </c>
      <c r="E38" s="2">
        <f t="shared" si="2"/>
        <v>1.6105819047912</v>
      </c>
      <c r="F38" s="28">
        <f t="shared" si="3"/>
        <v>1.6105819047912002</v>
      </c>
      <c r="G38" s="28"/>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28">
        <f t="shared" si="3"/>
        <v>1.3048380037927707</v>
      </c>
      <c r="G39" s="28"/>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28">
        <f t="shared" si="3"/>
        <v>-0.21224757371305306</v>
      </c>
      <c r="G40" s="28"/>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28">
        <f t="shared" si="3"/>
        <v>-1.532293878122241</v>
      </c>
      <c r="G41" s="28"/>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28">
        <f t="shared" si="3"/>
        <v>-1.4298406616472987</v>
      </c>
      <c r="G42" s="28"/>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28">
        <f t="shared" si="3"/>
        <v>-1.6597978339670847E-15</v>
      </c>
      <c r="G43" s="28"/>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223</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P32" r:id="rId1" xr:uid="{65F15C1F-6E7D-497D-BA2F-B0FDAF5CA13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topLeftCell="A3" zoomScaleNormal="100" workbookViewId="0">
      <selection activeCell="C4" sqref="C4"/>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B2" s="2" t="s">
        <v>237</v>
      </c>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topLeftCell="D3" zoomScaleNormal="100" workbookViewId="0">
      <selection activeCell="C4" sqref="C4"/>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36" ht="47.25" thickBot="1">
      <c r="B1" s="1" t="s">
        <v>224</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217</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198</v>
      </c>
    </row>
    <row r="12" spans="2:36" ht="15.7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28" t="s">
        <v>228</v>
      </c>
      <c r="G16" s="28"/>
    </row>
    <row r="17" spans="2:27">
      <c r="B17" s="2">
        <v>0</v>
      </c>
      <c r="C17" s="2">
        <f t="shared" ref="C17:C42" si="0">$C$8*SIN($B17*$C$9*2*PI())</f>
        <v>0</v>
      </c>
      <c r="D17" s="2">
        <f t="shared" ref="D17:D42" si="1">C17*(1+($C$3/$C$2)*(1/(1+($C$9/$C$11))))</f>
        <v>0</v>
      </c>
      <c r="E17" s="2">
        <f t="shared" ref="E17:E42" si="2">IF(D17&gt;($I$3-$I$5),($I$3-$I$5),IF(D17&lt;($I$4+$I$5),($I$4+$I$5),D17))</f>
        <v>0</v>
      </c>
      <c r="F17" s="28">
        <f t="shared" ref="F17:F42" si="3">C17*(1+(($C$3*1000*$C$7)/($C$3*1000+$C$7))/($C$2*1000))</f>
        <v>0</v>
      </c>
      <c r="G17" s="28"/>
    </row>
    <row r="18" spans="2:27">
      <c r="B18" s="2">
        <f t="shared" ref="B18:B42" si="4">B17+$C$13</f>
        <v>1.6000000000000001E-4</v>
      </c>
      <c r="C18" s="2">
        <f t="shared" si="0"/>
        <v>0.84432792550201508</v>
      </c>
      <c r="D18" s="2">
        <f t="shared" si="1"/>
        <v>1.3628554184795307</v>
      </c>
      <c r="E18" s="2">
        <f t="shared" si="2"/>
        <v>1.3628554184795307</v>
      </c>
      <c r="F18" s="28">
        <f t="shared" si="3"/>
        <v>1.3628554184795307</v>
      </c>
      <c r="G18" s="28"/>
    </row>
    <row r="19" spans="2:27">
      <c r="B19" s="2">
        <f t="shared" si="4"/>
        <v>3.2000000000000003E-4</v>
      </c>
      <c r="C19" s="2">
        <f t="shared" si="0"/>
        <v>0.90482705246601947</v>
      </c>
      <c r="D19" s="2">
        <f t="shared" si="1"/>
        <v>1.4605089018072923</v>
      </c>
      <c r="E19" s="2">
        <f t="shared" si="2"/>
        <v>1.4605089018072923</v>
      </c>
      <c r="F19" s="28">
        <f t="shared" si="3"/>
        <v>1.4605089018072923</v>
      </c>
      <c r="G19" s="28"/>
    </row>
    <row r="20" spans="2:27">
      <c r="B20" s="2">
        <f t="shared" si="4"/>
        <v>4.8000000000000007E-4</v>
      </c>
      <c r="C20" s="2">
        <f t="shared" si="0"/>
        <v>0.12533323356430365</v>
      </c>
      <c r="D20" s="2">
        <f t="shared" si="1"/>
        <v>0.20230418930785934</v>
      </c>
      <c r="E20" s="2">
        <f t="shared" si="2"/>
        <v>0.20230418930785934</v>
      </c>
      <c r="F20" s="28">
        <f t="shared" si="3"/>
        <v>0.20230418930785934</v>
      </c>
      <c r="G20" s="28"/>
    </row>
    <row r="21" spans="2:27">
      <c r="B21" s="2">
        <f t="shared" si="4"/>
        <v>6.4000000000000005E-4</v>
      </c>
      <c r="C21" s="2">
        <f t="shared" si="0"/>
        <v>-0.77051324277578936</v>
      </c>
      <c r="D21" s="2">
        <f t="shared" si="1"/>
        <v>-1.2437088910719827</v>
      </c>
      <c r="E21" s="2">
        <f t="shared" si="2"/>
        <v>-1.2437088910719827</v>
      </c>
      <c r="F21" s="28">
        <f t="shared" si="3"/>
        <v>-1.2437088910719827</v>
      </c>
      <c r="G21" s="28"/>
    </row>
    <row r="22" spans="2:27">
      <c r="B22" s="2">
        <f t="shared" si="4"/>
        <v>8.0000000000000004E-4</v>
      </c>
      <c r="C22" s="2">
        <f t="shared" si="0"/>
        <v>-0.95105651629515364</v>
      </c>
      <c r="D22" s="2">
        <f t="shared" si="1"/>
        <v>-1.5351292872878253</v>
      </c>
      <c r="E22" s="2">
        <f t="shared" si="2"/>
        <v>-1.5351292872878253</v>
      </c>
      <c r="F22" s="28">
        <f t="shared" si="3"/>
        <v>-1.5351292872878253</v>
      </c>
      <c r="G22" s="28"/>
    </row>
    <row r="23" spans="2:27">
      <c r="B23" s="2">
        <f t="shared" si="4"/>
        <v>9.6000000000000002E-4</v>
      </c>
      <c r="C23" s="2">
        <f t="shared" si="0"/>
        <v>-0.24868988716485449</v>
      </c>
      <c r="D23" s="2">
        <f t="shared" si="1"/>
        <v>-0.40141792069967036</v>
      </c>
      <c r="E23" s="2">
        <f t="shared" si="2"/>
        <v>-0.40141792069967036</v>
      </c>
      <c r="F23" s="28">
        <f t="shared" si="3"/>
        <v>-0.40141792069967036</v>
      </c>
      <c r="G23" s="28"/>
    </row>
    <row r="24" spans="2:27">
      <c r="B24" s="2">
        <f t="shared" si="4"/>
        <v>1.1200000000000001E-3</v>
      </c>
      <c r="C24" s="2">
        <f t="shared" si="0"/>
        <v>0.68454710592868928</v>
      </c>
      <c r="D24" s="2">
        <f t="shared" si="1"/>
        <v>1.1049483314965507</v>
      </c>
      <c r="E24" s="2">
        <f t="shared" si="2"/>
        <v>1.1049483314965507</v>
      </c>
      <c r="F24" s="28">
        <f t="shared" si="3"/>
        <v>1.1049483314965507</v>
      </c>
      <c r="G24" s="28"/>
    </row>
    <row r="25" spans="2:27">
      <c r="B25" s="2">
        <f t="shared" si="4"/>
        <v>1.2800000000000001E-3</v>
      </c>
      <c r="C25" s="2">
        <f t="shared" si="0"/>
        <v>0.98228725072868861</v>
      </c>
      <c r="D25" s="2">
        <f t="shared" si="1"/>
        <v>1.5855397668660431</v>
      </c>
      <c r="E25" s="2">
        <f t="shared" si="2"/>
        <v>1.5855397668660431</v>
      </c>
      <c r="F25" s="28">
        <f t="shared" si="3"/>
        <v>1.5855397668660431</v>
      </c>
      <c r="G25" s="28"/>
    </row>
    <row r="26" spans="2:27">
      <c r="B26" s="2">
        <f t="shared" si="4"/>
        <v>1.4400000000000001E-3</v>
      </c>
      <c r="C26" s="2">
        <f t="shared" si="0"/>
        <v>0.36812455268467797</v>
      </c>
      <c r="D26" s="2">
        <f t="shared" si="1"/>
        <v>0.59420105168660509</v>
      </c>
      <c r="E26" s="2">
        <f t="shared" si="2"/>
        <v>0.59420105168660509</v>
      </c>
      <c r="F26" s="28">
        <f t="shared" si="3"/>
        <v>0.59420105168660509</v>
      </c>
      <c r="G26" s="28"/>
    </row>
    <row r="27" spans="2:27">
      <c r="B27" s="2">
        <f t="shared" si="4"/>
        <v>1.6000000000000001E-3</v>
      </c>
      <c r="C27" s="2">
        <f t="shared" si="0"/>
        <v>-0.5877852522924728</v>
      </c>
      <c r="D27" s="2">
        <f t="shared" si="1"/>
        <v>-0.94876207666927725</v>
      </c>
      <c r="E27" s="2">
        <f t="shared" si="2"/>
        <v>-0.94876207666927725</v>
      </c>
      <c r="F27" s="28">
        <f t="shared" si="3"/>
        <v>-0.94876207666927725</v>
      </c>
      <c r="G27" s="28"/>
    </row>
    <row r="28" spans="2:27">
      <c r="B28" s="2">
        <f t="shared" si="4"/>
        <v>1.7600000000000001E-3</v>
      </c>
      <c r="C28" s="2">
        <f t="shared" si="0"/>
        <v>-0.99802672842827156</v>
      </c>
      <c r="D28" s="2">
        <f t="shared" si="1"/>
        <v>-1.6109453371652374</v>
      </c>
      <c r="E28" s="2">
        <f t="shared" si="2"/>
        <v>-1.6109453371652374</v>
      </c>
      <c r="F28" s="28">
        <f t="shared" si="3"/>
        <v>-1.6109453371652374</v>
      </c>
      <c r="G28" s="28"/>
      <c r="AA28" s="30" t="s">
        <v>225</v>
      </c>
    </row>
    <row r="29" spans="2:27">
      <c r="B29" s="2">
        <f t="shared" si="4"/>
        <v>1.92E-3</v>
      </c>
      <c r="C29" s="2">
        <f t="shared" si="0"/>
        <v>-0.48175367410171477</v>
      </c>
      <c r="D29" s="2">
        <f t="shared" si="1"/>
        <v>-0.77761327712993789</v>
      </c>
      <c r="E29" s="2">
        <f t="shared" si="2"/>
        <v>-0.77761327712993789</v>
      </c>
      <c r="F29" s="28">
        <f t="shared" si="3"/>
        <v>-0.77761327712993789</v>
      </c>
      <c r="G29" s="28"/>
    </row>
    <row r="30" spans="2:27">
      <c r="B30" s="2">
        <f t="shared" si="4"/>
        <v>2.0800000000000003E-3</v>
      </c>
      <c r="C30" s="2">
        <f t="shared" si="0"/>
        <v>0.48175367410171543</v>
      </c>
      <c r="D30" s="2">
        <f t="shared" si="1"/>
        <v>0.777613277129939</v>
      </c>
      <c r="E30" s="2">
        <f t="shared" si="2"/>
        <v>0.777613277129939</v>
      </c>
      <c r="F30" s="28">
        <f t="shared" si="3"/>
        <v>0.777613277129939</v>
      </c>
      <c r="G30" s="28"/>
    </row>
    <row r="31" spans="2:27">
      <c r="B31" s="2">
        <f t="shared" si="4"/>
        <v>2.2400000000000002E-3</v>
      </c>
      <c r="C31" s="2">
        <f t="shared" si="0"/>
        <v>0.99802672842827167</v>
      </c>
      <c r="D31" s="2">
        <f t="shared" si="1"/>
        <v>1.6109453371652376</v>
      </c>
      <c r="E31" s="2">
        <f t="shared" si="2"/>
        <v>1.6109453371652376</v>
      </c>
      <c r="F31" s="28">
        <f t="shared" si="3"/>
        <v>1.6109453371652376</v>
      </c>
      <c r="G31" s="28"/>
    </row>
    <row r="32" spans="2:27">
      <c r="B32" s="2">
        <f t="shared" si="4"/>
        <v>2.4000000000000002E-3</v>
      </c>
      <c r="C32" s="2">
        <f t="shared" si="0"/>
        <v>0.58778525229247214</v>
      </c>
      <c r="D32" s="2">
        <f t="shared" si="1"/>
        <v>0.94876207666927614</v>
      </c>
      <c r="E32" s="2">
        <f t="shared" si="2"/>
        <v>0.94876207666927614</v>
      </c>
      <c r="F32" s="28">
        <f t="shared" si="3"/>
        <v>0.94876207666927614</v>
      </c>
      <c r="G32" s="28"/>
    </row>
    <row r="33" spans="2:11">
      <c r="B33" s="2">
        <f t="shared" si="4"/>
        <v>2.5600000000000002E-3</v>
      </c>
      <c r="C33" s="2">
        <f t="shared" si="0"/>
        <v>-0.3681245526846787</v>
      </c>
      <c r="D33" s="2">
        <f t="shared" si="1"/>
        <v>-0.5942010516866062</v>
      </c>
      <c r="E33" s="2">
        <f t="shared" si="2"/>
        <v>-0.5942010516866062</v>
      </c>
      <c r="F33" s="28">
        <f t="shared" si="3"/>
        <v>-0.5942010516866062</v>
      </c>
      <c r="G33" s="28"/>
    </row>
    <row r="34" spans="2:11">
      <c r="B34" s="2">
        <f t="shared" si="4"/>
        <v>2.7200000000000002E-3</v>
      </c>
      <c r="C34" s="2">
        <f t="shared" si="0"/>
        <v>-0.98228725072868905</v>
      </c>
      <c r="D34" s="2">
        <f t="shared" si="1"/>
        <v>-1.5855397668660438</v>
      </c>
      <c r="E34" s="2">
        <f t="shared" si="2"/>
        <v>-1.5855397668660438</v>
      </c>
      <c r="F34" s="28">
        <f t="shared" si="3"/>
        <v>-1.5855397668660438</v>
      </c>
      <c r="G34" s="28"/>
    </row>
    <row r="35" spans="2:11">
      <c r="B35" s="2">
        <f t="shared" si="4"/>
        <v>2.8800000000000002E-3</v>
      </c>
      <c r="C35" s="2">
        <f t="shared" si="0"/>
        <v>-0.68454710592868862</v>
      </c>
      <c r="D35" s="2">
        <f t="shared" si="1"/>
        <v>-1.1049483314965496</v>
      </c>
      <c r="E35" s="2">
        <f t="shared" si="2"/>
        <v>-1.1049483314965496</v>
      </c>
      <c r="F35" s="28">
        <f t="shared" si="3"/>
        <v>-1.1049483314965496</v>
      </c>
      <c r="G35" s="28"/>
    </row>
    <row r="36" spans="2:11">
      <c r="B36" s="2">
        <f t="shared" si="4"/>
        <v>3.0400000000000002E-3</v>
      </c>
      <c r="C36" s="2">
        <f t="shared" si="0"/>
        <v>0.24868988716485269</v>
      </c>
      <c r="D36" s="2">
        <f t="shared" si="1"/>
        <v>0.40141792069966742</v>
      </c>
      <c r="E36" s="2">
        <f t="shared" si="2"/>
        <v>0.40141792069966742</v>
      </c>
      <c r="F36" s="28">
        <f t="shared" si="3"/>
        <v>0.40141792069966742</v>
      </c>
      <c r="G36" s="28"/>
      <c r="H36" s="6" t="s">
        <v>65</v>
      </c>
    </row>
    <row r="37" spans="2:11">
      <c r="B37" s="2">
        <f t="shared" si="4"/>
        <v>3.2000000000000002E-3</v>
      </c>
      <c r="C37" s="2">
        <f t="shared" si="0"/>
        <v>0.95105651629515331</v>
      </c>
      <c r="D37" s="2">
        <f t="shared" si="1"/>
        <v>1.5351292872878246</v>
      </c>
      <c r="E37" s="2">
        <f t="shared" si="2"/>
        <v>1.5351292872878246</v>
      </c>
      <c r="F37" s="28">
        <f t="shared" si="3"/>
        <v>1.5351292872878246</v>
      </c>
      <c r="G37" s="28"/>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28">
        <f t="shared" si="3"/>
        <v>1.2437088910719818</v>
      </c>
      <c r="G38" s="28"/>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28">
        <f t="shared" si="3"/>
        <v>-0.20230418930785779</v>
      </c>
      <c r="G39" s="28"/>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28">
        <f t="shared" si="3"/>
        <v>-1.4605089018072923</v>
      </c>
      <c r="G40" s="28"/>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28">
        <f t="shared" si="3"/>
        <v>-1.3628554184795298</v>
      </c>
      <c r="G41" s="28"/>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28">
        <f t="shared" si="3"/>
        <v>-1.5820395462782101E-15</v>
      </c>
      <c r="G42" s="28"/>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223</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topLeftCell="A3" zoomScaleNormal="100" workbookViewId="0">
      <selection activeCell="C4" sqref="C4"/>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6" ht="47.25" thickBot="1">
      <c r="B1" s="1" t="s">
        <v>101</v>
      </c>
      <c r="Y1"/>
    </row>
    <row r="2" spans="2:26" ht="15.75" thickBot="1">
      <c r="B2" s="2" t="s">
        <v>172</v>
      </c>
      <c r="C2" s="4">
        <v>1</v>
      </c>
      <c r="D2" s="2" t="s">
        <v>16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99</v>
      </c>
      <c r="C5" s="4">
        <v>1</v>
      </c>
      <c r="D5" s="2" t="s">
        <v>16</v>
      </c>
      <c r="H5" s="2" t="s">
        <v>31</v>
      </c>
      <c r="I5" s="4">
        <v>1.2</v>
      </c>
      <c r="J5" s="2" t="s">
        <v>32</v>
      </c>
    </row>
    <row r="6" spans="2:26">
      <c r="B6" s="2" t="s">
        <v>0</v>
      </c>
      <c r="C6" s="3">
        <v>0</v>
      </c>
      <c r="D6" s="2" t="s">
        <v>17</v>
      </c>
    </row>
    <row r="7" spans="2:26" ht="15.75" thickBot="1">
      <c r="B7" s="2" t="s">
        <v>1</v>
      </c>
      <c r="C7" s="3">
        <f>1+(C5/C2)</f>
        <v>2</v>
      </c>
      <c r="D7" s="2" t="s">
        <v>39</v>
      </c>
      <c r="H7" s="6" t="s">
        <v>33</v>
      </c>
    </row>
    <row r="8" spans="2:26" ht="15.75" thickBot="1">
      <c r="B8" s="2" t="s">
        <v>97</v>
      </c>
      <c r="C8" s="3">
        <f>1/(2*PI()*C10*C4*0.000001)</f>
        <v>1000.0002707544371</v>
      </c>
      <c r="D8" s="2" t="s">
        <v>217</v>
      </c>
      <c r="H8" s="6" t="s">
        <v>29</v>
      </c>
      <c r="I8" s="4">
        <v>1</v>
      </c>
      <c r="J8" s="2" t="s">
        <v>17</v>
      </c>
    </row>
    <row r="9" spans="2:26" ht="15.75" thickBot="1">
      <c r="B9" s="2" t="s">
        <v>25</v>
      </c>
      <c r="C9" s="4">
        <v>1</v>
      </c>
      <c r="D9" s="2" t="s">
        <v>38</v>
      </c>
      <c r="H9" s="6" t="s">
        <v>34</v>
      </c>
      <c r="I9" s="3">
        <f>IF($C$7*I8/SQRT(1+($C$10/$C$12)^2)&gt;($I$3-$I$5),($I$3-$I$5),IF($C$7*I8/SQRT(1+($C$10/$C$12)^2)&lt;($I$4+$I$5),($I$4+$I$5),$C$7*I8/SQRT(1+($C$10/$C$12)^2)))</f>
        <v>1.4142137538253547</v>
      </c>
      <c r="J9" s="2" t="s">
        <v>17</v>
      </c>
    </row>
    <row r="10" spans="2:26" ht="15.75" thickBot="1">
      <c r="B10" s="2" t="s">
        <v>84</v>
      </c>
      <c r="C10" s="4">
        <v>1591.549</v>
      </c>
      <c r="D10" s="2" t="s">
        <v>80</v>
      </c>
    </row>
    <row r="11" spans="2:26">
      <c r="B11" s="2" t="s">
        <v>87</v>
      </c>
      <c r="C11" s="3">
        <f>1/C10</f>
        <v>6.2831870083798866E-4</v>
      </c>
      <c r="D11" s="2" t="s">
        <v>86</v>
      </c>
      <c r="H11" s="6" t="s">
        <v>198</v>
      </c>
    </row>
    <row r="12" spans="2:26" ht="15.75" thickBot="1">
      <c r="B12" s="2" t="s">
        <v>81</v>
      </c>
      <c r="C12" s="3">
        <f>1/(2*PI()*(C3*1000)*(C4*0.000001))</f>
        <v>1591.5494309189537</v>
      </c>
      <c r="D12" s="2" t="s">
        <v>80</v>
      </c>
      <c r="H12" s="17" t="s">
        <v>106</v>
      </c>
      <c r="I12" s="3">
        <f>1000*(C4*1000)*(C5*0.000001)</f>
        <v>9.9999999999999992E-2</v>
      </c>
      <c r="J12" s="2" t="s">
        <v>107</v>
      </c>
      <c r="U12" s="27"/>
      <c r="Y12"/>
    </row>
    <row r="13" spans="2:26" ht="15.7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28" t="s">
        <v>221</v>
      </c>
    </row>
    <row r="18" spans="2:6">
      <c r="B18" s="2">
        <v>0</v>
      </c>
      <c r="C18" s="2">
        <f t="shared" ref="C18:C43" si="0">$C$9*SIN($B18*$C$10*2*PI())</f>
        <v>0</v>
      </c>
      <c r="D18" s="2">
        <f t="shared" ref="D18:D43" si="1">C18*$C$7*($C$10/$C$12)/SQRT(1+($C$10/$C$12)^2)</f>
        <v>0</v>
      </c>
      <c r="E18" s="2">
        <f t="shared" ref="E18:E43" si="2">IF(D18&gt;($I$3-$I$5),($I$3-$I$5),IF(D18&lt;($I$4+$I$5),($I$4+$I$5),D18))</f>
        <v>0</v>
      </c>
      <c r="F18" s="28">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28">
        <f t="shared" si="3"/>
        <v>1.1940598416867789</v>
      </c>
    </row>
    <row r="20" spans="2:6">
      <c r="B20" s="2">
        <f t="shared" si="4"/>
        <v>2.0106198426815636E-4</v>
      </c>
      <c r="C20" s="2">
        <f t="shared" si="0"/>
        <v>0.90482705246601947</v>
      </c>
      <c r="D20" s="2">
        <f t="shared" si="1"/>
        <v>1.2796185159683096</v>
      </c>
      <c r="E20" s="2">
        <f t="shared" si="2"/>
        <v>1.2796185159683096</v>
      </c>
      <c r="F20" s="28">
        <f t="shared" si="3"/>
        <v>1.2796185159683096</v>
      </c>
    </row>
    <row r="21" spans="2:6">
      <c r="B21" s="2">
        <f t="shared" si="4"/>
        <v>3.0159297640223456E-4</v>
      </c>
      <c r="C21" s="2">
        <f t="shared" si="0"/>
        <v>0.12533323356430454</v>
      </c>
      <c r="D21" s="2">
        <f t="shared" si="1"/>
        <v>0.17724793472738026</v>
      </c>
      <c r="E21" s="2">
        <f t="shared" si="2"/>
        <v>0.17724793472738026</v>
      </c>
      <c r="F21" s="28">
        <f t="shared" si="3"/>
        <v>0.17724793472738026</v>
      </c>
    </row>
    <row r="22" spans="2:6">
      <c r="B22" s="2">
        <f t="shared" si="4"/>
        <v>4.0212396853631273E-4</v>
      </c>
      <c r="C22" s="2">
        <f t="shared" si="0"/>
        <v>-0.77051324277578936</v>
      </c>
      <c r="D22" s="2">
        <f t="shared" si="1"/>
        <v>-1.0896701304050731</v>
      </c>
      <c r="E22" s="2">
        <f t="shared" si="2"/>
        <v>-1.0896701304050731</v>
      </c>
      <c r="F22" s="28">
        <f t="shared" si="3"/>
        <v>-1.0896701304050731</v>
      </c>
    </row>
    <row r="23" spans="2:6">
      <c r="B23" s="2">
        <f t="shared" si="4"/>
        <v>5.0265496067039095E-4</v>
      </c>
      <c r="C23" s="2">
        <f t="shared" si="0"/>
        <v>-0.95105651629515364</v>
      </c>
      <c r="D23" s="2">
        <f t="shared" si="1"/>
        <v>-1.344996841845971</v>
      </c>
      <c r="E23" s="2">
        <f t="shared" si="2"/>
        <v>-1.344996841845971</v>
      </c>
      <c r="F23" s="28">
        <f t="shared" si="3"/>
        <v>-1.344996841845971</v>
      </c>
    </row>
    <row r="24" spans="2:6">
      <c r="B24" s="2">
        <f t="shared" si="4"/>
        <v>6.0318595280446912E-4</v>
      </c>
      <c r="C24" s="2">
        <f t="shared" si="0"/>
        <v>-0.24868988716485535</v>
      </c>
      <c r="D24" s="2">
        <f t="shared" si="1"/>
        <v>-0.35170056364132585</v>
      </c>
      <c r="E24" s="2">
        <f t="shared" si="2"/>
        <v>-0.35170056364132585</v>
      </c>
      <c r="F24" s="28">
        <f t="shared" si="3"/>
        <v>-0.35170056364132585</v>
      </c>
    </row>
    <row r="25" spans="2:6">
      <c r="B25" s="2">
        <f t="shared" si="4"/>
        <v>7.0371694493854729E-4</v>
      </c>
      <c r="C25" s="2">
        <f t="shared" si="0"/>
        <v>0.68454710592868795</v>
      </c>
      <c r="D25" s="2">
        <f t="shared" si="1"/>
        <v>0.96809567022949428</v>
      </c>
      <c r="E25" s="2">
        <f t="shared" si="2"/>
        <v>0.96809567022949428</v>
      </c>
      <c r="F25" s="28">
        <f t="shared" si="3"/>
        <v>0.96809567022949428</v>
      </c>
    </row>
    <row r="26" spans="2:6">
      <c r="B26" s="2">
        <f t="shared" si="4"/>
        <v>8.0424793707262545E-4</v>
      </c>
      <c r="C26" s="2">
        <f t="shared" si="0"/>
        <v>0.98228725072868861</v>
      </c>
      <c r="D26" s="2">
        <f t="shared" si="1"/>
        <v>1.3891637640655532</v>
      </c>
      <c r="E26" s="2">
        <f t="shared" si="2"/>
        <v>1.3891637640655532</v>
      </c>
      <c r="F26" s="28">
        <f t="shared" si="3"/>
        <v>1.3891637640655532</v>
      </c>
    </row>
    <row r="27" spans="2:6">
      <c r="B27" s="2">
        <f t="shared" si="4"/>
        <v>9.0477892920670362E-4</v>
      </c>
      <c r="C27" s="2">
        <f t="shared" si="0"/>
        <v>0.36812455268467797</v>
      </c>
      <c r="D27" s="2">
        <f t="shared" si="1"/>
        <v>0.52060666457091354</v>
      </c>
      <c r="E27" s="2">
        <f t="shared" si="2"/>
        <v>0.52060666457091354</v>
      </c>
      <c r="F27" s="28">
        <f t="shared" si="3"/>
        <v>0.52060666457091365</v>
      </c>
    </row>
    <row r="28" spans="2:6">
      <c r="B28" s="2">
        <f t="shared" si="4"/>
        <v>1.0053099213407819E-3</v>
      </c>
      <c r="C28" s="2">
        <f t="shared" si="0"/>
        <v>-0.5877852522924728</v>
      </c>
      <c r="D28" s="2">
        <f t="shared" si="1"/>
        <v>-0.83125376302207643</v>
      </c>
      <c r="E28" s="2">
        <f t="shared" si="2"/>
        <v>-0.83125376302207643</v>
      </c>
      <c r="F28" s="28">
        <f t="shared" si="3"/>
        <v>-0.83125376302207643</v>
      </c>
    </row>
    <row r="29" spans="2:6">
      <c r="B29" s="2">
        <f t="shared" si="4"/>
        <v>1.1058409134748601E-3</v>
      </c>
      <c r="C29" s="2">
        <f t="shared" si="0"/>
        <v>-0.99802672842827156</v>
      </c>
      <c r="D29" s="2">
        <f t="shared" si="1"/>
        <v>-1.4114227438796132</v>
      </c>
      <c r="E29" s="2">
        <f t="shared" si="2"/>
        <v>-1.4114227438796132</v>
      </c>
      <c r="F29" s="28">
        <f t="shared" si="3"/>
        <v>-1.4114227438796132</v>
      </c>
    </row>
    <row r="30" spans="2:6">
      <c r="B30" s="2">
        <f t="shared" si="4"/>
        <v>1.2063719056089382E-3</v>
      </c>
      <c r="C30" s="2">
        <f t="shared" si="0"/>
        <v>-0.48175367410171632</v>
      </c>
      <c r="D30" s="2">
        <f t="shared" si="1"/>
        <v>-0.68130248740487331</v>
      </c>
      <c r="E30" s="2">
        <f t="shared" si="2"/>
        <v>-0.68130248740487331</v>
      </c>
      <c r="F30" s="28">
        <f t="shared" si="3"/>
        <v>-0.68130248740487331</v>
      </c>
    </row>
    <row r="31" spans="2:6">
      <c r="B31" s="2">
        <f t="shared" si="4"/>
        <v>1.3069028977430164E-3</v>
      </c>
      <c r="C31" s="2">
        <f t="shared" si="0"/>
        <v>0.48175367410171543</v>
      </c>
      <c r="D31" s="2">
        <f t="shared" si="1"/>
        <v>0.68130248740487209</v>
      </c>
      <c r="E31" s="2">
        <f t="shared" si="2"/>
        <v>0.68130248740487209</v>
      </c>
      <c r="F31" s="28">
        <f t="shared" si="3"/>
        <v>0.68130248740487209</v>
      </c>
    </row>
    <row r="32" spans="2:6">
      <c r="B32" s="2">
        <f t="shared" si="4"/>
        <v>1.4074338898770946E-3</v>
      </c>
      <c r="C32" s="2">
        <f t="shared" si="0"/>
        <v>0.99802672842827145</v>
      </c>
      <c r="D32" s="2">
        <f t="shared" si="1"/>
        <v>1.411422743879613</v>
      </c>
      <c r="E32" s="2">
        <f t="shared" si="2"/>
        <v>1.411422743879613</v>
      </c>
      <c r="F32" s="28">
        <f t="shared" si="3"/>
        <v>1.4114227438796132</v>
      </c>
    </row>
    <row r="33" spans="2:11">
      <c r="B33" s="2">
        <f t="shared" si="4"/>
        <v>1.5079648820111727E-3</v>
      </c>
      <c r="C33" s="2">
        <f t="shared" si="0"/>
        <v>0.58778525229247358</v>
      </c>
      <c r="D33" s="2">
        <f t="shared" si="1"/>
        <v>0.83125376302207754</v>
      </c>
      <c r="E33" s="2">
        <f t="shared" si="2"/>
        <v>0.83125376302207754</v>
      </c>
      <c r="F33" s="28">
        <f t="shared" si="3"/>
        <v>0.83125376302207754</v>
      </c>
    </row>
    <row r="34" spans="2:11">
      <c r="B34" s="2">
        <f t="shared" si="4"/>
        <v>1.6084958741452509E-3</v>
      </c>
      <c r="C34" s="2">
        <f t="shared" si="0"/>
        <v>-0.3681245526846787</v>
      </c>
      <c r="D34" s="2">
        <f t="shared" si="1"/>
        <v>-0.52060666457091453</v>
      </c>
      <c r="E34" s="2">
        <f t="shared" si="2"/>
        <v>-0.52060666457091453</v>
      </c>
      <c r="F34" s="28">
        <f t="shared" si="3"/>
        <v>-0.52060666457091465</v>
      </c>
    </row>
    <row r="35" spans="2:11">
      <c r="B35" s="2">
        <f t="shared" si="4"/>
        <v>1.7090268662793291E-3</v>
      </c>
      <c r="C35" s="2">
        <f t="shared" si="0"/>
        <v>-0.98228725072868839</v>
      </c>
      <c r="D35" s="2">
        <f t="shared" si="1"/>
        <v>-1.3891637640655528</v>
      </c>
      <c r="E35" s="2">
        <f t="shared" si="2"/>
        <v>-1.3891637640655528</v>
      </c>
      <c r="F35" s="28">
        <f t="shared" si="3"/>
        <v>-1.3891637640655528</v>
      </c>
    </row>
    <row r="36" spans="2:11">
      <c r="B36" s="2">
        <f t="shared" si="4"/>
        <v>1.8095578584134072E-3</v>
      </c>
      <c r="C36" s="2">
        <f t="shared" si="0"/>
        <v>-0.68454710592868862</v>
      </c>
      <c r="D36" s="2">
        <f t="shared" si="1"/>
        <v>-0.96809567022949516</v>
      </c>
      <c r="E36" s="2">
        <f t="shared" si="2"/>
        <v>-0.96809567022949516</v>
      </c>
      <c r="F36" s="28">
        <f t="shared" si="3"/>
        <v>-0.96809567022949528</v>
      </c>
    </row>
    <row r="37" spans="2:11">
      <c r="B37" s="2">
        <f t="shared" si="4"/>
        <v>1.9100888505474854E-3</v>
      </c>
      <c r="C37" s="2">
        <f t="shared" si="0"/>
        <v>0.24868988716485269</v>
      </c>
      <c r="D37" s="2">
        <f t="shared" si="1"/>
        <v>0.35170056364132207</v>
      </c>
      <c r="E37" s="2">
        <f t="shared" si="2"/>
        <v>0.35170056364132207</v>
      </c>
      <c r="F37" s="28">
        <f t="shared" si="3"/>
        <v>0.35170056364132207</v>
      </c>
      <c r="H37" s="6" t="s">
        <v>65</v>
      </c>
    </row>
    <row r="38" spans="2:11">
      <c r="B38" s="2">
        <f t="shared" si="4"/>
        <v>2.0106198426815638E-3</v>
      </c>
      <c r="C38" s="2">
        <f t="shared" si="0"/>
        <v>0.95105651629515331</v>
      </c>
      <c r="D38" s="2">
        <f t="shared" si="1"/>
        <v>1.3449968418459706</v>
      </c>
      <c r="E38" s="2">
        <f t="shared" si="2"/>
        <v>1.3449968418459706</v>
      </c>
      <c r="F38" s="28">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28">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28">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28">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28">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28">
        <f t="shared" si="3"/>
        <v>-1.3860970610357928E-15</v>
      </c>
      <c r="H43" s="12" t="s">
        <v>103</v>
      </c>
      <c r="I43" s="12">
        <f>ROUND(C10,0)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222</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topLeftCell="A2" zoomScaleNormal="100" workbookViewId="0">
      <selection activeCell="C4" sqref="C4"/>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1" ht="47.25" thickBot="1">
      <c r="B1" s="1" t="s">
        <v>101</v>
      </c>
    </row>
    <row r="2" spans="2:21" ht="15.75" thickBot="1">
      <c r="B2" s="2" t="s">
        <v>172</v>
      </c>
      <c r="C2" s="4">
        <v>1</v>
      </c>
      <c r="D2" s="2" t="s">
        <v>16</v>
      </c>
      <c r="H2" s="6" t="s">
        <v>36</v>
      </c>
    </row>
    <row r="3" spans="2:21" ht="15.75" thickBot="1">
      <c r="B3" s="2" t="s">
        <v>82</v>
      </c>
      <c r="C3" s="4">
        <v>0.1</v>
      </c>
      <c r="D3" s="2" t="s">
        <v>83</v>
      </c>
      <c r="H3" s="2" t="s">
        <v>9</v>
      </c>
      <c r="I3" s="4">
        <v>5</v>
      </c>
      <c r="J3" s="2" t="s">
        <v>18</v>
      </c>
    </row>
    <row r="4" spans="2:21" ht="15.75" thickBot="1">
      <c r="B4" s="2" t="s">
        <v>99</v>
      </c>
      <c r="C4" s="4">
        <v>1</v>
      </c>
      <c r="D4" s="2" t="s">
        <v>16</v>
      </c>
      <c r="H4" s="2" t="s">
        <v>10</v>
      </c>
      <c r="I4" s="5">
        <v>-5</v>
      </c>
      <c r="J4" s="2" t="s">
        <v>19</v>
      </c>
    </row>
    <row r="5" spans="2:21" ht="15.75" thickBot="1">
      <c r="B5" s="2" t="s">
        <v>0</v>
      </c>
      <c r="C5" s="3">
        <v>0</v>
      </c>
      <c r="D5" s="2" t="s">
        <v>17</v>
      </c>
      <c r="H5" s="2" t="s">
        <v>31</v>
      </c>
      <c r="I5" s="4">
        <v>1.2</v>
      </c>
      <c r="J5" s="2" t="s">
        <v>32</v>
      </c>
    </row>
    <row r="6" spans="2:21">
      <c r="B6" s="2" t="s">
        <v>1</v>
      </c>
      <c r="C6" s="3">
        <f>1+(C4/C2)</f>
        <v>2</v>
      </c>
      <c r="D6" s="2" t="s">
        <v>39</v>
      </c>
    </row>
    <row r="7" spans="2:21" ht="15.75" thickBot="1">
      <c r="B7" s="2" t="s">
        <v>97</v>
      </c>
      <c r="C7" s="3">
        <f>1/(2*PI()*C9*C3*0.000001)</f>
        <v>15915.494309189533</v>
      </c>
      <c r="D7" s="2" t="s">
        <v>217</v>
      </c>
      <c r="H7" s="6" t="s">
        <v>33</v>
      </c>
    </row>
    <row r="8" spans="2:21" ht="15.75" thickBot="1">
      <c r="B8" s="2" t="s">
        <v>25</v>
      </c>
      <c r="C8" s="4">
        <v>1</v>
      </c>
      <c r="D8" s="2" t="s">
        <v>38</v>
      </c>
      <c r="H8" s="6" t="s">
        <v>29</v>
      </c>
      <c r="I8" s="4">
        <v>1</v>
      </c>
      <c r="J8" s="2" t="s">
        <v>17</v>
      </c>
    </row>
    <row r="9" spans="2:21" ht="15.7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75" thickBot="1">
      <c r="B11" s="2" t="s">
        <v>81</v>
      </c>
      <c r="C11" s="3">
        <f>1/(2*PI()*(C2*1000)*(C3*0.000001))</f>
        <v>1591.5494309189537</v>
      </c>
      <c r="D11" s="2" t="s">
        <v>80</v>
      </c>
      <c r="H11" s="6" t="s">
        <v>198</v>
      </c>
    </row>
    <row r="12" spans="2:21" ht="15.75" thickBot="1">
      <c r="B12" s="2" t="s">
        <v>89</v>
      </c>
      <c r="C12" s="4">
        <v>4</v>
      </c>
      <c r="D12" s="2" t="s">
        <v>90</v>
      </c>
      <c r="H12" s="17" t="s">
        <v>106</v>
      </c>
      <c r="I12" s="3">
        <f>1000*(C3*1000)*(C4*0.000001)</f>
        <v>9.9999999999999992E-2</v>
      </c>
      <c r="J12" s="2" t="s">
        <v>107</v>
      </c>
      <c r="U12" s="27"/>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28" t="s">
        <v>229</v>
      </c>
    </row>
    <row r="18" spans="2:15">
      <c r="B18" s="2">
        <v>0</v>
      </c>
      <c r="C18" s="2">
        <f t="shared" ref="C18:C43" si="0">$C$8*SIN($B18*$C$9*2*PI())</f>
        <v>0</v>
      </c>
      <c r="D18" s="2">
        <f t="shared" ref="D18:D43" si="1">C18*(1+($C$4/$C$2)*(1+($C$9/$C$11)))</f>
        <v>0</v>
      </c>
      <c r="E18" s="2">
        <f>IF(D18&gt;($I$3-$I$5),($I$3-$I$5),IF(D18&lt;($I$4+$I$5),($I$4+$I$5),D18))</f>
        <v>0</v>
      </c>
      <c r="F18" s="28">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28">
        <f t="shared" si="2"/>
        <v>1.7417065391635866</v>
      </c>
    </row>
    <row r="20" spans="2:15">
      <c r="B20" s="2">
        <f t="shared" si="3"/>
        <v>3.2000000000000002E-3</v>
      </c>
      <c r="C20" s="2">
        <f t="shared" si="0"/>
        <v>0.90482705246601947</v>
      </c>
      <c r="D20" s="2">
        <f t="shared" si="1"/>
        <v>1.8665060653479701</v>
      </c>
      <c r="E20" s="2">
        <f t="shared" si="4"/>
        <v>1.8665060653479701</v>
      </c>
      <c r="F20" s="28">
        <f t="shared" si="2"/>
        <v>1.8665060653479697</v>
      </c>
    </row>
    <row r="21" spans="2:15">
      <c r="B21" s="2">
        <f t="shared" si="3"/>
        <v>4.8000000000000004E-3</v>
      </c>
      <c r="C21" s="2">
        <f t="shared" si="0"/>
        <v>0.12533323356430409</v>
      </c>
      <c r="D21" s="2">
        <f t="shared" si="1"/>
        <v>0.25854138644493363</v>
      </c>
      <c r="E21" s="2">
        <f t="shared" si="4"/>
        <v>0.25854138644493363</v>
      </c>
      <c r="F21" s="28">
        <f t="shared" si="2"/>
        <v>0.25854138644493357</v>
      </c>
    </row>
    <row r="22" spans="2:15">
      <c r="B22" s="2">
        <f t="shared" si="3"/>
        <v>6.4000000000000003E-3</v>
      </c>
      <c r="C22" s="2">
        <f t="shared" si="0"/>
        <v>-0.77051324277578936</v>
      </c>
      <c r="D22" s="2">
        <f t="shared" si="1"/>
        <v>-1.5894392604115402</v>
      </c>
      <c r="E22" s="2">
        <f t="shared" si="4"/>
        <v>-1.5894392604115402</v>
      </c>
      <c r="F22" s="28">
        <f t="shared" si="2"/>
        <v>-1.5894392604115399</v>
      </c>
    </row>
    <row r="23" spans="2:15">
      <c r="B23" s="2">
        <f t="shared" si="3"/>
        <v>8.0000000000000002E-3</v>
      </c>
      <c r="C23" s="2">
        <f t="shared" si="0"/>
        <v>-0.95105651629515364</v>
      </c>
      <c r="D23" s="2">
        <f t="shared" si="1"/>
        <v>-1.9618696758851384</v>
      </c>
      <c r="E23" s="2">
        <f t="shared" si="4"/>
        <v>-1.9618696758851384</v>
      </c>
      <c r="F23" s="28">
        <f t="shared" si="2"/>
        <v>-1.9618696758851382</v>
      </c>
    </row>
    <row r="24" spans="2:15">
      <c r="B24" s="2">
        <f t="shared" si="3"/>
        <v>9.6000000000000009E-3</v>
      </c>
      <c r="C24" s="2">
        <f t="shared" si="0"/>
        <v>-0.24868988716485449</v>
      </c>
      <c r="D24" s="2">
        <f t="shared" si="1"/>
        <v>-0.5130054207804926</v>
      </c>
      <c r="E24" s="2">
        <f t="shared" si="4"/>
        <v>-0.5130054207804926</v>
      </c>
      <c r="F24" s="28">
        <f t="shared" si="2"/>
        <v>-0.51300542078049249</v>
      </c>
    </row>
    <row r="25" spans="2:15">
      <c r="B25" s="2">
        <f t="shared" si="3"/>
        <v>1.1200000000000002E-2</v>
      </c>
      <c r="C25" s="2">
        <f t="shared" si="0"/>
        <v>0.68454710592868928</v>
      </c>
      <c r="D25" s="2">
        <f t="shared" si="1"/>
        <v>1.4121055750378131</v>
      </c>
      <c r="E25" s="2">
        <f t="shared" si="4"/>
        <v>1.4121055750378131</v>
      </c>
      <c r="F25" s="28">
        <f t="shared" si="2"/>
        <v>1.4121055750378129</v>
      </c>
    </row>
    <row r="26" spans="2:15">
      <c r="B26" s="2">
        <f t="shared" si="3"/>
        <v>1.2800000000000002E-2</v>
      </c>
      <c r="C26" s="2">
        <f t="shared" si="0"/>
        <v>0.98228725072868861</v>
      </c>
      <c r="D26" s="2">
        <f t="shared" si="1"/>
        <v>2.0262934296694604</v>
      </c>
      <c r="E26" s="2">
        <f t="shared" si="4"/>
        <v>2.0262934296694604</v>
      </c>
      <c r="F26" s="28">
        <f t="shared" si="2"/>
        <v>2.0262934296694604</v>
      </c>
    </row>
    <row r="27" spans="2:15">
      <c r="B27" s="2">
        <f t="shared" si="3"/>
        <v>1.4400000000000003E-2</v>
      </c>
      <c r="C27" s="2">
        <f t="shared" si="0"/>
        <v>0.36812455268467631</v>
      </c>
      <c r="D27" s="2">
        <f t="shared" si="1"/>
        <v>0.75937905317575682</v>
      </c>
      <c r="E27" s="2">
        <f t="shared" si="4"/>
        <v>0.75937905317575682</v>
      </c>
      <c r="F27" s="28">
        <f t="shared" si="2"/>
        <v>0.7593790531757566</v>
      </c>
    </row>
    <row r="28" spans="2:15">
      <c r="B28" s="2">
        <f t="shared" si="3"/>
        <v>1.6000000000000004E-2</v>
      </c>
      <c r="C28" s="2">
        <f t="shared" si="0"/>
        <v>-0.58778525229247425</v>
      </c>
      <c r="D28" s="2">
        <f t="shared" si="1"/>
        <v>-1.2125021411947579</v>
      </c>
      <c r="E28" s="2">
        <f t="shared" si="4"/>
        <v>-1.2125021411947579</v>
      </c>
      <c r="F28" s="28">
        <f t="shared" si="2"/>
        <v>-1.2125021411947574</v>
      </c>
    </row>
    <row r="29" spans="2:15">
      <c r="B29" s="2">
        <f t="shared" si="3"/>
        <v>1.7600000000000005E-2</v>
      </c>
      <c r="C29" s="2">
        <f t="shared" si="0"/>
        <v>-0.99802672842827134</v>
      </c>
      <c r="D29" s="2">
        <f t="shared" si="1"/>
        <v>-2.0587613256188728</v>
      </c>
      <c r="E29" s="2">
        <f t="shared" si="4"/>
        <v>-2.0587613256188728</v>
      </c>
      <c r="F29" s="28">
        <f t="shared" si="2"/>
        <v>-2.0587613256188724</v>
      </c>
    </row>
    <row r="30" spans="2:15">
      <c r="B30" s="2">
        <f t="shared" si="3"/>
        <v>1.9200000000000005E-2</v>
      </c>
      <c r="C30" s="2">
        <f t="shared" si="0"/>
        <v>-0.48175367410171166</v>
      </c>
      <c r="D30" s="2">
        <f t="shared" si="1"/>
        <v>-0.99377682427137992</v>
      </c>
      <c r="E30" s="2">
        <f t="shared" si="4"/>
        <v>-0.99377682427137992</v>
      </c>
      <c r="F30" s="28">
        <f t="shared" si="2"/>
        <v>-0.9937768242713797</v>
      </c>
      <c r="O30" s="2" t="s">
        <v>220</v>
      </c>
    </row>
    <row r="31" spans="2:15">
      <c r="B31" s="2">
        <f t="shared" si="3"/>
        <v>2.0800000000000006E-2</v>
      </c>
      <c r="C31" s="2">
        <f t="shared" si="0"/>
        <v>0.48175367410171699</v>
      </c>
      <c r="D31" s="2">
        <f t="shared" si="1"/>
        <v>0.99377682427139091</v>
      </c>
      <c r="E31" s="2">
        <f t="shared" si="4"/>
        <v>0.99377682427139091</v>
      </c>
      <c r="F31" s="28">
        <f t="shared" si="2"/>
        <v>0.99377682427139069</v>
      </c>
    </row>
    <row r="32" spans="2:15">
      <c r="B32" s="2">
        <f t="shared" si="3"/>
        <v>2.2400000000000007E-2</v>
      </c>
      <c r="C32" s="2">
        <f t="shared" si="0"/>
        <v>0.99802672842827178</v>
      </c>
      <c r="D32" s="2">
        <f t="shared" si="1"/>
        <v>2.0587613256188741</v>
      </c>
      <c r="E32" s="2">
        <f t="shared" si="4"/>
        <v>2.0587613256188741</v>
      </c>
      <c r="F32" s="28">
        <f t="shared" si="2"/>
        <v>2.0587613256188737</v>
      </c>
      <c r="O32" s="29" t="s">
        <v>230</v>
      </c>
    </row>
    <row r="33" spans="2:11">
      <c r="B33" s="2">
        <f t="shared" si="3"/>
        <v>2.4000000000000007E-2</v>
      </c>
      <c r="C33" s="2">
        <f t="shared" si="0"/>
        <v>0.58778525229246925</v>
      </c>
      <c r="D33" s="2">
        <f t="shared" si="1"/>
        <v>1.2125021411947474</v>
      </c>
      <c r="E33" s="2">
        <f t="shared" si="4"/>
        <v>1.2125021411947474</v>
      </c>
      <c r="F33" s="28">
        <f t="shared" si="2"/>
        <v>1.2125021411947472</v>
      </c>
    </row>
    <row r="34" spans="2:11">
      <c r="B34" s="2">
        <f t="shared" si="3"/>
        <v>2.5600000000000008E-2</v>
      </c>
      <c r="C34" s="2">
        <f t="shared" si="0"/>
        <v>-0.36812455268468203</v>
      </c>
      <c r="D34" s="2">
        <f t="shared" si="1"/>
        <v>-0.75937905317576859</v>
      </c>
      <c r="E34" s="2">
        <f t="shared" si="4"/>
        <v>-0.75937905317576859</v>
      </c>
      <c r="F34" s="28">
        <f t="shared" si="2"/>
        <v>-0.75937905317576848</v>
      </c>
    </row>
    <row r="35" spans="2:11">
      <c r="B35" s="2">
        <f t="shared" si="3"/>
        <v>2.7200000000000009E-2</v>
      </c>
      <c r="C35" s="2">
        <f t="shared" si="0"/>
        <v>-0.98228725072868972</v>
      </c>
      <c r="D35" s="2">
        <f t="shared" si="1"/>
        <v>-2.026293429669463</v>
      </c>
      <c r="E35" s="2">
        <f t="shared" si="4"/>
        <v>-2.026293429669463</v>
      </c>
      <c r="F35" s="28">
        <f t="shared" si="2"/>
        <v>-2.0262934296694626</v>
      </c>
    </row>
    <row r="36" spans="2:11">
      <c r="B36" s="2">
        <f t="shared" si="3"/>
        <v>2.880000000000001E-2</v>
      </c>
      <c r="C36" s="2">
        <f t="shared" si="0"/>
        <v>-0.68454710592868606</v>
      </c>
      <c r="D36" s="2">
        <f t="shared" si="1"/>
        <v>-1.4121055750378064</v>
      </c>
      <c r="E36" s="2">
        <f t="shared" si="4"/>
        <v>-1.4121055750378064</v>
      </c>
      <c r="F36" s="28">
        <f t="shared" si="2"/>
        <v>-1.4121055750378062</v>
      </c>
    </row>
    <row r="37" spans="2:11">
      <c r="B37" s="2">
        <f t="shared" si="3"/>
        <v>3.040000000000001E-2</v>
      </c>
      <c r="C37" s="2">
        <f t="shared" si="0"/>
        <v>0.24868988716485957</v>
      </c>
      <c r="D37" s="2">
        <f t="shared" si="1"/>
        <v>0.51300542078050315</v>
      </c>
      <c r="E37" s="2">
        <f t="shared" si="4"/>
        <v>0.51300542078050315</v>
      </c>
      <c r="F37" s="28">
        <f t="shared" si="2"/>
        <v>0.51300542078050304</v>
      </c>
      <c r="H37" s="6" t="s">
        <v>65</v>
      </c>
    </row>
    <row r="38" spans="2:11">
      <c r="B38" s="2">
        <f t="shared" si="3"/>
        <v>3.2000000000000008E-2</v>
      </c>
      <c r="C38" s="2">
        <f t="shared" si="0"/>
        <v>0.95105651629515442</v>
      </c>
      <c r="D38" s="2">
        <f t="shared" si="1"/>
        <v>1.9618696758851402</v>
      </c>
      <c r="E38" s="2">
        <f t="shared" si="4"/>
        <v>1.9618696758851402</v>
      </c>
      <c r="F38" s="28">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28">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28">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28">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28">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28">
        <f t="shared" si="2"/>
        <v>-9.3504711474953095E-15</v>
      </c>
      <c r="H43" s="12" t="s">
        <v>103</v>
      </c>
      <c r="I43" s="12">
        <f>ROUND(C9,0)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223</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3180-748D-45D5-ABB2-56D435F0DD12}">
  <dimension ref="B1:S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264</v>
      </c>
    </row>
    <row r="2" spans="2:9" ht="15.75" thickBot="1">
      <c r="B2" s="2" t="s">
        <v>12</v>
      </c>
      <c r="C2" s="4">
        <v>1</v>
      </c>
      <c r="D2" s="2" t="s">
        <v>16</v>
      </c>
      <c r="G2" s="6" t="s">
        <v>36</v>
      </c>
    </row>
    <row r="3" spans="2:9" ht="15.75" thickBot="1">
      <c r="B3" s="2" t="s">
        <v>15</v>
      </c>
      <c r="C3" s="4">
        <v>10</v>
      </c>
      <c r="D3" s="2" t="s">
        <v>16</v>
      </c>
      <c r="G3" s="2" t="s">
        <v>9</v>
      </c>
      <c r="H3" s="4">
        <v>5</v>
      </c>
      <c r="I3" s="2" t="s">
        <v>18</v>
      </c>
    </row>
    <row r="4" spans="2:9" ht="15.75" thickBot="1">
      <c r="B4" s="2" t="s">
        <v>11</v>
      </c>
      <c r="C4" s="3">
        <f>H3/2</f>
        <v>2.5</v>
      </c>
      <c r="D4" s="2" t="s">
        <v>256</v>
      </c>
      <c r="G4" s="2" t="s">
        <v>10</v>
      </c>
      <c r="H4" s="5">
        <v>0</v>
      </c>
      <c r="I4" s="2" t="s">
        <v>19</v>
      </c>
    </row>
    <row r="5" spans="2:9" ht="15.75" thickBot="1">
      <c r="B5" s="2" t="s">
        <v>0</v>
      </c>
      <c r="C5" s="3">
        <f>(1-C6)*C4</f>
        <v>-25</v>
      </c>
      <c r="D5" s="2" t="s">
        <v>17</v>
      </c>
      <c r="G5" s="2" t="s">
        <v>31</v>
      </c>
      <c r="H5" s="4">
        <v>0</v>
      </c>
      <c r="I5" s="2" t="s">
        <v>32</v>
      </c>
    </row>
    <row r="6" spans="2:9" ht="15.75" thickBot="1">
      <c r="B6" s="2" t="s">
        <v>1</v>
      </c>
      <c r="C6" s="3">
        <f>1+C3/C2</f>
        <v>11</v>
      </c>
      <c r="D6" s="2" t="s">
        <v>39</v>
      </c>
    </row>
    <row r="7" spans="2:9" ht="15.75" thickBot="1">
      <c r="B7" s="2" t="s">
        <v>25</v>
      </c>
      <c r="C7" s="4">
        <v>0.1</v>
      </c>
      <c r="D7" s="2" t="s">
        <v>262</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$C$7*SIN($B10)+$C$4</f>
        <v>2.5</v>
      </c>
      <c r="D10" s="2">
        <f>$C$6*(C10-$C$4)+$C$4</f>
        <v>2.5</v>
      </c>
      <c r="E10" s="2">
        <f t="shared" ref="E10:E35" si="0">IF(D10&gt;($H$3-$H$5),($H$3-$H$5),IF(D10&lt;($H$4+$H$5),($H$4+$H$5),D10))</f>
        <v>2.5</v>
      </c>
      <c r="G10" s="6" t="s">
        <v>34</v>
      </c>
      <c r="H10" s="3">
        <f>IF($C$6*H9+(1-$C$6)*$C$4&gt;($H$3-$H$5),($H$3-$H$5),IF($C$6*H9+(1-$C$6)*$C$4&lt;($H$4+$H$5),($H$4+$H$5),$C$6*H9+(1-$C$6)*$C$4))</f>
        <v>0</v>
      </c>
      <c r="I10" s="2" t="s">
        <v>17</v>
      </c>
    </row>
    <row r="11" spans="2:9">
      <c r="B11" s="2">
        <v>0.1</v>
      </c>
      <c r="C11" s="2">
        <f t="shared" ref="C11:C35" si="1">$C$7*SIN($B11)+$C$4</f>
        <v>2.5099833416646828</v>
      </c>
      <c r="D11" s="2">
        <f t="shared" ref="D11:D35" si="2">$C$6*(C11-$C$4)+$C$4</f>
        <v>2.6098167583115113</v>
      </c>
      <c r="E11" s="2">
        <f t="shared" si="0"/>
        <v>2.6098167583115113</v>
      </c>
    </row>
    <row r="12" spans="2:9">
      <c r="B12" s="2">
        <v>0.2</v>
      </c>
      <c r="C12" s="2">
        <f t="shared" si="1"/>
        <v>2.519866933079506</v>
      </c>
      <c r="D12" s="2">
        <f t="shared" si="2"/>
        <v>2.7185362638745665</v>
      </c>
      <c r="E12" s="2">
        <f t="shared" si="0"/>
        <v>2.7185362638745665</v>
      </c>
    </row>
    <row r="13" spans="2:9">
      <c r="B13" s="2">
        <v>1.2</v>
      </c>
      <c r="C13" s="2">
        <f t="shared" si="1"/>
        <v>2.5932039085967227</v>
      </c>
      <c r="D13" s="2">
        <f t="shared" si="2"/>
        <v>3.5252429945639494</v>
      </c>
      <c r="E13" s="2">
        <f t="shared" si="0"/>
        <v>3.5252429945639494</v>
      </c>
    </row>
    <row r="14" spans="2:9">
      <c r="B14" s="2">
        <v>2.2000000000000002</v>
      </c>
      <c r="C14" s="2">
        <f t="shared" si="1"/>
        <v>2.5808496403819592</v>
      </c>
      <c r="D14" s="2">
        <f t="shared" si="2"/>
        <v>3.3893460442015511</v>
      </c>
      <c r="E14" s="2">
        <f t="shared" si="0"/>
        <v>3.3893460442015511</v>
      </c>
    </row>
    <row r="15" spans="2:9">
      <c r="B15" s="2">
        <v>3.2</v>
      </c>
      <c r="C15" s="2">
        <f t="shared" si="1"/>
        <v>2.494162585657242</v>
      </c>
      <c r="D15" s="2">
        <f t="shared" si="2"/>
        <v>2.4357884422296623</v>
      </c>
      <c r="E15" s="2">
        <f t="shared" si="0"/>
        <v>2.4357884422296623</v>
      </c>
    </row>
    <row r="16" spans="2:9">
      <c r="B16" s="2">
        <v>4.2</v>
      </c>
      <c r="C16" s="2">
        <f t="shared" si="1"/>
        <v>2.4128424227586414</v>
      </c>
      <c r="D16" s="2">
        <f t="shared" si="2"/>
        <v>1.5412666503450549</v>
      </c>
      <c r="E16" s="2">
        <f t="shared" si="0"/>
        <v>1.5412666503450549</v>
      </c>
    </row>
    <row r="17" spans="2:19">
      <c r="B17" s="2">
        <v>5.2</v>
      </c>
      <c r="C17" s="2">
        <f t="shared" si="1"/>
        <v>2.4116545344279845</v>
      </c>
      <c r="D17" s="2">
        <f t="shared" si="2"/>
        <v>1.5281998787078295</v>
      </c>
      <c r="E17" s="2">
        <f t="shared" si="0"/>
        <v>1.5281998787078295</v>
      </c>
    </row>
    <row r="18" spans="2:19">
      <c r="B18" s="2">
        <v>6.2</v>
      </c>
      <c r="C18" s="2">
        <f t="shared" si="1"/>
        <v>2.4916910597182502</v>
      </c>
      <c r="D18" s="2">
        <f t="shared" si="2"/>
        <v>2.4086016569007525</v>
      </c>
      <c r="E18" s="2">
        <f t="shared" si="0"/>
        <v>2.4086016569007525</v>
      </c>
    </row>
    <row r="19" spans="2:19">
      <c r="B19" s="2">
        <v>7.2</v>
      </c>
      <c r="C19" s="2">
        <f t="shared" si="1"/>
        <v>2.5793667863849152</v>
      </c>
      <c r="D19" s="2">
        <f t="shared" si="2"/>
        <v>3.3730346502340676</v>
      </c>
      <c r="E19" s="2">
        <f t="shared" si="0"/>
        <v>3.3730346502340676</v>
      </c>
    </row>
    <row r="20" spans="2:19">
      <c r="B20" s="2">
        <v>8.1999999999999993</v>
      </c>
      <c r="C20" s="2">
        <f t="shared" si="1"/>
        <v>2.5940730556679772</v>
      </c>
      <c r="D20" s="2">
        <f t="shared" si="2"/>
        <v>3.5348036123477491</v>
      </c>
      <c r="E20" s="2">
        <f t="shared" si="0"/>
        <v>3.5348036123477491</v>
      </c>
    </row>
    <row r="21" spans="2:19">
      <c r="B21" s="2">
        <v>9.1999999999999993</v>
      </c>
      <c r="C21" s="2">
        <f t="shared" si="1"/>
        <v>2.5222889914100248</v>
      </c>
      <c r="D21" s="2">
        <f t="shared" si="2"/>
        <v>2.7451789055102731</v>
      </c>
      <c r="E21" s="2">
        <f t="shared" si="0"/>
        <v>2.7451789055102731</v>
      </c>
    </row>
    <row r="22" spans="2:19">
      <c r="B22" s="2">
        <v>10.199999999999999</v>
      </c>
      <c r="C22" s="2">
        <f t="shared" si="1"/>
        <v>2.4300125312406458</v>
      </c>
      <c r="D22" s="2">
        <f t="shared" si="2"/>
        <v>1.7301378436471033</v>
      </c>
      <c r="E22" s="2">
        <f t="shared" si="0"/>
        <v>1.7301378436471033</v>
      </c>
    </row>
    <row r="23" spans="2:19">
      <c r="B23" s="2">
        <v>11.2</v>
      </c>
      <c r="C23" s="2">
        <f t="shared" si="1"/>
        <v>2.4020822270848683</v>
      </c>
      <c r="D23" s="2">
        <f t="shared" si="2"/>
        <v>1.4229044979335512</v>
      </c>
      <c r="E23" s="2">
        <f t="shared" si="0"/>
        <v>1.4229044979335512</v>
      </c>
    </row>
    <row r="24" spans="2:19">
      <c r="B24" s="2">
        <v>12.2</v>
      </c>
      <c r="C24" s="2">
        <f t="shared" si="1"/>
        <v>2.4641770717763172</v>
      </c>
      <c r="D24" s="2">
        <f t="shared" si="2"/>
        <v>2.1059477895394889</v>
      </c>
      <c r="E24" s="2">
        <f t="shared" si="0"/>
        <v>2.1059477895394889</v>
      </c>
      <c r="Q24" s="6"/>
      <c r="S24" s="6" t="s">
        <v>266</v>
      </c>
    </row>
    <row r="25" spans="2:19">
      <c r="B25" s="2">
        <v>13.2</v>
      </c>
      <c r="C25" s="2">
        <f t="shared" si="1"/>
        <v>2.5592073514707221</v>
      </c>
      <c r="D25" s="2">
        <f t="shared" si="2"/>
        <v>3.151280866177943</v>
      </c>
      <c r="E25" s="2">
        <f t="shared" si="0"/>
        <v>3.151280866177943</v>
      </c>
    </row>
    <row r="26" spans="2:19">
      <c r="B26" s="2">
        <v>14.2</v>
      </c>
      <c r="C26" s="2">
        <f t="shared" si="1"/>
        <v>2.5998026652716364</v>
      </c>
      <c r="D26" s="2">
        <f t="shared" si="2"/>
        <v>3.5978293179880003</v>
      </c>
      <c r="E26" s="2">
        <f t="shared" si="0"/>
        <v>3.5978293179880003</v>
      </c>
      <c r="N26" s="2" t="s">
        <v>257</v>
      </c>
    </row>
    <row r="27" spans="2:19">
      <c r="B27" s="2">
        <v>15.2</v>
      </c>
      <c r="C27" s="2">
        <f t="shared" si="1"/>
        <v>2.5486398688853802</v>
      </c>
      <c r="D27" s="2">
        <f t="shared" si="2"/>
        <v>3.0350385577391821</v>
      </c>
      <c r="E27" s="2">
        <f t="shared" si="0"/>
        <v>3.0350385577391821</v>
      </c>
    </row>
    <row r="28" spans="2:19">
      <c r="B28" s="2">
        <v>16.2</v>
      </c>
      <c r="C28" s="2">
        <f t="shared" si="1"/>
        <v>2.4527578013601534</v>
      </c>
      <c r="D28" s="2">
        <f t="shared" si="2"/>
        <v>1.9803358149616876</v>
      </c>
      <c r="E28" s="2">
        <f t="shared" si="0"/>
        <v>1.9803358149616876</v>
      </c>
      <c r="N28" s="6" t="s">
        <v>258</v>
      </c>
    </row>
    <row r="29" spans="2:19">
      <c r="B29" s="2">
        <v>17.2</v>
      </c>
      <c r="C29" s="2">
        <f t="shared" si="1"/>
        <v>2.4003099933958403</v>
      </c>
      <c r="D29" s="2">
        <f t="shared" si="2"/>
        <v>1.4034099273542431</v>
      </c>
      <c r="E29" s="2">
        <f t="shared" si="0"/>
        <v>1.4034099273542431</v>
      </c>
      <c r="G29" s="6" t="s">
        <v>65</v>
      </c>
      <c r="N29" s="2" t="s">
        <v>259</v>
      </c>
    </row>
    <row r="30" spans="2:19">
      <c r="B30" s="2">
        <v>18.2</v>
      </c>
      <c r="C30" s="2">
        <f t="shared" si="1"/>
        <v>2.4395167177593717</v>
      </c>
      <c r="D30" s="2">
        <f t="shared" si="2"/>
        <v>1.8346838953530891</v>
      </c>
      <c r="E30" s="2">
        <f t="shared" si="0"/>
        <v>1.8346838953530891</v>
      </c>
      <c r="G30" s="12" t="s">
        <v>64</v>
      </c>
      <c r="H30" s="12">
        <f>H3</f>
        <v>5</v>
      </c>
      <c r="I30" s="12" t="s">
        <v>17</v>
      </c>
      <c r="J30" s="13" t="str">
        <f>TRIM(G30)&amp;"   "&amp;IF(H30&gt;0,"+","")&amp;TRIM(H30)&amp;" "&amp;TRIM(I30)</f>
        <v>V+:   +5 V</v>
      </c>
      <c r="N30" s="2" t="s">
        <v>260</v>
      </c>
    </row>
    <row r="31" spans="2:19">
      <c r="B31" s="2">
        <v>19.2</v>
      </c>
      <c r="C31" s="2">
        <f t="shared" si="1"/>
        <v>2.5343314928819893</v>
      </c>
      <c r="D31" s="2">
        <f t="shared" si="2"/>
        <v>2.8776464217018827</v>
      </c>
      <c r="E31" s="2">
        <f t="shared" si="0"/>
        <v>2.8776464217018827</v>
      </c>
      <c r="G31" s="12" t="s">
        <v>66</v>
      </c>
      <c r="H31" s="12">
        <f>H4</f>
        <v>0</v>
      </c>
      <c r="I31" s="12" t="s">
        <v>17</v>
      </c>
      <c r="J31" s="13" t="str">
        <f t="shared" ref="J31:J32" si="3">TRIM(G31)&amp;"   "&amp;IF(H31&gt;0,"+","")&amp;TRIM(H31)&amp;" "&amp;TRIM(I31)</f>
        <v>V-:   0 V</v>
      </c>
      <c r="N31" s="2" t="s">
        <v>261</v>
      </c>
    </row>
    <row r="32" spans="2:19">
      <c r="B32" s="2">
        <v>20.2</v>
      </c>
      <c r="C32" s="2">
        <f t="shared" si="1"/>
        <v>2.5975820517766977</v>
      </c>
      <c r="D32" s="2">
        <f t="shared" si="2"/>
        <v>3.5734025695436742</v>
      </c>
      <c r="E32" s="2">
        <f t="shared" si="0"/>
        <v>3.5734025695436742</v>
      </c>
      <c r="G32" s="12" t="s">
        <v>29</v>
      </c>
      <c r="H32" s="12">
        <f>H9</f>
        <v>-2.5</v>
      </c>
      <c r="I32" s="12" t="s">
        <v>17</v>
      </c>
      <c r="J32" s="13" t="str">
        <f t="shared" si="3"/>
        <v>Vin:   -2.5 V</v>
      </c>
    </row>
    <row r="33" spans="2:10">
      <c r="B33" s="2">
        <v>21.2</v>
      </c>
      <c r="C33" s="2">
        <f t="shared" si="1"/>
        <v>2.571116122290598</v>
      </c>
      <c r="D33" s="2">
        <f t="shared" si="2"/>
        <v>3.2822773451965785</v>
      </c>
      <c r="E33" s="2">
        <f t="shared" si="0"/>
        <v>3.2822773451965785</v>
      </c>
      <c r="G33" s="12" t="s">
        <v>69</v>
      </c>
      <c r="H33" s="12">
        <f>C4</f>
        <v>2.5</v>
      </c>
      <c r="I33" s="12" t="s">
        <v>17</v>
      </c>
      <c r="J33" s="13" t="str">
        <f>TRIM(G33)&amp;"   "&amp;TRIM(H33)&amp;" "&amp;TRIM(I33)</f>
        <v>Vb:   2.5 V</v>
      </c>
    </row>
    <row r="34" spans="2:10">
      <c r="B34" s="2">
        <v>22.2</v>
      </c>
      <c r="C34" s="2">
        <f t="shared" si="1"/>
        <v>2.4792663579393239</v>
      </c>
      <c r="D34" s="2">
        <f t="shared" si="2"/>
        <v>2.2719299373325632</v>
      </c>
      <c r="E34" s="2">
        <f t="shared" si="0"/>
        <v>2.2719299373325632</v>
      </c>
      <c r="G34" s="12" t="s">
        <v>67</v>
      </c>
      <c r="H34" s="12">
        <f>C2</f>
        <v>1</v>
      </c>
      <c r="I34" s="12" t="s">
        <v>16</v>
      </c>
      <c r="J34" s="13" t="str">
        <f>TRIM(G34)&amp;"   "&amp;TRIM(H34)&amp;" "&amp;TRIM(I34)</f>
        <v>R1:   1 K</v>
      </c>
    </row>
    <row r="35" spans="2:10">
      <c r="B35" s="2">
        <v>23.2</v>
      </c>
      <c r="C35" s="2">
        <f t="shared" si="1"/>
        <v>2.4064790084805461</v>
      </c>
      <c r="D35" s="2">
        <f t="shared" si="2"/>
        <v>1.4712690932860069</v>
      </c>
      <c r="E35" s="2">
        <f t="shared" si="0"/>
        <v>1.4712690932860069</v>
      </c>
      <c r="G35" s="12" t="s">
        <v>68</v>
      </c>
      <c r="H35" s="12">
        <f>C3</f>
        <v>10</v>
      </c>
      <c r="I35" s="12" t="s">
        <v>16</v>
      </c>
      <c r="J35" s="13" t="str">
        <f>TRIM(G35)&amp;"   "&amp;TRIM(H35)&amp;" "&amp;TRIM(I35)</f>
        <v>RF:   10 K</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T43"/>
  <sheetViews>
    <sheetView topLeftCell="A3"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0" ht="47.25" thickBot="1">
      <c r="B1" s="1" t="s">
        <v>47</v>
      </c>
    </row>
    <row r="2" spans="2:20" ht="15.75" thickBot="1">
      <c r="B2" s="2" t="s">
        <v>12</v>
      </c>
      <c r="C2" s="4">
        <v>1</v>
      </c>
      <c r="D2" s="2" t="s">
        <v>16</v>
      </c>
      <c r="G2" s="6" t="s">
        <v>36</v>
      </c>
    </row>
    <row r="3" spans="2:20" ht="15.75" thickBot="1">
      <c r="B3" s="2" t="s">
        <v>13</v>
      </c>
      <c r="C3" s="4">
        <v>1</v>
      </c>
      <c r="D3" s="2" t="s">
        <v>16</v>
      </c>
      <c r="G3" s="2" t="s">
        <v>9</v>
      </c>
      <c r="H3" s="4">
        <v>12</v>
      </c>
      <c r="I3" s="2" t="s">
        <v>18</v>
      </c>
    </row>
    <row r="4" spans="2:20" ht="15.75" thickBot="1">
      <c r="B4" s="2" t="s">
        <v>14</v>
      </c>
      <c r="C4" s="4">
        <v>1</v>
      </c>
      <c r="D4" s="2" t="s">
        <v>16</v>
      </c>
      <c r="G4" s="2" t="s">
        <v>10</v>
      </c>
      <c r="H4" s="5">
        <v>-12</v>
      </c>
      <c r="I4" s="2" t="s">
        <v>19</v>
      </c>
      <c r="T4" s="2" t="s">
        <v>254</v>
      </c>
    </row>
    <row r="5" spans="2:20" ht="15.75" thickBot="1">
      <c r="B5" s="2" t="s">
        <v>15</v>
      </c>
      <c r="C5" s="4">
        <v>1</v>
      </c>
      <c r="D5" s="2" t="s">
        <v>16</v>
      </c>
      <c r="G5" s="2" t="s">
        <v>31</v>
      </c>
      <c r="H5" s="4">
        <v>1.3</v>
      </c>
      <c r="I5" s="2" t="s">
        <v>32</v>
      </c>
      <c r="T5" s="2" t="s">
        <v>255</v>
      </c>
    </row>
    <row r="6" spans="2:20" ht="15.75" thickBot="1">
      <c r="B6" s="2" t="s">
        <v>48</v>
      </c>
      <c r="C6" s="4">
        <v>1</v>
      </c>
      <c r="D6" s="2" t="s">
        <v>17</v>
      </c>
    </row>
    <row r="7" spans="2:20" ht="15.75" thickBot="1">
      <c r="B7" s="2" t="s">
        <v>1</v>
      </c>
      <c r="C7" s="3">
        <f>-C5/C2</f>
        <v>-1</v>
      </c>
      <c r="D7" s="2" t="s">
        <v>39</v>
      </c>
    </row>
    <row r="8" spans="2:20" ht="15.75" thickBot="1">
      <c r="B8" s="2" t="s">
        <v>51</v>
      </c>
      <c r="C8" s="4">
        <v>1</v>
      </c>
      <c r="D8" s="2" t="s">
        <v>52</v>
      </c>
    </row>
    <row r="9" spans="2:20" ht="15.75" thickBot="1">
      <c r="G9" s="6" t="s">
        <v>57</v>
      </c>
    </row>
    <row r="10" spans="2:20" ht="15.75" thickBot="1">
      <c r="E10" s="6" t="s">
        <v>30</v>
      </c>
      <c r="G10" s="6" t="s">
        <v>48</v>
      </c>
      <c r="H10" s="4">
        <v>5.7</v>
      </c>
      <c r="I10" s="2" t="s">
        <v>17</v>
      </c>
    </row>
    <row r="11" spans="2:20" ht="15.75" thickBot="1">
      <c r="B11" s="7" t="s">
        <v>6</v>
      </c>
      <c r="C11" s="7" t="s">
        <v>50</v>
      </c>
      <c r="D11" s="7" t="s">
        <v>3</v>
      </c>
      <c r="E11" s="7" t="s">
        <v>3</v>
      </c>
      <c r="G11" s="6" t="s">
        <v>50</v>
      </c>
      <c r="H11" s="4">
        <v>7.8</v>
      </c>
      <c r="I11" s="2" t="s">
        <v>17</v>
      </c>
    </row>
    <row r="12" spans="2:20">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20">
      <c r="B13" s="2">
        <v>0.1</v>
      </c>
      <c r="C13" s="2">
        <f t="shared" si="0"/>
        <v>9.9833416646828155E-2</v>
      </c>
      <c r="D13" s="2">
        <f t="shared" si="1"/>
        <v>0.90016658335317179</v>
      </c>
      <c r="E13" s="2">
        <f t="shared" si="2"/>
        <v>0.90016658335317179</v>
      </c>
    </row>
    <row r="14" spans="2:20">
      <c r="B14" s="2">
        <v>0.2</v>
      </c>
      <c r="C14" s="2">
        <f t="shared" si="0"/>
        <v>0.19866933079506122</v>
      </c>
      <c r="D14" s="2">
        <f t="shared" si="1"/>
        <v>0.80133066920493878</v>
      </c>
      <c r="E14" s="2">
        <f t="shared" si="2"/>
        <v>0.80133066920493878</v>
      </c>
    </row>
    <row r="15" spans="2:20">
      <c r="B15" s="2">
        <v>1.2</v>
      </c>
      <c r="C15" s="2">
        <f t="shared" si="0"/>
        <v>0.93203908596722629</v>
      </c>
      <c r="D15" s="2">
        <f t="shared" si="1"/>
        <v>6.7960914032773712E-2</v>
      </c>
      <c r="E15" s="2">
        <f t="shared" si="2"/>
        <v>6.7960914032773712E-2</v>
      </c>
    </row>
    <row r="16" spans="2:20">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topLeftCell="A3"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6" spans="2:9" ht="15.75" thickBot="1">
      <c r="B6" s="2" t="s">
        <v>1</v>
      </c>
      <c r="C6" s="3">
        <f>-C4/C2</f>
        <v>-3</v>
      </c>
      <c r="D6" s="2" t="s">
        <v>39</v>
      </c>
    </row>
    <row r="7" spans="2:9" ht="15.75" thickBot="1">
      <c r="B7" s="2" t="s">
        <v>62</v>
      </c>
      <c r="C7" s="4">
        <v>1</v>
      </c>
      <c r="D7"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topLeftCell="A2"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234</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Normal="100" workbookViewId="0">
      <selection activeCell="C4" sqref="C4"/>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109</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Normal="100" workbookViewId="0">
      <selection activeCell="C4" sqref="C4"/>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205</v>
      </c>
    </row>
    <row r="2" spans="2:9" ht="15.75" thickBot="1">
      <c r="B2" s="2" t="s">
        <v>200</v>
      </c>
      <c r="C2" s="4">
        <v>2</v>
      </c>
      <c r="D2" s="2" t="s">
        <v>204</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207</v>
      </c>
    </row>
    <row r="2" spans="2:9" ht="15.75" thickBot="1">
      <c r="B2" s="2" t="s">
        <v>200</v>
      </c>
      <c r="C2" s="4">
        <v>10</v>
      </c>
      <c r="D2" s="2" t="s">
        <v>204</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Normal="100" workbookViewId="0">
      <selection activeCell="B3" sqref="B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216</v>
      </c>
      <c r="J5" s="19" t="s">
        <v>130</v>
      </c>
      <c r="K5" s="19" t="s">
        <v>128</v>
      </c>
      <c r="L5" s="19"/>
    </row>
    <row r="6" spans="2:12" ht="114" customHeight="1">
      <c r="B6" s="23" t="s">
        <v>145</v>
      </c>
      <c r="C6" s="19" t="s">
        <v>144</v>
      </c>
      <c r="D6" s="24">
        <v>4</v>
      </c>
      <c r="E6" s="19" t="s">
        <v>146</v>
      </c>
      <c r="F6" s="19" t="s">
        <v>166</v>
      </c>
      <c r="G6" s="19" t="s">
        <v>122</v>
      </c>
      <c r="H6" s="19" t="s">
        <v>126</v>
      </c>
      <c r="I6" s="19" t="s">
        <v>216</v>
      </c>
      <c r="J6" s="19" t="s">
        <v>148</v>
      </c>
      <c r="K6" s="19" t="s">
        <v>147</v>
      </c>
      <c r="L6" s="19"/>
    </row>
    <row r="7" spans="2:12" ht="114" customHeight="1">
      <c r="B7" s="23" t="s">
        <v>210</v>
      </c>
      <c r="C7" s="19" t="s">
        <v>208</v>
      </c>
      <c r="D7" s="24">
        <v>1</v>
      </c>
      <c r="E7" s="19" t="s">
        <v>209</v>
      </c>
      <c r="F7" s="19" t="s">
        <v>215</v>
      </c>
      <c r="G7" s="19" t="s">
        <v>211</v>
      </c>
      <c r="H7" s="19" t="s">
        <v>212</v>
      </c>
      <c r="I7" s="19" t="s">
        <v>216</v>
      </c>
      <c r="J7" s="19" t="s">
        <v>213</v>
      </c>
      <c r="K7" s="19" t="s">
        <v>214</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235</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231</v>
      </c>
    </row>
    <row r="2" spans="2:9" ht="15.75" thickBot="1">
      <c r="B2" s="2" t="s">
        <v>12</v>
      </c>
      <c r="C2" s="4">
        <v>5</v>
      </c>
      <c r="D2" s="2" t="s">
        <v>16</v>
      </c>
      <c r="G2" s="6" t="s">
        <v>36</v>
      </c>
    </row>
    <row r="3" spans="2:9" ht="15.75" thickBot="1">
      <c r="B3" s="2" t="s">
        <v>13</v>
      </c>
      <c r="C3" s="4">
        <v>1</v>
      </c>
      <c r="D3" s="2" t="s">
        <v>16</v>
      </c>
      <c r="G3" s="2" t="s">
        <v>9</v>
      </c>
      <c r="H3" s="4">
        <v>5</v>
      </c>
      <c r="I3" s="2" t="s">
        <v>18</v>
      </c>
    </row>
    <row r="4" spans="2:9" ht="15.75" thickBot="1">
      <c r="B4" s="2" t="s">
        <v>0</v>
      </c>
      <c r="C4" s="3">
        <v>0</v>
      </c>
      <c r="D4" s="2" t="s">
        <v>17</v>
      </c>
      <c r="G4" s="2" t="s">
        <v>10</v>
      </c>
      <c r="H4" s="5">
        <v>0</v>
      </c>
      <c r="I4" s="2" t="s">
        <v>19</v>
      </c>
    </row>
    <row r="5" spans="2:9" ht="15.75" thickBot="1">
      <c r="B5" s="2" t="s">
        <v>1</v>
      </c>
      <c r="C5" s="3">
        <f>C3/(C2+C3)</f>
        <v>0.16666666666666666</v>
      </c>
      <c r="D5" s="2" t="s">
        <v>39</v>
      </c>
      <c r="G5" s="2" t="s">
        <v>31</v>
      </c>
      <c r="H5" s="4">
        <v>1.3</v>
      </c>
      <c r="I5" s="2" t="s">
        <v>32</v>
      </c>
    </row>
    <row r="6" spans="2:9" ht="15.75" thickBot="1">
      <c r="B6" s="2" t="s">
        <v>25</v>
      </c>
      <c r="C6" s="4">
        <v>12</v>
      </c>
      <c r="D6"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topLeftCell="A3" zoomScaleNormal="100" workbookViewId="0">
      <selection activeCell="C4" sqref="C4"/>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236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217</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105</v>
      </c>
    </row>
    <row r="12" spans="2:26" ht="15.75" thickBot="1">
      <c r="B12" s="2" t="s">
        <v>81</v>
      </c>
      <c r="C12" s="3">
        <f>1/(2*PI()*(C3*1000)*(C4*0.000001))</f>
        <v>1591.5494309189537</v>
      </c>
      <c r="D12" s="2" t="s">
        <v>80</v>
      </c>
      <c r="H12" s="17" t="s">
        <v>106</v>
      </c>
      <c r="I12" s="3">
        <f>1000*(C3*1000)*(C4*0.000001)</f>
        <v>9.9999999999999992E-2</v>
      </c>
      <c r="J12" s="2" t="s">
        <v>107</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28" t="s">
        <v>221</v>
      </c>
      <c r="G16" s="28"/>
    </row>
    <row r="17" spans="2:18">
      <c r="B17" s="2">
        <v>0</v>
      </c>
      <c r="C17" s="2">
        <f>$C$9*SIN($B17*$C$10*2*PI())</f>
        <v>0</v>
      </c>
      <c r="D17" s="2">
        <f>C17*(1/(SQRT(1+($C$10/$C$12)^2)))</f>
        <v>0</v>
      </c>
      <c r="E17" s="2">
        <f t="shared" ref="E17:E42" si="0">IF(D17&gt;($I$3-$I$5),($I$3-$I$5),IF(D17&lt;($I$4+$I$5),($I$4+$I$5),D17))</f>
        <v>0</v>
      </c>
      <c r="F17" s="28">
        <f>C17*$C$5/SQRT($C$5^2+($C$3*1000)^2)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28">
        <f>C18*$C$5/SQRT($C$5^2+($C$3*1000)^2)</f>
        <v>8.40137686607354E-2</v>
      </c>
    </row>
    <row r="19" spans="2:18">
      <c r="B19" s="2">
        <f t="shared" ref="B19:B42" si="3">B18+$C$14</f>
        <v>2.0106192982974673E-5</v>
      </c>
      <c r="C19" s="2">
        <f t="shared" si="1"/>
        <v>0.90482705246601947</v>
      </c>
      <c r="D19" s="2">
        <f t="shared" si="2"/>
        <v>9.0033656791177447E-2</v>
      </c>
      <c r="E19" s="2">
        <f t="shared" si="0"/>
        <v>9.0033656791177447E-2</v>
      </c>
      <c r="F19" s="28">
        <f>C19*$C$5/SQRT($C$5^2+($C$3*1000)^2)</f>
        <v>9.0033656791177433E-2</v>
      </c>
    </row>
    <row r="20" spans="2:18">
      <c r="B20" s="2">
        <f t="shared" si="3"/>
        <v>3.015928947446201E-5</v>
      </c>
      <c r="C20" s="2">
        <f t="shared" si="1"/>
        <v>0.12533323356430454</v>
      </c>
      <c r="D20" s="2">
        <f t="shared" si="2"/>
        <v>1.2471122856575789E-2</v>
      </c>
      <c r="E20" s="2">
        <f t="shared" si="0"/>
        <v>1.2471122856575789E-2</v>
      </c>
      <c r="F20" s="28">
        <f>C20*$C$5/SQRT($C$5^2+($C$3*1000)^2)</f>
        <v>1.2471122856575787E-2</v>
      </c>
    </row>
    <row r="21" spans="2:18">
      <c r="B21" s="2">
        <f t="shared" si="3"/>
        <v>4.0212385965949346E-5</v>
      </c>
      <c r="C21" s="2">
        <f t="shared" si="1"/>
        <v>-0.77051324277578936</v>
      </c>
      <c r="D21" s="2">
        <f t="shared" si="2"/>
        <v>-7.6668933211120865E-2</v>
      </c>
      <c r="E21" s="2">
        <f t="shared" si="0"/>
        <v>-7.6668933211120865E-2</v>
      </c>
      <c r="F21" s="28">
        <f>C21*$C$5/SQRT($C$5^2+($C$3*1000)^2)</f>
        <v>-7.6668933211120865E-2</v>
      </c>
    </row>
    <row r="22" spans="2:18" ht="15.75">
      <c r="B22" s="2">
        <f t="shared" si="3"/>
        <v>5.026548245743668E-5</v>
      </c>
      <c r="C22" s="2">
        <f t="shared" si="1"/>
        <v>-0.95105651629515364</v>
      </c>
      <c r="D22" s="2">
        <f t="shared" si="2"/>
        <v>-9.4633660370523051E-2</v>
      </c>
      <c r="E22" s="2">
        <f t="shared" si="0"/>
        <v>-9.4633660370523051E-2</v>
      </c>
      <c r="F22" s="28">
        <f>C22*$C$5/SQRT($C$5^2+($C$3*1000)^2)</f>
        <v>-9.4633660370523037E-2</v>
      </c>
      <c r="Q22" s="26"/>
      <c r="R22" s="26"/>
    </row>
    <row r="23" spans="2:18" ht="15.75">
      <c r="B23" s="2">
        <f t="shared" si="3"/>
        <v>6.0318578948924013E-5</v>
      </c>
      <c r="C23" s="2">
        <f t="shared" si="1"/>
        <v>-0.24868988716485621</v>
      </c>
      <c r="D23" s="2">
        <f t="shared" si="2"/>
        <v>-2.4745568655815776E-2</v>
      </c>
      <c r="E23" s="2">
        <f t="shared" si="0"/>
        <v>-2.4745568655815776E-2</v>
      </c>
      <c r="F23" s="28">
        <f>C23*$C$5/SQRT($C$5^2+($C$3*1000)^2)</f>
        <v>-2.4745568655815772E-2</v>
      </c>
      <c r="Q23" s="26"/>
      <c r="R23" s="26"/>
    </row>
    <row r="24" spans="2:18">
      <c r="B24" s="2">
        <f t="shared" si="3"/>
        <v>7.0371675440411346E-5</v>
      </c>
      <c r="C24" s="2">
        <f t="shared" si="1"/>
        <v>0.68454710592868795</v>
      </c>
      <c r="D24" s="2">
        <f t="shared" si="2"/>
        <v>6.8114982884966147E-2</v>
      </c>
      <c r="E24" s="2">
        <f t="shared" si="0"/>
        <v>6.8114982884966147E-2</v>
      </c>
      <c r="F24" s="28">
        <f>C24*$C$5/SQRT($C$5^2+($C$3*1000)^2)</f>
        <v>6.8114982884966133E-2</v>
      </c>
    </row>
    <row r="25" spans="2:18">
      <c r="B25" s="2">
        <f t="shared" si="3"/>
        <v>8.0424771931898679E-5</v>
      </c>
      <c r="C25" s="2">
        <f t="shared" si="1"/>
        <v>0.98228725072868894</v>
      </c>
      <c r="D25" s="2">
        <f t="shared" si="2"/>
        <v>9.774123459441697E-2</v>
      </c>
      <c r="E25" s="2">
        <f t="shared" si="0"/>
        <v>9.774123459441697E-2</v>
      </c>
      <c r="F25" s="28">
        <f>C25*$C$5/SQRT($C$5^2+($C$3*1000)^2)</f>
        <v>9.774123459441697E-2</v>
      </c>
    </row>
    <row r="26" spans="2:18">
      <c r="B26" s="2">
        <f t="shared" si="3"/>
        <v>9.0477868423386013E-5</v>
      </c>
      <c r="C26" s="2">
        <f t="shared" si="1"/>
        <v>0.36812455268467958</v>
      </c>
      <c r="D26" s="2">
        <f t="shared" si="2"/>
        <v>3.6629762055067266E-2</v>
      </c>
      <c r="E26" s="2">
        <f t="shared" si="0"/>
        <v>3.6629762055067266E-2</v>
      </c>
      <c r="F26" s="28">
        <f>C26*$C$5/SQRT($C$5^2+($C$3*1000)^2)</f>
        <v>3.662976205506726E-2</v>
      </c>
    </row>
    <row r="27" spans="2:18">
      <c r="B27" s="2">
        <f t="shared" si="3"/>
        <v>1.0053096491487335E-4</v>
      </c>
      <c r="C27" s="2">
        <f t="shared" si="1"/>
        <v>-0.58778525229247136</v>
      </c>
      <c r="D27" s="2">
        <f t="shared" si="2"/>
        <v>-5.8486818588797028E-2</v>
      </c>
      <c r="E27" s="2">
        <f t="shared" si="0"/>
        <v>-5.8486818588797028E-2</v>
      </c>
      <c r="F27" s="28">
        <f>C27*$C$5/SQRT($C$5^2+($C$3*1000)^2)</f>
        <v>-5.8486818588797021E-2</v>
      </c>
    </row>
    <row r="28" spans="2:18">
      <c r="B28" s="2">
        <f t="shared" si="3"/>
        <v>1.1058406140636068E-4</v>
      </c>
      <c r="C28" s="2">
        <f t="shared" si="1"/>
        <v>-0.99802672842827167</v>
      </c>
      <c r="D28" s="2">
        <f t="shared" si="2"/>
        <v>-9.9307371160973532E-2</v>
      </c>
      <c r="E28" s="2">
        <f t="shared" si="0"/>
        <v>-9.9307371160973532E-2</v>
      </c>
      <c r="F28" s="28">
        <f>C28*$C$5/SQRT($C$5^2+($C$3*1000)^2)</f>
        <v>-9.9307371160973518E-2</v>
      </c>
    </row>
    <row r="29" spans="2:18">
      <c r="B29" s="2">
        <f t="shared" si="3"/>
        <v>1.2063715789784801E-4</v>
      </c>
      <c r="C29" s="2">
        <f t="shared" si="1"/>
        <v>-0.48175367410171788</v>
      </c>
      <c r="D29" s="2">
        <f t="shared" si="2"/>
        <v>-4.7936282225151221E-2</v>
      </c>
      <c r="E29" s="2">
        <f t="shared" si="0"/>
        <v>-4.7936282225151221E-2</v>
      </c>
      <c r="F29" s="28">
        <f>C29*$C$5/SQRT($C$5^2+($C$3*1000)^2)</f>
        <v>-4.7936282225151214E-2</v>
      </c>
    </row>
    <row r="30" spans="2:18">
      <c r="B30" s="2">
        <f t="shared" si="3"/>
        <v>1.3069025438933535E-4</v>
      </c>
      <c r="C30" s="2">
        <f t="shared" si="1"/>
        <v>0.48175367410171233</v>
      </c>
      <c r="D30" s="2">
        <f t="shared" si="2"/>
        <v>4.7936282225150666E-2</v>
      </c>
      <c r="E30" s="2">
        <f t="shared" si="0"/>
        <v>4.7936282225150666E-2</v>
      </c>
      <c r="F30" s="28">
        <f>C30*$C$5/SQRT($C$5^2+($C$3*1000)^2)</f>
        <v>4.7936282225150659E-2</v>
      </c>
    </row>
    <row r="31" spans="2:18">
      <c r="B31" s="2">
        <f t="shared" si="3"/>
        <v>1.4074335088082269E-4</v>
      </c>
      <c r="C31" s="2">
        <f t="shared" si="1"/>
        <v>0.99802672842827145</v>
      </c>
      <c r="D31" s="2">
        <f t="shared" si="2"/>
        <v>9.9307371160973518E-2</v>
      </c>
      <c r="E31" s="2">
        <f t="shared" si="0"/>
        <v>9.9307371160973518E-2</v>
      </c>
      <c r="F31" s="28">
        <f>C31*$C$5/SQRT($C$5^2+($C$3*1000)^2)</f>
        <v>9.9307371160973504E-2</v>
      </c>
    </row>
    <row r="32" spans="2:18">
      <c r="B32" s="2">
        <f t="shared" si="3"/>
        <v>1.5079644737231004E-4</v>
      </c>
      <c r="C32" s="2">
        <f t="shared" si="1"/>
        <v>0.58778525229247358</v>
      </c>
      <c r="D32" s="2">
        <f t="shared" si="2"/>
        <v>5.848681858879725E-2</v>
      </c>
      <c r="E32" s="2">
        <f t="shared" si="0"/>
        <v>5.848681858879725E-2</v>
      </c>
      <c r="F32" s="28">
        <f>C32*$C$5/SQRT($C$5^2+($C$3*1000)^2)</f>
        <v>5.8486818588797243E-2</v>
      </c>
    </row>
    <row r="33" spans="2:11">
      <c r="B33" s="2">
        <f t="shared" si="3"/>
        <v>1.6084954386379739E-4</v>
      </c>
      <c r="C33" s="2">
        <f t="shared" si="1"/>
        <v>-0.3681245526846787</v>
      </c>
      <c r="D33" s="2">
        <f t="shared" si="2"/>
        <v>-3.6629762055067183E-2</v>
      </c>
      <c r="E33" s="2">
        <f t="shared" si="0"/>
        <v>-3.6629762055067183E-2</v>
      </c>
      <c r="F33" s="28">
        <f>C33*$C$5/SQRT($C$5^2+($C$3*1000)^2)</f>
        <v>-3.6629762055067176E-2</v>
      </c>
    </row>
    <row r="34" spans="2:11">
      <c r="B34" s="2">
        <f t="shared" si="3"/>
        <v>1.7090264035528473E-4</v>
      </c>
      <c r="C34" s="2">
        <f t="shared" si="1"/>
        <v>-0.98228725072868905</v>
      </c>
      <c r="D34" s="2">
        <f t="shared" si="2"/>
        <v>-9.7741234594416984E-2</v>
      </c>
      <c r="E34" s="2">
        <f t="shared" si="0"/>
        <v>-9.7741234594416984E-2</v>
      </c>
      <c r="F34" s="28">
        <f>C34*$C$5/SQRT($C$5^2+($C$3*1000)^2)</f>
        <v>-9.7741234594416984E-2</v>
      </c>
    </row>
    <row r="35" spans="2:11">
      <c r="B35" s="2">
        <f t="shared" si="3"/>
        <v>1.8095573684677208E-4</v>
      </c>
      <c r="C35" s="2">
        <f t="shared" si="1"/>
        <v>-0.68454710592868862</v>
      </c>
      <c r="D35" s="2">
        <f t="shared" si="2"/>
        <v>-6.8114982884966216E-2</v>
      </c>
      <c r="E35" s="2">
        <f t="shared" si="0"/>
        <v>-6.8114982884966216E-2</v>
      </c>
      <c r="F35" s="28">
        <f>C35*$C$5/SQRT($C$5^2+($C$3*1000)^2)</f>
        <v>-6.8114982884966202E-2</v>
      </c>
    </row>
    <row r="36" spans="2:11">
      <c r="B36" s="2">
        <f t="shared" si="3"/>
        <v>1.9100883333825943E-4</v>
      </c>
      <c r="C36" s="2">
        <f t="shared" si="1"/>
        <v>0.24868988716485613</v>
      </c>
      <c r="D36" s="2">
        <f t="shared" si="2"/>
        <v>2.4745568655815769E-2</v>
      </c>
      <c r="E36" s="2">
        <f t="shared" si="0"/>
        <v>2.4745568655815769E-2</v>
      </c>
      <c r="F36" s="28">
        <f>C36*$C$5/SQRT($C$5^2+($C$3*1000)^2)</f>
        <v>2.4745568655815765E-2</v>
      </c>
      <c r="H36" s="6" t="s">
        <v>65</v>
      </c>
    </row>
    <row r="37" spans="2:11">
      <c r="B37" s="2">
        <f t="shared" si="3"/>
        <v>2.0106192982974677E-4</v>
      </c>
      <c r="C37" s="2">
        <f t="shared" si="1"/>
        <v>0.95105651629515442</v>
      </c>
      <c r="D37" s="2">
        <f t="shared" si="2"/>
        <v>9.4633660370523121E-2</v>
      </c>
      <c r="E37" s="2">
        <f t="shared" si="0"/>
        <v>9.4633660370523121E-2</v>
      </c>
      <c r="F37" s="28">
        <f>C37*$C$5/SQRT($C$5^2+($C$3*1000)^2)</f>
        <v>9.4633660370523121E-2</v>
      </c>
      <c r="H37" s="12" t="s">
        <v>64</v>
      </c>
      <c r="I37" s="12">
        <f>I3</f>
        <v>5</v>
      </c>
      <c r="J37" s="12" t="s">
        <v>17</v>
      </c>
      <c r="K37" s="13" t="str">
        <f>TRIM(H37)&amp;"   "&amp;IF(I37&gt;0,"+","")&amp;TRIM(I37)&amp;" "&amp;TRIM(J37)</f>
        <v>V+:   +5 V</v>
      </c>
    </row>
    <row r="38" spans="2:11">
      <c r="B38" s="2">
        <f t="shared" si="3"/>
        <v>2.1111502632123412E-4</v>
      </c>
      <c r="C38" s="2">
        <f t="shared" si="1"/>
        <v>0.77051324277578659</v>
      </c>
      <c r="D38" s="2">
        <f t="shared" si="2"/>
        <v>7.6668933211120588E-2</v>
      </c>
      <c r="E38" s="2">
        <f t="shared" si="0"/>
        <v>7.6668933211120588E-2</v>
      </c>
      <c r="F38" s="28">
        <f>C38*$C$5/SQRT($C$5^2+($C$3*1000)^2)</f>
        <v>7.6668933211120574E-2</v>
      </c>
      <c r="H38" s="12" t="s">
        <v>66</v>
      </c>
      <c r="I38" s="12">
        <f>I4</f>
        <v>-5</v>
      </c>
      <c r="J38" s="12" t="s">
        <v>17</v>
      </c>
      <c r="K38" s="13" t="str">
        <f t="shared" ref="K38:K39" si="4">TRIM(H38)&amp;"   "&amp;IF(I38&gt;0,"+","")&amp;TRIM(I38)&amp;" "&amp;TRIM(J38)</f>
        <v>V-:   -5 V</v>
      </c>
    </row>
    <row r="39" spans="2:11">
      <c r="B39" s="2">
        <f t="shared" si="3"/>
        <v>2.2116812281272147E-4</v>
      </c>
      <c r="C39" s="2">
        <f t="shared" si="1"/>
        <v>-0.12533323356430973</v>
      </c>
      <c r="D39" s="2">
        <f t="shared" si="2"/>
        <v>-1.2471122856576306E-2</v>
      </c>
      <c r="E39" s="2">
        <f t="shared" si="0"/>
        <v>-1.2471122856576306E-2</v>
      </c>
      <c r="F39" s="28">
        <f>C39*$C$5/SQRT($C$5^2+($C$3*1000)^2)</f>
        <v>-1.2471122856576304E-2</v>
      </c>
      <c r="H39" s="12" t="s">
        <v>29</v>
      </c>
      <c r="I39" s="12">
        <f>I8</f>
        <v>1</v>
      </c>
      <c r="J39" s="12" t="s">
        <v>17</v>
      </c>
      <c r="K39" s="13" t="str">
        <f t="shared" si="4"/>
        <v>Vin:   +1 V</v>
      </c>
    </row>
    <row r="40" spans="2:11">
      <c r="B40" s="2">
        <f t="shared" si="3"/>
        <v>2.3122121930420881E-4</v>
      </c>
      <c r="C40" s="2">
        <f t="shared" si="1"/>
        <v>-0.90482705246602246</v>
      </c>
      <c r="D40" s="2">
        <f t="shared" si="2"/>
        <v>-9.0033656791177738E-2</v>
      </c>
      <c r="E40" s="2">
        <f t="shared" si="0"/>
        <v>-9.0033656791177738E-2</v>
      </c>
      <c r="F40" s="28">
        <f>C40*$C$5/SQRT($C$5^2+($C$3*1000)^2)</f>
        <v>-9.0033656791177738E-2</v>
      </c>
      <c r="H40" s="12" t="s">
        <v>67</v>
      </c>
      <c r="I40" s="12">
        <f>C3</f>
        <v>1</v>
      </c>
      <c r="J40" s="12" t="s">
        <v>16</v>
      </c>
      <c r="K40" s="13" t="str">
        <f>TRIM(H40)&amp;"   "&amp;TRIM(I40)&amp;" "&amp;TRIM(J40)</f>
        <v>R1:   1 K</v>
      </c>
    </row>
    <row r="41" spans="2:11">
      <c r="B41" s="2">
        <f t="shared" si="3"/>
        <v>2.4127431579569616E-4</v>
      </c>
      <c r="C41" s="2">
        <f t="shared" si="1"/>
        <v>-0.84432792550201063</v>
      </c>
      <c r="D41" s="2">
        <f t="shared" si="2"/>
        <v>-8.4013768660734969E-2</v>
      </c>
      <c r="E41" s="2">
        <f t="shared" si="0"/>
        <v>-8.4013768660734969E-2</v>
      </c>
      <c r="F41" s="28">
        <f>C41*$C$5/SQRT($C$5^2+($C$3*1000)^2)</f>
        <v>-8.4013768660734969E-2</v>
      </c>
      <c r="H41" s="12" t="s">
        <v>102</v>
      </c>
      <c r="I41" s="12">
        <f>C4</f>
        <v>0.1</v>
      </c>
      <c r="J41" s="12" t="s">
        <v>83</v>
      </c>
      <c r="K41" s="13" t="str">
        <f>TRIM(H41)&amp;"   "&amp;TRIM(I41)&amp;" "&amp;TRIM(J41)</f>
        <v>C1:   0.1 uF</v>
      </c>
    </row>
    <row r="42" spans="2:11">
      <c r="B42" s="2">
        <f t="shared" si="3"/>
        <v>2.5132741228718348E-4</v>
      </c>
      <c r="C42" s="2">
        <f t="shared" si="1"/>
        <v>6.1253085936741059E-15</v>
      </c>
      <c r="D42" s="2">
        <f t="shared" si="2"/>
        <v>6.0949098522185824E-16</v>
      </c>
      <c r="E42" s="2">
        <f t="shared" si="0"/>
        <v>6.0949098522185824E-16</v>
      </c>
      <c r="F42" s="28">
        <f>C42*$C$5/SQRT($C$5^2+($C$3*1000)^2)</f>
        <v>6.0949098522185815E-16</v>
      </c>
      <c r="H42" s="12" t="s">
        <v>103</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223</v>
      </c>
    </row>
    <row r="47" spans="2:11">
      <c r="B47" s="2">
        <v>1</v>
      </c>
      <c r="C47" s="2">
        <f>1/(2*PI()*B47*$C$4*0.000001)</f>
        <v>1591549.4309189534</v>
      </c>
      <c r="D47" s="2">
        <f>20*LOG(1/SQRT(1+(B47/$C$12)^2))</f>
        <v>-1.7145255528834613E-6</v>
      </c>
      <c r="E47" s="2">
        <f t="shared" ref="E47:E78" si="5">20*LOG(C47/SQRT((C47^2+($C$3*1000)^2)))</f>
        <v>-1.7145255528834613E-6</v>
      </c>
    </row>
    <row r="48" spans="2:11">
      <c r="B48" s="2">
        <v>2</v>
      </c>
      <c r="C48" s="2">
        <f t="shared" ref="C48:C101" si="6">1/(2*PI()*B48*$C$4*0.000001)</f>
        <v>795774.71545947669</v>
      </c>
      <c r="D48" s="2">
        <f t="shared" ref="D48:D101" si="7">20*LOG(1/SQRT(1+(B48/$C$12)^2))</f>
        <v>-6.8580981524042927E-6</v>
      </c>
      <c r="E48" s="2">
        <f t="shared" si="5"/>
        <v>-6.8580981533686203E-6</v>
      </c>
    </row>
    <row r="49" spans="2:5">
      <c r="B49" s="2">
        <v>3</v>
      </c>
      <c r="C49" s="2">
        <f t="shared" si="6"/>
        <v>530516.4769729845</v>
      </c>
      <c r="D49" s="2">
        <f t="shared" si="7"/>
        <v>-1.5430705615359815E-5</v>
      </c>
      <c r="E49" s="2">
        <f t="shared" si="5"/>
        <v>-1.5430705615359815E-5</v>
      </c>
    </row>
    <row r="50" spans="2:5">
      <c r="B50" s="2">
        <v>4</v>
      </c>
      <c r="C50" s="2">
        <f t="shared" si="6"/>
        <v>397887.35772973835</v>
      </c>
      <c r="D50" s="2">
        <f t="shared" si="7"/>
        <v>-2.7432327633425711E-5</v>
      </c>
      <c r="E50" s="2">
        <f t="shared" si="5"/>
        <v>-2.7432327633425711E-5</v>
      </c>
    </row>
    <row r="51" spans="2:5">
      <c r="B51" s="2">
        <v>5</v>
      </c>
      <c r="C51" s="2">
        <f t="shared" si="6"/>
        <v>318309.88618379069</v>
      </c>
      <c r="D51" s="2">
        <f t="shared" si="7"/>
        <v>-4.2862935778801728E-5</v>
      </c>
      <c r="E51" s="2">
        <f t="shared" si="5"/>
        <v>-4.2862935779766058E-5</v>
      </c>
    </row>
    <row r="52" spans="2:5">
      <c r="B52" s="2">
        <v>6</v>
      </c>
      <c r="C52" s="2">
        <f t="shared" si="6"/>
        <v>265258.23848649225</v>
      </c>
      <c r="D52" s="2">
        <f t="shared" si="7"/>
        <v>-6.1722493504979615E-5</v>
      </c>
      <c r="E52" s="2">
        <f t="shared" si="5"/>
        <v>-6.1722493504979615E-5</v>
      </c>
    </row>
    <row r="53" spans="2:5">
      <c r="B53" s="2">
        <v>7</v>
      </c>
      <c r="C53" s="2">
        <f t="shared" si="6"/>
        <v>227364.20441699337</v>
      </c>
      <c r="D53" s="2">
        <f t="shared" si="7"/>
        <v>-8.4010956137811616E-5</v>
      </c>
      <c r="E53" s="2">
        <f t="shared" si="5"/>
        <v>-8.4010956137811616E-5</v>
      </c>
    </row>
    <row r="54" spans="2:5">
      <c r="B54" s="2">
        <v>8</v>
      </c>
      <c r="C54" s="2">
        <f t="shared" si="6"/>
        <v>198943.67886486917</v>
      </c>
      <c r="D54" s="2">
        <f t="shared" si="7"/>
        <v>-1.0972827088484521E-4</v>
      </c>
      <c r="E54" s="2">
        <f t="shared" si="5"/>
        <v>-1.0972827088580956E-4</v>
      </c>
    </row>
    <row r="55" spans="2:5">
      <c r="B55" s="2">
        <v>9</v>
      </c>
      <c r="C55" s="2">
        <f t="shared" si="6"/>
        <v>176838.82565766151</v>
      </c>
      <c r="D55" s="2">
        <f t="shared" si="7"/>
        <v>-1.3887437683302977E-4</v>
      </c>
      <c r="E55" s="2">
        <f t="shared" si="5"/>
        <v>-1.3887437683399412E-4</v>
      </c>
    </row>
    <row r="56" spans="2:5">
      <c r="B56" s="2">
        <v>10</v>
      </c>
      <c r="C56" s="2">
        <f t="shared" si="6"/>
        <v>159154.94309189534</v>
      </c>
      <c r="D56" s="2">
        <f t="shared" si="7"/>
        <v>-1.714492049482957E-4</v>
      </c>
      <c r="E56" s="2">
        <f t="shared" si="5"/>
        <v>-1.7144920494926007E-4</v>
      </c>
    </row>
    <row r="57" spans="2:5">
      <c r="B57" s="2">
        <v>20</v>
      </c>
      <c r="C57" s="2">
        <f t="shared" si="6"/>
        <v>79577.471545947672</v>
      </c>
      <c r="D57" s="2">
        <f t="shared" si="7"/>
        <v>-6.8575621307809048E-4</v>
      </c>
      <c r="E57" s="2">
        <f t="shared" si="5"/>
        <v>-6.8575621307905487E-4</v>
      </c>
    </row>
    <row r="58" spans="2:5">
      <c r="B58" s="2">
        <v>30</v>
      </c>
      <c r="C58" s="2">
        <f t="shared" si="6"/>
        <v>53051.647697298446</v>
      </c>
      <c r="D58" s="2">
        <f t="shared" si="7"/>
        <v>-1.5427992362874524E-3</v>
      </c>
      <c r="E58" s="2">
        <f t="shared" si="5"/>
        <v>-1.5427992362884171E-3</v>
      </c>
    </row>
    <row r="59" spans="2:5">
      <c r="B59" s="2">
        <v>40</v>
      </c>
      <c r="C59" s="2">
        <f t="shared" si="6"/>
        <v>39788.735772973836</v>
      </c>
      <c r="D59" s="2">
        <f t="shared" si="7"/>
        <v>-2.7423754011977773E-3</v>
      </c>
      <c r="E59" s="2">
        <f t="shared" si="5"/>
        <v>-2.7423754011977773E-3</v>
      </c>
    </row>
    <row r="60" spans="2:5">
      <c r="B60" s="2">
        <v>50</v>
      </c>
      <c r="C60" s="2">
        <f t="shared" si="6"/>
        <v>31830.988618379066</v>
      </c>
      <c r="D60" s="2">
        <f t="shared" si="7"/>
        <v>-4.2842009091494443E-3</v>
      </c>
      <c r="E60" s="2">
        <f t="shared" si="5"/>
        <v>-4.2842009091484806E-3</v>
      </c>
    </row>
    <row r="61" spans="2:5">
      <c r="B61" s="2">
        <v>60</v>
      </c>
      <c r="C61" s="2">
        <f t="shared" si="6"/>
        <v>26525.823848649223</v>
      </c>
      <c r="D61" s="2">
        <f t="shared" si="7"/>
        <v>-6.1679112598320984E-3</v>
      </c>
      <c r="E61" s="2">
        <f t="shared" si="5"/>
        <v>-6.1679112598311339E-3</v>
      </c>
    </row>
    <row r="62" spans="2:5">
      <c r="B62" s="2">
        <v>70</v>
      </c>
      <c r="C62" s="2">
        <f t="shared" si="6"/>
        <v>22736.420441699334</v>
      </c>
      <c r="D62" s="2">
        <f t="shared" si="7"/>
        <v>-8.393061538164364E-3</v>
      </c>
      <c r="E62" s="2">
        <f t="shared" si="5"/>
        <v>-8.3930615381633978E-3</v>
      </c>
    </row>
    <row r="63" spans="2:5">
      <c r="B63" s="2">
        <v>80</v>
      </c>
      <c r="C63" s="2">
        <f t="shared" si="6"/>
        <v>19894.367886486918</v>
      </c>
      <c r="D63" s="2">
        <f t="shared" si="7"/>
        <v>-1.0959126763966653E-2</v>
      </c>
      <c r="E63" s="2">
        <f t="shared" si="5"/>
        <v>-1.0959126763967621E-2</v>
      </c>
    </row>
    <row r="64" spans="2:5">
      <c r="B64" s="2">
        <v>90</v>
      </c>
      <c r="C64" s="2">
        <f t="shared" si="6"/>
        <v>17683.882565766147</v>
      </c>
      <c r="D64" s="2">
        <f t="shared" si="7"/>
        <v>-1.386550230384258E-2</v>
      </c>
      <c r="E64" s="2">
        <f t="shared" si="5"/>
        <v>-1.3865502303841613E-2</v>
      </c>
    </row>
    <row r="65" spans="2:5">
      <c r="B65" s="2">
        <v>100</v>
      </c>
      <c r="C65" s="2">
        <f t="shared" si="6"/>
        <v>15915.494309189533</v>
      </c>
      <c r="D65" s="2">
        <f t="shared" si="7"/>
        <v>-1.7111504344582869E-2</v>
      </c>
      <c r="E65" s="2">
        <f t="shared" si="5"/>
        <v>-1.7111504344581904E-2</v>
      </c>
    </row>
    <row r="66" spans="2:5">
      <c r="B66" s="2">
        <v>200</v>
      </c>
      <c r="C66" s="2">
        <f t="shared" si="6"/>
        <v>7957.7471545947665</v>
      </c>
      <c r="D66" s="2">
        <f t="shared" si="7"/>
        <v>-6.8045175474465092E-2</v>
      </c>
      <c r="E66" s="2">
        <f t="shared" si="5"/>
        <v>-6.8045175474466063E-2</v>
      </c>
    </row>
    <row r="67" spans="2:5">
      <c r="B67" s="2">
        <v>300</v>
      </c>
      <c r="C67" s="2">
        <f t="shared" si="6"/>
        <v>5305.1647697298449</v>
      </c>
      <c r="D67" s="2">
        <f t="shared" si="7"/>
        <v>-0.15162926719815317</v>
      </c>
      <c r="E67" s="2">
        <f t="shared" si="5"/>
        <v>-0.15162926719815417</v>
      </c>
    </row>
    <row r="68" spans="2:5">
      <c r="B68" s="2">
        <v>400</v>
      </c>
      <c r="C68" s="2">
        <f t="shared" si="6"/>
        <v>3978.8735772973832</v>
      </c>
      <c r="D68" s="2">
        <f t="shared" si="7"/>
        <v>-0.26600862189675395</v>
      </c>
      <c r="E68" s="2">
        <f t="shared" si="5"/>
        <v>-0.26600862189675495</v>
      </c>
    </row>
    <row r="69" spans="2:5">
      <c r="B69" s="2">
        <v>500</v>
      </c>
      <c r="C69" s="2">
        <f t="shared" si="6"/>
        <v>3183.098861837907</v>
      </c>
      <c r="D69" s="2">
        <f t="shared" si="7"/>
        <v>-0.40877560788352241</v>
      </c>
      <c r="E69" s="2">
        <f t="shared" si="5"/>
        <v>-0.40877560788352241</v>
      </c>
    </row>
    <row r="70" spans="2:5">
      <c r="B70" s="2">
        <v>600</v>
      </c>
      <c r="C70" s="2">
        <f t="shared" si="6"/>
        <v>2652.5823848649225</v>
      </c>
      <c r="D70" s="2">
        <f t="shared" si="7"/>
        <v>-0.57712612523795315</v>
      </c>
      <c r="E70" s="2">
        <f t="shared" si="5"/>
        <v>-0.57712612523795515</v>
      </c>
    </row>
    <row r="71" spans="2:5">
      <c r="B71" s="2">
        <v>700</v>
      </c>
      <c r="C71" s="2">
        <f t="shared" si="6"/>
        <v>2273.6420441699333</v>
      </c>
      <c r="D71" s="2">
        <f t="shared" si="7"/>
        <v>-0.76802135025538609</v>
      </c>
      <c r="E71" s="2">
        <f t="shared" si="5"/>
        <v>-0.76802135025538498</v>
      </c>
    </row>
    <row r="72" spans="2:5">
      <c r="B72" s="2">
        <v>800</v>
      </c>
      <c r="C72" s="2">
        <f t="shared" si="6"/>
        <v>1989.4367886486916</v>
      </c>
      <c r="D72" s="2">
        <f t="shared" si="7"/>
        <v>-0.97833858981619204</v>
      </c>
      <c r="E72" s="2">
        <f t="shared" si="5"/>
        <v>-0.97833858981619204</v>
      </c>
    </row>
    <row r="73" spans="2:5">
      <c r="B73" s="2">
        <v>900</v>
      </c>
      <c r="C73" s="2">
        <f t="shared" si="6"/>
        <v>1768.388256576615</v>
      </c>
      <c r="D73" s="2">
        <f t="shared" si="7"/>
        <v>-1.2049995751356051</v>
      </c>
      <c r="E73" s="2">
        <f t="shared" si="5"/>
        <v>-1.2049995751356051</v>
      </c>
    </row>
    <row r="74" spans="2:5">
      <c r="B74" s="2">
        <v>1000</v>
      </c>
      <c r="C74" s="2">
        <f t="shared" si="6"/>
        <v>1591.5494309189535</v>
      </c>
      <c r="D74" s="2">
        <f t="shared" si="7"/>
        <v>-1.4450701162052859</v>
      </c>
      <c r="E74" s="2">
        <f t="shared" si="5"/>
        <v>-1.4450701162052859</v>
      </c>
    </row>
    <row r="75" spans="2:5">
      <c r="B75" s="2">
        <v>2000</v>
      </c>
      <c r="C75" s="2">
        <f t="shared" si="6"/>
        <v>795.77471545947674</v>
      </c>
      <c r="D75" s="2">
        <f t="shared" si="7"/>
        <v>-4.1147436202747096</v>
      </c>
      <c r="E75" s="2">
        <f t="shared" si="5"/>
        <v>-4.1147436202747096</v>
      </c>
    </row>
    <row r="76" spans="2:5">
      <c r="B76" s="2">
        <v>3000</v>
      </c>
      <c r="C76" s="2">
        <f t="shared" si="6"/>
        <v>530.51647697298449</v>
      </c>
      <c r="D76" s="2">
        <f t="shared" si="7"/>
        <v>-6.5830314304388384</v>
      </c>
      <c r="E76" s="2">
        <f t="shared" si="5"/>
        <v>-6.5830314304388384</v>
      </c>
    </row>
    <row r="77" spans="2:5">
      <c r="B77" s="2">
        <v>4000</v>
      </c>
      <c r="C77" s="2">
        <f t="shared" si="6"/>
        <v>397.88735772973837</v>
      </c>
      <c r="D77" s="2">
        <f t="shared" si="7"/>
        <v>-8.6430615588033994</v>
      </c>
      <c r="E77" s="2">
        <f t="shared" si="5"/>
        <v>-8.6430615588034012</v>
      </c>
    </row>
    <row r="78" spans="2:5">
      <c r="B78" s="2">
        <v>5000</v>
      </c>
      <c r="C78" s="2">
        <f t="shared" si="6"/>
        <v>318.30988618379064</v>
      </c>
      <c r="D78" s="2">
        <f t="shared" si="7"/>
        <v>-10.362137382398966</v>
      </c>
      <c r="E78" s="2">
        <f t="shared" si="5"/>
        <v>-10.362137382398968</v>
      </c>
    </row>
    <row r="79" spans="2:5">
      <c r="B79" s="2">
        <v>6000</v>
      </c>
      <c r="C79" s="2">
        <f t="shared" si="6"/>
        <v>265.25823848649225</v>
      </c>
      <c r="D79" s="2">
        <f t="shared" si="7"/>
        <v>-11.821928927044215</v>
      </c>
      <c r="E79" s="2">
        <f t="shared" ref="E79:E101" si="8">20*LOG(C79/SQRT((C79^2+($C$3*1000)^2)))</f>
        <v>-11.821928927044215</v>
      </c>
    </row>
    <row r="80" spans="2:5">
      <c r="B80" s="2">
        <v>7000</v>
      </c>
      <c r="C80" s="2">
        <f t="shared" si="6"/>
        <v>227.36420441699337</v>
      </c>
      <c r="D80" s="2">
        <f t="shared" si="7"/>
        <v>-13.084454117991323</v>
      </c>
      <c r="E80" s="2">
        <f t="shared" si="8"/>
        <v>-13.084454117991324</v>
      </c>
    </row>
    <row r="81" spans="2:5">
      <c r="B81" s="2">
        <v>8000</v>
      </c>
      <c r="C81" s="2">
        <f t="shared" si="6"/>
        <v>198.94367886486918</v>
      </c>
      <c r="D81" s="2">
        <f t="shared" si="7"/>
        <v>-14.193970362741471</v>
      </c>
      <c r="E81" s="2">
        <f t="shared" si="8"/>
        <v>-14.193970362741473</v>
      </c>
    </row>
    <row r="82" spans="2:5">
      <c r="B82" s="2">
        <v>9000</v>
      </c>
      <c r="C82" s="2">
        <f t="shared" si="6"/>
        <v>176.83882565766146</v>
      </c>
      <c r="D82" s="2">
        <f t="shared" si="7"/>
        <v>-15.182179694787161</v>
      </c>
      <c r="E82" s="2">
        <f t="shared" si="8"/>
        <v>-15.182179694787166</v>
      </c>
    </row>
    <row r="83" spans="2:5">
      <c r="B83" s="2">
        <v>10000</v>
      </c>
      <c r="C83" s="2">
        <f t="shared" si="6"/>
        <v>159.15494309189532</v>
      </c>
      <c r="D83" s="2">
        <f t="shared" si="7"/>
        <v>-16.072235265805517</v>
      </c>
      <c r="E83" s="2">
        <f t="shared" si="8"/>
        <v>-16.072235265805517</v>
      </c>
    </row>
    <row r="84" spans="2:5">
      <c r="B84" s="2">
        <v>20000</v>
      </c>
      <c r="C84" s="2">
        <f t="shared" si="6"/>
        <v>79.57747154594766</v>
      </c>
      <c r="D84" s="2">
        <f t="shared" si="7"/>
        <v>-22.011612586390061</v>
      </c>
      <c r="E84" s="2">
        <f t="shared" si="8"/>
        <v>-22.011612586390065</v>
      </c>
    </row>
    <row r="85" spans="2:5">
      <c r="B85" s="2">
        <v>30000</v>
      </c>
      <c r="C85" s="2">
        <f t="shared" si="6"/>
        <v>53.051647697298449</v>
      </c>
      <c r="D85" s="2">
        <f t="shared" si="7"/>
        <v>-25.518228412625149</v>
      </c>
      <c r="E85" s="2">
        <f t="shared" si="8"/>
        <v>-25.518228412625152</v>
      </c>
    </row>
    <row r="86" spans="2:5">
      <c r="B86" s="2">
        <v>40000</v>
      </c>
      <c r="C86" s="2">
        <f t="shared" si="6"/>
        <v>39.78873577297383</v>
      </c>
      <c r="D86" s="2">
        <f t="shared" si="7"/>
        <v>-28.011667261840323</v>
      </c>
      <c r="E86" s="2">
        <f t="shared" si="8"/>
        <v>-28.011667261840326</v>
      </c>
    </row>
    <row r="87" spans="2:5">
      <c r="B87" s="2">
        <v>50000</v>
      </c>
      <c r="C87" s="2">
        <f t="shared" si="6"/>
        <v>31.830988618379067</v>
      </c>
      <c r="D87" s="2">
        <f t="shared" si="7"/>
        <v>-29.947395549253173</v>
      </c>
      <c r="E87" s="2">
        <f t="shared" si="8"/>
        <v>-29.947395549253176</v>
      </c>
    </row>
    <row r="88" spans="2:5">
      <c r="B88" s="2">
        <v>60000</v>
      </c>
      <c r="C88" s="2">
        <f t="shared" si="6"/>
        <v>26.525823848649225</v>
      </c>
      <c r="D88" s="2">
        <f t="shared" si="7"/>
        <v>-31.529677080213759</v>
      </c>
      <c r="E88" s="2">
        <f t="shared" si="8"/>
        <v>-31.529677080213759</v>
      </c>
    </row>
    <row r="89" spans="2:5">
      <c r="B89" s="2">
        <v>70000</v>
      </c>
      <c r="C89" s="2">
        <f t="shared" si="6"/>
        <v>22.736420441699334</v>
      </c>
      <c r="D89" s="2">
        <f t="shared" si="7"/>
        <v>-32.867802650164421</v>
      </c>
      <c r="E89" s="2">
        <f t="shared" si="8"/>
        <v>-32.867802650164421</v>
      </c>
    </row>
    <row r="90" spans="2:5">
      <c r="B90" s="2">
        <v>80000</v>
      </c>
      <c r="C90" s="2">
        <f t="shared" si="6"/>
        <v>19.894367886486915</v>
      </c>
      <c r="D90" s="2">
        <f t="shared" si="7"/>
        <v>-34.027115643146644</v>
      </c>
      <c r="E90" s="2">
        <f t="shared" si="8"/>
        <v>-34.027115643146651</v>
      </c>
    </row>
    <row r="91" spans="2:5">
      <c r="B91" s="2">
        <v>90000</v>
      </c>
      <c r="C91" s="2">
        <f t="shared" si="6"/>
        <v>17.683882565766147</v>
      </c>
      <c r="D91" s="2">
        <f t="shared" si="7"/>
        <v>-35.049805468049144</v>
      </c>
      <c r="E91" s="2">
        <f t="shared" si="8"/>
        <v>-35.049805468049144</v>
      </c>
    </row>
    <row r="92" spans="2:5">
      <c r="B92" s="2">
        <v>100000</v>
      </c>
      <c r="C92" s="2">
        <f t="shared" si="6"/>
        <v>15.915494309189533</v>
      </c>
      <c r="D92" s="2">
        <f t="shared" si="7"/>
        <v>-35.964697308632857</v>
      </c>
      <c r="E92" s="2">
        <f t="shared" si="8"/>
        <v>-35.964697308632864</v>
      </c>
    </row>
    <row r="93" spans="2:5">
      <c r="B93" s="2">
        <v>200000</v>
      </c>
      <c r="C93" s="2">
        <f t="shared" si="6"/>
        <v>7.9577471545947667</v>
      </c>
      <c r="D93" s="2">
        <f t="shared" si="7"/>
        <v>-41.984472291927837</v>
      </c>
      <c r="E93" s="2">
        <f t="shared" si="8"/>
        <v>-41.984472291927837</v>
      </c>
    </row>
    <row r="94" spans="2:5">
      <c r="B94" s="2">
        <v>300000</v>
      </c>
      <c r="C94" s="2">
        <f t="shared" si="6"/>
        <v>5.3051647697298447</v>
      </c>
      <c r="D94" s="2">
        <f t="shared" si="7"/>
        <v>-45.506144691032596</v>
      </c>
      <c r="E94" s="2">
        <f t="shared" si="8"/>
        <v>-45.506144691032596</v>
      </c>
    </row>
    <row r="95" spans="2:5">
      <c r="B95" s="2">
        <v>400000</v>
      </c>
      <c r="C95" s="2">
        <f t="shared" si="6"/>
        <v>3.9788735772973833</v>
      </c>
      <c r="D95" s="2">
        <f t="shared" si="7"/>
        <v>-48.004865948225671</v>
      </c>
      <c r="E95" s="2">
        <f t="shared" si="8"/>
        <v>-48.004865948225671</v>
      </c>
    </row>
    <row r="96" spans="2:5">
      <c r="B96" s="2">
        <v>500000</v>
      </c>
      <c r="C96" s="2">
        <f t="shared" si="6"/>
        <v>3.1830988618379075</v>
      </c>
      <c r="D96" s="2">
        <f t="shared" si="7"/>
        <v>-49.943041456890711</v>
      </c>
      <c r="E96" s="2">
        <f t="shared" si="8"/>
        <v>-49.943041456890711</v>
      </c>
    </row>
    <row r="97" spans="2:5">
      <c r="B97" s="2">
        <v>600000</v>
      </c>
      <c r="C97" s="2">
        <f t="shared" si="6"/>
        <v>2.6525823848649224</v>
      </c>
      <c r="D97" s="2">
        <f t="shared" si="7"/>
        <v>-51.526652932526943</v>
      </c>
      <c r="E97" s="2">
        <f t="shared" si="8"/>
        <v>-51.526652932526943</v>
      </c>
    </row>
    <row r="98" spans="2:5">
      <c r="B98" s="2">
        <v>700000</v>
      </c>
      <c r="C98" s="2">
        <f t="shared" si="6"/>
        <v>2.2736420441699337</v>
      </c>
      <c r="D98" s="2">
        <f t="shared" si="7"/>
        <v>-52.865580618017447</v>
      </c>
      <c r="E98" s="2">
        <f t="shared" si="8"/>
        <v>-52.865580618017447</v>
      </c>
    </row>
    <row r="99" spans="2:5">
      <c r="B99" s="2">
        <v>800000</v>
      </c>
      <c r="C99" s="2">
        <f t="shared" si="6"/>
        <v>1.9894367886486917</v>
      </c>
      <c r="D99" s="2">
        <f t="shared" si="7"/>
        <v>-54.025414295729249</v>
      </c>
      <c r="E99" s="2">
        <f t="shared" si="8"/>
        <v>-54.025414295729249</v>
      </c>
    </row>
    <row r="100" spans="2:5">
      <c r="B100" s="2">
        <v>900000</v>
      </c>
      <c r="C100" s="2">
        <f t="shared" si="6"/>
        <v>1.7683882565766149</v>
      </c>
      <c r="D100" s="2">
        <f t="shared" si="7"/>
        <v>-55.048461137171685</v>
      </c>
      <c r="E100" s="2">
        <f t="shared" si="8"/>
        <v>-55.048461137171685</v>
      </c>
    </row>
    <row r="101" spans="2:5">
      <c r="B101" s="2">
        <v>1000000</v>
      </c>
      <c r="C101" s="2">
        <f t="shared" si="6"/>
        <v>1.5915494309189537</v>
      </c>
      <c r="D101" s="2">
        <f t="shared" si="7"/>
        <v>-55.963608367956105</v>
      </c>
      <c r="E101" s="2">
        <f t="shared" si="8"/>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A3" zoomScaleNormal="100" workbookViewId="0">
      <selection activeCell="C4" sqref="C4"/>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98</v>
      </c>
    </row>
    <row r="2" spans="2:28" ht="15.75" thickBot="1">
      <c r="B2" s="2" t="s">
        <v>236</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217</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206</v>
      </c>
      <c r="X7" s="2" t="s">
        <v>219</v>
      </c>
    </row>
    <row r="8" spans="2:28" ht="15" customHeight="1" thickBot="1">
      <c r="B8" s="2" t="s">
        <v>25</v>
      </c>
      <c r="C8" s="4">
        <v>1</v>
      </c>
      <c r="D8" s="2" t="s">
        <v>38</v>
      </c>
      <c r="H8" s="6" t="s">
        <v>29</v>
      </c>
      <c r="I8" s="4">
        <v>1</v>
      </c>
      <c r="J8" s="2" t="s">
        <v>17</v>
      </c>
      <c r="R8" s="26" t="s">
        <v>232</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105</v>
      </c>
    </row>
    <row r="12" spans="2:28" ht="15.7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28" t="s">
        <v>221</v>
      </c>
      <c r="G15" s="28"/>
    </row>
    <row r="16" spans="2:28">
      <c r="B16" s="2">
        <v>0</v>
      </c>
      <c r="C16" s="2">
        <f>$C$8*SIN($B16*$C$9*2*PI())</f>
        <v>0</v>
      </c>
      <c r="D16" s="2">
        <f>C16*($C$9/$C$11)/SQRT(1+($C$9/$C$11)^2)</f>
        <v>0</v>
      </c>
      <c r="E16" s="2">
        <f t="shared" ref="E16:E41" si="0">IF(D16&gt;($I$3-$I$5),($I$3-$I$5),IF(D16&lt;($I$4+$I$5),($I$4+$I$5),D16))</f>
        <v>0</v>
      </c>
      <c r="F16" s="28">
        <f>C16*$C$3*1000/SQRT(($C$3*1000)^2+$C$5^2)</f>
        <v>0</v>
      </c>
      <c r="G16" s="28"/>
    </row>
    <row r="17" spans="2:7">
      <c r="B17" s="2">
        <f>B16+$C$13</f>
        <v>1.0053099213407818E-4</v>
      </c>
      <c r="C17" s="2">
        <f t="shared" ref="C17:C41" si="1">$C$8*SIN($B17*$C$9*2*PI())</f>
        <v>0.84432792550201508</v>
      </c>
      <c r="D17" s="2">
        <f t="shared" ref="D17:D41" si="2">C17*($C$9/$C$11)/SQRT(1+($C$9/$C$11)^2)</f>
        <v>0.59702992084338946</v>
      </c>
      <c r="E17" s="2">
        <f t="shared" si="0"/>
        <v>0.59702992084338946</v>
      </c>
      <c r="F17" s="28">
        <f t="shared" ref="F17:F41" si="3">C17*$C$3*1000/SQRT(($C$3*1000)^2+$C$5^2)</f>
        <v>0.59702992084338946</v>
      </c>
      <c r="G17" s="28"/>
    </row>
    <row r="18" spans="2:7">
      <c r="B18" s="2">
        <f t="shared" ref="B18:B41" si="4">B17+$C$13</f>
        <v>2.0106198426815636E-4</v>
      </c>
      <c r="C18" s="2">
        <f t="shared" si="1"/>
        <v>0.90482705246601947</v>
      </c>
      <c r="D18" s="2">
        <f t="shared" si="2"/>
        <v>0.63980925798415478</v>
      </c>
      <c r="E18" s="2">
        <f t="shared" si="0"/>
        <v>0.63980925798415478</v>
      </c>
      <c r="F18" s="28">
        <f t="shared" si="3"/>
        <v>0.63980925798415478</v>
      </c>
      <c r="G18" s="28"/>
    </row>
    <row r="19" spans="2:7">
      <c r="B19" s="2">
        <f t="shared" si="4"/>
        <v>3.0159297640223456E-4</v>
      </c>
      <c r="C19" s="2">
        <f t="shared" si="1"/>
        <v>0.12533323356430454</v>
      </c>
      <c r="D19" s="2">
        <f t="shared" si="2"/>
        <v>8.8623967363690132E-2</v>
      </c>
      <c r="E19" s="2">
        <f t="shared" si="0"/>
        <v>8.8623967363690132E-2</v>
      </c>
      <c r="F19" s="28">
        <f t="shared" si="3"/>
        <v>8.8623967363690132E-2</v>
      </c>
      <c r="G19" s="28"/>
    </row>
    <row r="20" spans="2:7">
      <c r="B20" s="2">
        <f t="shared" si="4"/>
        <v>4.0212396853631273E-4</v>
      </c>
      <c r="C20" s="2">
        <f t="shared" si="1"/>
        <v>-0.77051324277578936</v>
      </c>
      <c r="D20" s="2">
        <f t="shared" si="2"/>
        <v>-0.54483506520253655</v>
      </c>
      <c r="E20" s="2">
        <f t="shared" si="0"/>
        <v>-0.54483506520253655</v>
      </c>
      <c r="F20" s="28">
        <f t="shared" si="3"/>
        <v>-0.54483506520253655</v>
      </c>
      <c r="G20" s="28"/>
    </row>
    <row r="21" spans="2:7">
      <c r="B21" s="2">
        <f t="shared" si="4"/>
        <v>5.0265496067039095E-4</v>
      </c>
      <c r="C21" s="2">
        <f t="shared" si="1"/>
        <v>-0.95105651629515364</v>
      </c>
      <c r="D21" s="2">
        <f t="shared" si="2"/>
        <v>-0.67249842092298551</v>
      </c>
      <c r="E21" s="2">
        <f t="shared" si="0"/>
        <v>-0.67249842092298551</v>
      </c>
      <c r="F21" s="28">
        <f t="shared" si="3"/>
        <v>-0.67249842092298551</v>
      </c>
      <c r="G21" s="28"/>
    </row>
    <row r="22" spans="2:7">
      <c r="B22" s="2">
        <f t="shared" si="4"/>
        <v>6.0318595280446912E-4</v>
      </c>
      <c r="C22" s="2">
        <f t="shared" si="1"/>
        <v>-0.24868988716485535</v>
      </c>
      <c r="D22" s="2">
        <f t="shared" si="2"/>
        <v>-0.17585028182066292</v>
      </c>
      <c r="E22" s="2">
        <f t="shared" si="0"/>
        <v>-0.17585028182066292</v>
      </c>
      <c r="F22" s="28">
        <f t="shared" si="3"/>
        <v>-0.17585028182066292</v>
      </c>
      <c r="G22" s="28"/>
    </row>
    <row r="23" spans="2:7">
      <c r="B23" s="2">
        <f t="shared" si="4"/>
        <v>7.0371694493854729E-4</v>
      </c>
      <c r="C23" s="2">
        <f t="shared" si="1"/>
        <v>0.68454710592868795</v>
      </c>
      <c r="D23" s="2">
        <f t="shared" si="2"/>
        <v>0.48404783511474714</v>
      </c>
      <c r="E23" s="2">
        <f t="shared" si="0"/>
        <v>0.48404783511474714</v>
      </c>
      <c r="F23" s="28">
        <f t="shared" si="3"/>
        <v>0.48404783511474719</v>
      </c>
      <c r="G23" s="28"/>
    </row>
    <row r="24" spans="2:7">
      <c r="B24" s="2">
        <f t="shared" si="4"/>
        <v>8.0424793707262545E-4</v>
      </c>
      <c r="C24" s="2">
        <f t="shared" si="1"/>
        <v>0.98228725072868861</v>
      </c>
      <c r="D24" s="2">
        <f t="shared" si="2"/>
        <v>0.6945818820327766</v>
      </c>
      <c r="E24" s="2">
        <f t="shared" si="0"/>
        <v>0.6945818820327766</v>
      </c>
      <c r="F24" s="28">
        <f t="shared" si="3"/>
        <v>0.6945818820327766</v>
      </c>
      <c r="G24" s="28"/>
    </row>
    <row r="25" spans="2:7">
      <c r="B25" s="2">
        <f t="shared" si="4"/>
        <v>9.0477892920670362E-4</v>
      </c>
      <c r="C25" s="2">
        <f t="shared" si="1"/>
        <v>0.36812455268467797</v>
      </c>
      <c r="D25" s="2">
        <f t="shared" si="2"/>
        <v>0.26030333228545677</v>
      </c>
      <c r="E25" s="2">
        <f t="shared" si="0"/>
        <v>0.26030333228545677</v>
      </c>
      <c r="F25" s="28">
        <f t="shared" si="3"/>
        <v>0.26030333228545677</v>
      </c>
      <c r="G25" s="28"/>
    </row>
    <row r="26" spans="2:7">
      <c r="B26" s="2">
        <f t="shared" si="4"/>
        <v>1.0053099213407819E-3</v>
      </c>
      <c r="C26" s="2">
        <f t="shared" si="1"/>
        <v>-0.5877852522924728</v>
      </c>
      <c r="D26" s="2">
        <f t="shared" si="2"/>
        <v>-0.41562688151103822</v>
      </c>
      <c r="E26" s="2">
        <f t="shared" si="0"/>
        <v>-0.41562688151103822</v>
      </c>
      <c r="F26" s="28">
        <f t="shared" si="3"/>
        <v>-0.41562688151103827</v>
      </c>
      <c r="G26" s="28"/>
    </row>
    <row r="27" spans="2:7">
      <c r="B27" s="2">
        <f t="shared" si="4"/>
        <v>1.1058409134748601E-3</v>
      </c>
      <c r="C27" s="2">
        <f t="shared" si="1"/>
        <v>-0.99802672842827156</v>
      </c>
      <c r="D27" s="2">
        <f t="shared" si="2"/>
        <v>-0.7057113719398066</v>
      </c>
      <c r="E27" s="2">
        <f t="shared" si="0"/>
        <v>-0.7057113719398066</v>
      </c>
      <c r="F27" s="28">
        <f t="shared" si="3"/>
        <v>-0.7057113719398066</v>
      </c>
      <c r="G27" s="28"/>
    </row>
    <row r="28" spans="2:7">
      <c r="B28" s="2">
        <f t="shared" si="4"/>
        <v>1.2063719056089382E-3</v>
      </c>
      <c r="C28" s="2">
        <f t="shared" si="1"/>
        <v>-0.48175367410171632</v>
      </c>
      <c r="D28" s="2">
        <f t="shared" si="2"/>
        <v>-0.34065124370243666</v>
      </c>
      <c r="E28" s="2">
        <f t="shared" si="0"/>
        <v>-0.34065124370243666</v>
      </c>
      <c r="F28" s="28">
        <f t="shared" si="3"/>
        <v>-0.34065124370243671</v>
      </c>
      <c r="G28" s="28"/>
    </row>
    <row r="29" spans="2:7">
      <c r="B29" s="2">
        <f t="shared" si="4"/>
        <v>1.3069028977430164E-3</v>
      </c>
      <c r="C29" s="2">
        <f t="shared" si="1"/>
        <v>0.48175367410171543</v>
      </c>
      <c r="D29" s="2">
        <f t="shared" si="2"/>
        <v>0.34065124370243605</v>
      </c>
      <c r="E29" s="2">
        <f t="shared" si="0"/>
        <v>0.34065124370243605</v>
      </c>
      <c r="F29" s="28">
        <f t="shared" si="3"/>
        <v>0.34065124370243605</v>
      </c>
      <c r="G29" s="28"/>
    </row>
    <row r="30" spans="2:7">
      <c r="B30" s="2">
        <f t="shared" si="4"/>
        <v>1.4074338898770946E-3</v>
      </c>
      <c r="C30" s="2">
        <f t="shared" si="1"/>
        <v>0.99802672842827145</v>
      </c>
      <c r="D30" s="2">
        <f t="shared" si="2"/>
        <v>0.70571137193980649</v>
      </c>
      <c r="E30" s="2">
        <f t="shared" si="0"/>
        <v>0.70571137193980649</v>
      </c>
      <c r="F30" s="28">
        <f t="shared" si="3"/>
        <v>0.7057113719398066</v>
      </c>
      <c r="G30" s="28"/>
    </row>
    <row r="31" spans="2:7">
      <c r="B31" s="2">
        <f t="shared" si="4"/>
        <v>1.5079648820111727E-3</v>
      </c>
      <c r="C31" s="2">
        <f t="shared" si="1"/>
        <v>0.58778525229247358</v>
      </c>
      <c r="D31" s="2">
        <f t="shared" si="2"/>
        <v>0.41562688151103877</v>
      </c>
      <c r="E31" s="2">
        <f t="shared" si="0"/>
        <v>0.41562688151103877</v>
      </c>
      <c r="F31" s="28">
        <f t="shared" si="3"/>
        <v>0.41562688151103883</v>
      </c>
      <c r="G31" s="28"/>
    </row>
    <row r="32" spans="2:7">
      <c r="B32" s="2">
        <f t="shared" si="4"/>
        <v>1.6084958741452509E-3</v>
      </c>
      <c r="C32" s="2">
        <f t="shared" si="1"/>
        <v>-0.3681245526846787</v>
      </c>
      <c r="D32" s="2">
        <f t="shared" si="2"/>
        <v>-0.26030333228545727</v>
      </c>
      <c r="E32" s="2">
        <f t="shared" si="0"/>
        <v>-0.26030333228545727</v>
      </c>
      <c r="F32" s="28">
        <f t="shared" si="3"/>
        <v>-0.26030333228545732</v>
      </c>
      <c r="G32" s="28"/>
    </row>
    <row r="33" spans="2:11">
      <c r="B33" s="2">
        <f t="shared" si="4"/>
        <v>1.7090268662793291E-3</v>
      </c>
      <c r="C33" s="2">
        <f t="shared" si="1"/>
        <v>-0.98228725072868839</v>
      </c>
      <c r="D33" s="2">
        <f t="shared" si="2"/>
        <v>-0.69458188203277638</v>
      </c>
      <c r="E33" s="2">
        <f t="shared" si="0"/>
        <v>-0.69458188203277638</v>
      </c>
      <c r="F33" s="28">
        <f t="shared" si="3"/>
        <v>-0.69458188203277638</v>
      </c>
      <c r="G33" s="28"/>
    </row>
    <row r="34" spans="2:11">
      <c r="B34" s="2">
        <f t="shared" si="4"/>
        <v>1.8095578584134072E-3</v>
      </c>
      <c r="C34" s="2">
        <f t="shared" si="1"/>
        <v>-0.68454710592868862</v>
      </c>
      <c r="D34" s="2">
        <f t="shared" si="2"/>
        <v>-0.48404783511474758</v>
      </c>
      <c r="E34" s="2">
        <f t="shared" si="0"/>
        <v>-0.48404783511474758</v>
      </c>
      <c r="F34" s="28">
        <f t="shared" si="3"/>
        <v>-0.48404783511474764</v>
      </c>
      <c r="G34" s="28"/>
    </row>
    <row r="35" spans="2:11">
      <c r="B35" s="2">
        <f t="shared" si="4"/>
        <v>1.9100888505474854E-3</v>
      </c>
      <c r="C35" s="2">
        <f t="shared" si="1"/>
        <v>0.24868988716485269</v>
      </c>
      <c r="D35" s="2">
        <f t="shared" si="2"/>
        <v>0.17585028182066104</v>
      </c>
      <c r="E35" s="2">
        <f t="shared" si="0"/>
        <v>0.17585028182066104</v>
      </c>
      <c r="F35" s="28">
        <f t="shared" si="3"/>
        <v>0.17585028182066104</v>
      </c>
      <c r="G35" s="28"/>
      <c r="H35" s="6" t="s">
        <v>65</v>
      </c>
    </row>
    <row r="36" spans="2:11">
      <c r="B36" s="2">
        <f t="shared" si="4"/>
        <v>2.0106198426815638E-3</v>
      </c>
      <c r="C36" s="2">
        <f t="shared" si="1"/>
        <v>0.95105651629515331</v>
      </c>
      <c r="D36" s="2">
        <f t="shared" si="2"/>
        <v>0.67249842092298528</v>
      </c>
      <c r="E36" s="2">
        <f t="shared" si="0"/>
        <v>0.67249842092298528</v>
      </c>
      <c r="F36" s="28">
        <f t="shared" si="3"/>
        <v>0.67249842092298528</v>
      </c>
      <c r="G36" s="28"/>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28">
        <f t="shared" si="3"/>
        <v>0.54483506520253622</v>
      </c>
      <c r="G37" s="28"/>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28">
        <f t="shared" si="3"/>
        <v>-8.8623967363688813E-2</v>
      </c>
      <c r="G38" s="28"/>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28">
        <f t="shared" si="3"/>
        <v>-0.63980925798415478</v>
      </c>
      <c r="G39" s="28"/>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28">
        <f t="shared" si="3"/>
        <v>-0.59702992084339035</v>
      </c>
      <c r="G40" s="28"/>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28">
        <f t="shared" si="3"/>
        <v>-6.9304853051789641E-16</v>
      </c>
      <c r="G41" s="28"/>
      <c r="H41" s="12" t="s">
        <v>103</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226</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D8C86-7CC2-433C-83C8-07A03809C660}">
  <dimension ref="B1:Z102"/>
  <sheetViews>
    <sheetView topLeftCell="A2" zoomScaleNormal="100" workbookViewId="0">
      <selection activeCell="C4" sqref="C4"/>
    </sheetView>
  </sheetViews>
  <sheetFormatPr defaultColWidth="9.140625" defaultRowHeight="15"/>
  <cols>
    <col min="1" max="1" width="5.140625" style="2" customWidth="1"/>
    <col min="2" max="2" width="9.140625" style="2"/>
    <col min="3" max="3" width="13.140625" style="2" bestFit="1" customWidth="1"/>
    <col min="4" max="4" width="14.7109375" style="2" customWidth="1"/>
    <col min="5" max="5" width="11.85546875" style="2" customWidth="1"/>
    <col min="6" max="7" width="9.140625" style="2"/>
    <col min="8" max="8" width="11" style="2" customWidth="1"/>
    <col min="9" max="16384" width="9.140625" style="2"/>
  </cols>
  <sheetData>
    <row r="1" spans="2:26" ht="46.5">
      <c r="B1" s="1" t="s">
        <v>269</v>
      </c>
    </row>
    <row r="2" spans="2:26" ht="15.75" thickBot="1">
      <c r="B2" s="2" t="s">
        <v>270</v>
      </c>
      <c r="H2" s="6" t="s">
        <v>36</v>
      </c>
    </row>
    <row r="3" spans="2:26" ht="15.75" thickBot="1">
      <c r="B3" s="6" t="s">
        <v>271</v>
      </c>
      <c r="E3" s="6" t="s">
        <v>272</v>
      </c>
      <c r="H3" s="2" t="s">
        <v>9</v>
      </c>
      <c r="I3" s="4">
        <v>5</v>
      </c>
      <c r="J3" s="2" t="s">
        <v>18</v>
      </c>
    </row>
    <row r="4" spans="2:26" ht="15.75" thickBot="1">
      <c r="B4" s="2" t="s">
        <v>12</v>
      </c>
      <c r="C4" s="4">
        <v>8</v>
      </c>
      <c r="D4" s="2" t="s">
        <v>16</v>
      </c>
      <c r="E4" s="2" t="s">
        <v>13</v>
      </c>
      <c r="F4" s="4">
        <v>8</v>
      </c>
      <c r="G4" s="2" t="s">
        <v>16</v>
      </c>
      <c r="H4" s="2" t="s">
        <v>10</v>
      </c>
      <c r="I4" s="5">
        <v>-5</v>
      </c>
      <c r="J4" s="2" t="s">
        <v>19</v>
      </c>
      <c r="Z4"/>
    </row>
    <row r="5" spans="2:26" ht="15.75" thickBot="1">
      <c r="B5" s="2" t="s">
        <v>82</v>
      </c>
      <c r="C5" s="4">
        <v>0.01</v>
      </c>
      <c r="D5" s="2" t="s">
        <v>83</v>
      </c>
      <c r="E5" s="2" t="s">
        <v>273</v>
      </c>
      <c r="F5" s="4">
        <v>0.1</v>
      </c>
      <c r="G5" s="2" t="s">
        <v>83</v>
      </c>
      <c r="H5" s="2" t="s">
        <v>31</v>
      </c>
      <c r="I5" s="4">
        <v>1.2</v>
      </c>
      <c r="J5" s="2" t="s">
        <v>32</v>
      </c>
    </row>
    <row r="6" spans="2:26">
      <c r="B6" s="2" t="s">
        <v>274</v>
      </c>
      <c r="C6" s="3">
        <f>1/(2*PI()*C11*C5*0.000001)</f>
        <v>25298.221281347032</v>
      </c>
      <c r="D6" s="2" t="s">
        <v>217</v>
      </c>
      <c r="E6" s="2" t="s">
        <v>275</v>
      </c>
      <c r="F6" s="3">
        <f>1/(2*PI()*C11*F5*0.000001)</f>
        <v>2529.8221281347032</v>
      </c>
      <c r="G6" s="2" t="s">
        <v>217</v>
      </c>
    </row>
    <row r="7" spans="2:26" ht="15.75" thickBot="1">
      <c r="B7" s="2" t="s">
        <v>81</v>
      </c>
      <c r="C7" s="3">
        <f>1/(2*PI()*(C4*1000)*(C5*0.000001))</f>
        <v>1989.4367886486921</v>
      </c>
      <c r="D7" s="2" t="s">
        <v>80</v>
      </c>
      <c r="E7" s="2" t="s">
        <v>81</v>
      </c>
      <c r="F7" s="3">
        <f>1/(2*PI()*(F4*1000)*(F5*0.000001))</f>
        <v>198.94367886486921</v>
      </c>
      <c r="G7" s="2" t="s">
        <v>80</v>
      </c>
      <c r="H7" s="6" t="s">
        <v>33</v>
      </c>
    </row>
    <row r="8" spans="2:26" ht="15.75" thickBot="1">
      <c r="B8" s="2" t="s">
        <v>0</v>
      </c>
      <c r="C8" s="3">
        <v>0</v>
      </c>
      <c r="D8" s="2" t="s">
        <v>17</v>
      </c>
      <c r="F8" s="3"/>
      <c r="H8" s="6" t="s">
        <v>29</v>
      </c>
      <c r="I8" s="4">
        <v>1</v>
      </c>
      <c r="J8" s="2" t="s">
        <v>17</v>
      </c>
    </row>
    <row r="9" spans="2:26" ht="15.75" thickBot="1">
      <c r="B9" s="2" t="s">
        <v>1</v>
      </c>
      <c r="C9" s="3">
        <f>1</f>
        <v>1</v>
      </c>
      <c r="D9" s="2" t="s">
        <v>39</v>
      </c>
      <c r="E9" s="2" t="s">
        <v>276</v>
      </c>
      <c r="F9" s="3">
        <f>SQRT(F7*C7)</f>
        <v>629.11515130608802</v>
      </c>
      <c r="G9" s="2" t="s">
        <v>80</v>
      </c>
      <c r="H9" s="6" t="s">
        <v>34</v>
      </c>
      <c r="I9" s="3">
        <f>IF($C$9*I8/SQRT(1+($C$11/$C$7)^2)&gt;($I$3-$I$5),($I$3-$I$5),IF($C$9*I8/SQRT(1+($C$11/$C$7)^2)&lt;($I$4+$I$5),($I$4+$I$5),$C$9*I8/SQRT(1+($C$11/$C$7)^2)))</f>
        <v>0.95346258924559224</v>
      </c>
      <c r="J9" s="2" t="s">
        <v>17</v>
      </c>
    </row>
    <row r="10" spans="2:26" ht="15.75" thickBot="1">
      <c r="B10" s="2" t="s">
        <v>25</v>
      </c>
      <c r="C10" s="4">
        <v>1</v>
      </c>
      <c r="D10" s="2" t="s">
        <v>38</v>
      </c>
      <c r="E10" s="2" t="s">
        <v>277</v>
      </c>
      <c r="F10" s="3">
        <f>C7-F7</f>
        <v>1790.4931097838228</v>
      </c>
      <c r="G10" s="2" t="s">
        <v>80</v>
      </c>
    </row>
    <row r="11" spans="2:26" ht="18.75" thickBot="1">
      <c r="B11" s="2" t="s">
        <v>84</v>
      </c>
      <c r="C11" s="4">
        <f>F9</f>
        <v>629.11515130608802</v>
      </c>
      <c r="D11" s="2" t="s">
        <v>80</v>
      </c>
      <c r="E11" s="2" t="s">
        <v>278</v>
      </c>
      <c r="F11" s="3">
        <f>F9/F10</f>
        <v>0.35136418446315326</v>
      </c>
      <c r="H11" s="6" t="s">
        <v>105</v>
      </c>
    </row>
    <row r="12" spans="2:26">
      <c r="B12" s="2" t="s">
        <v>87</v>
      </c>
      <c r="C12" s="3">
        <f>1/C11</f>
        <v>1.5895341225273759E-3</v>
      </c>
      <c r="D12" s="2" t="s">
        <v>86</v>
      </c>
      <c r="H12" s="17" t="s">
        <v>106</v>
      </c>
      <c r="I12" s="3">
        <f>1000*(C4*1000)*(C5*0.000001)</f>
        <v>0.08</v>
      </c>
      <c r="J12" s="2" t="s">
        <v>107</v>
      </c>
    </row>
    <row r="13" spans="2:26" ht="15.75" thickBot="1"/>
    <row r="14" spans="2:26" ht="15.75" thickBot="1">
      <c r="B14" s="2" t="s">
        <v>89</v>
      </c>
      <c r="C14" s="4">
        <v>4</v>
      </c>
      <c r="D14" s="2" t="s">
        <v>90</v>
      </c>
    </row>
    <row r="15" spans="2:26">
      <c r="B15" s="2" t="s">
        <v>88</v>
      </c>
      <c r="C15" s="3">
        <f>C12*C14/25</f>
        <v>2.5432545960438012E-4</v>
      </c>
      <c r="D15" s="2" t="s">
        <v>86</v>
      </c>
    </row>
    <row r="16" spans="2:26">
      <c r="E16" s="6" t="s">
        <v>30</v>
      </c>
    </row>
    <row r="17" spans="2:18">
      <c r="B17" s="7" t="s">
        <v>85</v>
      </c>
      <c r="C17" s="7" t="s">
        <v>7</v>
      </c>
      <c r="D17" s="7" t="s">
        <v>3</v>
      </c>
      <c r="E17" s="7" t="s">
        <v>3</v>
      </c>
      <c r="F17" s="28" t="s">
        <v>221</v>
      </c>
      <c r="G17" s="28"/>
    </row>
    <row r="18" spans="2:18">
      <c r="B18" s="2">
        <v>0</v>
      </c>
      <c r="C18" s="2">
        <f>$C$10*SIN($B18*$C$11*2*PI())</f>
        <v>0</v>
      </c>
      <c r="D18" s="2">
        <f>C18*(1/(SQRT(1+($C$11/$C$7)^2)))*($C$11/$F$7)/SQRT(1+($C$11/$F$7)^2)</f>
        <v>0</v>
      </c>
      <c r="E18" s="2">
        <f>IF(D18&gt;($I$3-$I$5),($I$3-$I$5),IF(D18&lt;($I$4+$I$5),($I$4+$I$5),D18))</f>
        <v>0</v>
      </c>
      <c r="F18" s="28">
        <f>C18*$C$6/SQRT($C$6^2+($C$4*1000)^2)*($F$4*1000)/SQRT($F$6^2+($C$4*1000)^2)</f>
        <v>0</v>
      </c>
    </row>
    <row r="19" spans="2:18">
      <c r="B19" s="2">
        <f>B18+$C$15</f>
        <v>2.5432545960438012E-4</v>
      </c>
      <c r="C19" s="2">
        <f t="shared" ref="C19:C43" si="0">$C$10*SIN($B19*$C$11*2*PI())</f>
        <v>0.84432792550201496</v>
      </c>
      <c r="D19" s="2">
        <f t="shared" ref="D19:D43" si="1">C19*(1/(SQRT(1+($C$11/$C$7)^2)))*($C$11/$F$7)/SQRT(1+($C$11/$F$7)^2)</f>
        <v>0.76757084136546816</v>
      </c>
      <c r="E19" s="2">
        <f>IF(D19&gt;($I$3-$I$5),($I$3-$I$5),IF(D19&lt;($I$4+$I$5),($I$4+$I$5),D19))</f>
        <v>0.76757084136546816</v>
      </c>
      <c r="F19" s="28">
        <f t="shared" ref="F19:F43" si="2">C19*$C$6/SQRT($C$6^2+($C$4*1000)^2)*($F$4*1000)/SQRT($F$6^2+($C$4*1000)^2)</f>
        <v>0.76757084136546816</v>
      </c>
    </row>
    <row r="20" spans="2:18">
      <c r="B20" s="2">
        <f t="shared" ref="B20:B43" si="3">B19+$C$15</f>
        <v>5.0865091920876025E-4</v>
      </c>
      <c r="C20" s="2">
        <f t="shared" si="0"/>
        <v>0.90482705246601969</v>
      </c>
      <c r="D20" s="2">
        <f t="shared" si="1"/>
        <v>0.82257004769638142</v>
      </c>
      <c r="E20" s="2">
        <f>IF(D20&gt;($I$3-$I$5),($I$3-$I$5),IF(D20&lt;($I$4+$I$5),($I$4+$I$5),D20))</f>
        <v>0.82257004769638142</v>
      </c>
      <c r="F20" s="28">
        <f t="shared" si="2"/>
        <v>0.82257004769638153</v>
      </c>
    </row>
    <row r="21" spans="2:18">
      <c r="B21" s="2">
        <f t="shared" si="3"/>
        <v>7.6297637881314042E-4</v>
      </c>
      <c r="C21" s="2">
        <f t="shared" si="0"/>
        <v>0.12533323356430454</v>
      </c>
      <c r="D21" s="2">
        <f t="shared" si="1"/>
        <v>0.11393930324027686</v>
      </c>
      <c r="E21" s="2">
        <f>IF(D21&gt;($I$3-$I$5),($I$3-$I$5),IF(D21&lt;($I$4+$I$5),($I$4+$I$5),D21))</f>
        <v>0.11393930324027686</v>
      </c>
      <c r="F21" s="28">
        <f t="shared" si="2"/>
        <v>0.11393930324027686</v>
      </c>
    </row>
    <row r="22" spans="2:18">
      <c r="B22" s="2">
        <f t="shared" si="3"/>
        <v>1.0173018384175205E-3</v>
      </c>
      <c r="C22" s="2">
        <f t="shared" si="0"/>
        <v>-0.77051324277578881</v>
      </c>
      <c r="D22" s="2">
        <f t="shared" si="1"/>
        <v>-0.70046658434162623</v>
      </c>
      <c r="E22" s="2">
        <f>IF(D22&gt;($I$3-$I$5),($I$3-$I$5),IF(D22&lt;($I$4+$I$5),($I$4+$I$5),D22))</f>
        <v>-0.70046658434162623</v>
      </c>
      <c r="F22" s="28">
        <f t="shared" si="2"/>
        <v>-0.70046658434162623</v>
      </c>
    </row>
    <row r="23" spans="2:18" ht="15.75">
      <c r="B23" s="2">
        <f t="shared" si="3"/>
        <v>1.2716272980219006E-3</v>
      </c>
      <c r="C23" s="2">
        <f t="shared" si="0"/>
        <v>-0.95105651629515386</v>
      </c>
      <c r="D23" s="2">
        <f t="shared" si="1"/>
        <v>-0.86459683299559442</v>
      </c>
      <c r="E23" s="2">
        <f>IF(D23&gt;($I$3-$I$5),($I$3-$I$5),IF(D23&lt;($I$4+$I$5),($I$4+$I$5),D23))</f>
        <v>-0.86459683299559442</v>
      </c>
      <c r="F23" s="28">
        <f t="shared" si="2"/>
        <v>-0.86459683299559442</v>
      </c>
      <c r="Q23" s="26"/>
      <c r="R23" s="26"/>
    </row>
    <row r="24" spans="2:18" ht="15.75">
      <c r="B24" s="2">
        <f t="shared" si="3"/>
        <v>1.5259527576262806E-3</v>
      </c>
      <c r="C24" s="2">
        <f t="shared" si="0"/>
        <v>-0.24868988716485621</v>
      </c>
      <c r="D24" s="2">
        <f t="shared" si="1"/>
        <v>-0.2260817156044147</v>
      </c>
      <c r="E24" s="2">
        <f>IF(D24&gt;($I$3-$I$5),($I$3-$I$5),IF(D24&lt;($I$4+$I$5),($I$4+$I$5),D24))</f>
        <v>-0.2260817156044147</v>
      </c>
      <c r="F24" s="28">
        <f t="shared" si="2"/>
        <v>-0.22608171560441473</v>
      </c>
      <c r="Q24" s="26"/>
      <c r="R24" s="26"/>
    </row>
    <row r="25" spans="2:18">
      <c r="B25" s="2">
        <f t="shared" si="3"/>
        <v>1.7802782172306607E-3</v>
      </c>
      <c r="C25" s="2">
        <f t="shared" si="0"/>
        <v>0.68454710592868662</v>
      </c>
      <c r="D25" s="2">
        <f t="shared" si="1"/>
        <v>0.62231555084426049</v>
      </c>
      <c r="E25" s="2">
        <f>IF(D25&gt;($I$3-$I$5),($I$3-$I$5),IF(D25&lt;($I$4+$I$5),($I$4+$I$5),D25))</f>
        <v>0.62231555084426049</v>
      </c>
      <c r="F25" s="28">
        <f t="shared" si="2"/>
        <v>0.62231555084426049</v>
      </c>
    </row>
    <row r="26" spans="2:18">
      <c r="B26" s="2">
        <f t="shared" si="3"/>
        <v>2.034603676835041E-3</v>
      </c>
      <c r="C26" s="2">
        <f t="shared" si="0"/>
        <v>0.98228725072868894</v>
      </c>
      <c r="D26" s="2">
        <f t="shared" si="1"/>
        <v>0.89298840975335347</v>
      </c>
      <c r="E26" s="2">
        <f>IF(D26&gt;($I$3-$I$5),($I$3-$I$5),IF(D26&lt;($I$4+$I$5),($I$4+$I$5),D26))</f>
        <v>0.89298840975335347</v>
      </c>
      <c r="F26" s="28">
        <f t="shared" si="2"/>
        <v>0.89298840975335358</v>
      </c>
    </row>
    <row r="27" spans="2:18">
      <c r="B27" s="2">
        <f t="shared" si="3"/>
        <v>2.2889291364394213E-3</v>
      </c>
      <c r="C27" s="2">
        <f t="shared" si="0"/>
        <v>0.36812455268467797</v>
      </c>
      <c r="D27" s="2">
        <f t="shared" si="1"/>
        <v>0.33465868425879819</v>
      </c>
      <c r="E27" s="2">
        <f>IF(D27&gt;($I$3-$I$5),($I$3-$I$5),IF(D27&lt;($I$4+$I$5),($I$4+$I$5),D27))</f>
        <v>0.33465868425879819</v>
      </c>
      <c r="F27" s="28">
        <f t="shared" si="2"/>
        <v>0.33465868425879813</v>
      </c>
    </row>
    <row r="28" spans="2:18">
      <c r="B28" s="2">
        <f t="shared" si="3"/>
        <v>2.5432545960438016E-3</v>
      </c>
      <c r="C28" s="2">
        <f t="shared" si="0"/>
        <v>-0.5877852522924728</v>
      </c>
      <c r="D28" s="2">
        <f t="shared" si="1"/>
        <v>-0.53435022935679344</v>
      </c>
      <c r="E28" s="2">
        <f>IF(D28&gt;($I$3-$I$5),($I$3-$I$5),IF(D28&lt;($I$4+$I$5),($I$4+$I$5),D28))</f>
        <v>-0.53435022935679344</v>
      </c>
      <c r="F28" s="28">
        <f t="shared" si="2"/>
        <v>-0.53435022935679355</v>
      </c>
    </row>
    <row r="29" spans="2:18">
      <c r="B29" s="2">
        <f t="shared" si="3"/>
        <v>2.7975800556481818E-3</v>
      </c>
      <c r="C29" s="2">
        <f t="shared" si="0"/>
        <v>-0.99802672842827156</v>
      </c>
      <c r="D29" s="2">
        <f t="shared" si="1"/>
        <v>-0.90729702584388316</v>
      </c>
      <c r="E29" s="2">
        <f>IF(D29&gt;($I$3-$I$5),($I$3-$I$5),IF(D29&lt;($I$4+$I$5),($I$4+$I$5),D29))</f>
        <v>-0.90729702584388316</v>
      </c>
      <c r="F29" s="28">
        <f t="shared" si="2"/>
        <v>-0.90729702584388316</v>
      </c>
    </row>
    <row r="30" spans="2:18">
      <c r="B30" s="2">
        <f t="shared" si="3"/>
        <v>3.0519055152525621E-3</v>
      </c>
      <c r="C30" s="2">
        <f t="shared" si="0"/>
        <v>-0.48175367410171477</v>
      </c>
      <c r="D30" s="2">
        <f t="shared" si="1"/>
        <v>-0.43795788554701343</v>
      </c>
      <c r="E30" s="2">
        <f>IF(D30&gt;($I$3-$I$5),($I$3-$I$5),IF(D30&lt;($I$4+$I$5),($I$4+$I$5),D30))</f>
        <v>-0.43795788554701343</v>
      </c>
      <c r="F30" s="28">
        <f t="shared" si="2"/>
        <v>-0.43795788554701343</v>
      </c>
    </row>
    <row r="31" spans="2:18">
      <c r="B31" s="2">
        <f t="shared" si="3"/>
        <v>3.3062309748569424E-3</v>
      </c>
      <c r="C31" s="2">
        <f t="shared" si="0"/>
        <v>0.48175367410171543</v>
      </c>
      <c r="D31" s="2">
        <f t="shared" si="1"/>
        <v>0.43795788554701404</v>
      </c>
      <c r="E31" s="2">
        <f>IF(D31&gt;($I$3-$I$5),($I$3-$I$5),IF(D31&lt;($I$4+$I$5),($I$4+$I$5),D31))</f>
        <v>0.43795788554701404</v>
      </c>
      <c r="F31" s="28">
        <f t="shared" si="2"/>
        <v>0.43795788554701404</v>
      </c>
    </row>
    <row r="32" spans="2:18">
      <c r="B32" s="2">
        <f t="shared" si="3"/>
        <v>3.5605564344613227E-3</v>
      </c>
      <c r="C32" s="2">
        <f t="shared" si="0"/>
        <v>0.99802672842827167</v>
      </c>
      <c r="D32" s="2">
        <f t="shared" si="1"/>
        <v>0.90729702584388328</v>
      </c>
      <c r="E32" s="2">
        <f>IF(D32&gt;($I$3-$I$5),($I$3-$I$5),IF(D32&lt;($I$4+$I$5),($I$4+$I$5),D32))</f>
        <v>0.90729702584388328</v>
      </c>
      <c r="F32" s="28">
        <f t="shared" si="2"/>
        <v>0.90729702584388328</v>
      </c>
    </row>
    <row r="33" spans="2:11">
      <c r="B33" s="2">
        <f t="shared" si="3"/>
        <v>3.814881894065703E-3</v>
      </c>
      <c r="C33" s="2">
        <f t="shared" si="0"/>
        <v>0.58778525229247214</v>
      </c>
      <c r="D33" s="2">
        <f t="shared" si="1"/>
        <v>0.53435022935679277</v>
      </c>
      <c r="E33" s="2">
        <f>IF(D33&gt;($I$3-$I$5),($I$3-$I$5),IF(D33&lt;($I$4+$I$5),($I$4+$I$5),D33))</f>
        <v>0.53435022935679277</v>
      </c>
      <c r="F33" s="28">
        <f t="shared" si="2"/>
        <v>0.53435022935679288</v>
      </c>
    </row>
    <row r="34" spans="2:11">
      <c r="B34" s="2">
        <f t="shared" si="3"/>
        <v>4.0692073536700828E-3</v>
      </c>
      <c r="C34" s="2">
        <f t="shared" si="0"/>
        <v>-0.3681245526846787</v>
      </c>
      <c r="D34" s="2">
        <f t="shared" si="1"/>
        <v>-0.3346586842587988</v>
      </c>
      <c r="E34" s="2">
        <f>IF(D34&gt;($I$3-$I$5),($I$3-$I$5),IF(D34&lt;($I$4+$I$5),($I$4+$I$5),D34))</f>
        <v>-0.3346586842587988</v>
      </c>
      <c r="F34" s="28">
        <f t="shared" si="2"/>
        <v>-0.3346586842587988</v>
      </c>
    </row>
    <row r="35" spans="2:11">
      <c r="B35" s="2">
        <f t="shared" si="3"/>
        <v>4.3235328132744631E-3</v>
      </c>
      <c r="C35" s="2">
        <f t="shared" si="0"/>
        <v>-0.98228725072868905</v>
      </c>
      <c r="D35" s="2">
        <f t="shared" si="1"/>
        <v>-0.89298840975335358</v>
      </c>
      <c r="E35" s="2">
        <f>IF(D35&gt;($I$3-$I$5),($I$3-$I$5),IF(D35&lt;($I$4+$I$5),($I$4+$I$5),D35))</f>
        <v>-0.89298840975335358</v>
      </c>
      <c r="F35" s="28">
        <f t="shared" si="2"/>
        <v>-0.8929884097533537</v>
      </c>
    </row>
    <row r="36" spans="2:11">
      <c r="B36" s="2">
        <f t="shared" si="3"/>
        <v>4.5778582728788434E-3</v>
      </c>
      <c r="C36" s="2">
        <f t="shared" si="0"/>
        <v>-0.68454710592868862</v>
      </c>
      <c r="D36" s="2">
        <f t="shared" si="1"/>
        <v>-0.62231555084426238</v>
      </c>
      <c r="E36" s="2">
        <f>IF(D36&gt;($I$3-$I$5),($I$3-$I$5),IF(D36&lt;($I$4+$I$5),($I$4+$I$5),D36))</f>
        <v>-0.62231555084426238</v>
      </c>
      <c r="F36" s="28">
        <f t="shared" si="2"/>
        <v>-0.62231555084426238</v>
      </c>
    </row>
    <row r="37" spans="2:11">
      <c r="B37" s="2">
        <f t="shared" si="3"/>
        <v>4.8321837324832237E-3</v>
      </c>
      <c r="C37" s="2">
        <f t="shared" si="0"/>
        <v>0.24868988716485613</v>
      </c>
      <c r="D37" s="2">
        <f t="shared" si="1"/>
        <v>0.22608171560441465</v>
      </c>
      <c r="E37" s="2">
        <f>IF(D37&gt;($I$3-$I$5),($I$3-$I$5),IF(D37&lt;($I$4+$I$5),($I$4+$I$5),D37))</f>
        <v>0.22608171560441465</v>
      </c>
      <c r="F37" s="28">
        <f t="shared" si="2"/>
        <v>0.22608171560441465</v>
      </c>
      <c r="H37" s="6" t="s">
        <v>65</v>
      </c>
    </row>
    <row r="38" spans="2:11">
      <c r="B38" s="2">
        <f t="shared" si="3"/>
        <v>5.086509192087604E-3</v>
      </c>
      <c r="C38" s="2">
        <f t="shared" si="0"/>
        <v>0.95105651629515442</v>
      </c>
      <c r="D38" s="2">
        <f t="shared" si="1"/>
        <v>0.86459683299559487</v>
      </c>
      <c r="E38" s="2">
        <f>IF(D38&gt;($I$3-$I$5),($I$3-$I$5),IF(D38&lt;($I$4+$I$5),($I$4+$I$5),D38))</f>
        <v>0.86459683299559487</v>
      </c>
      <c r="F38" s="28">
        <f t="shared" si="2"/>
        <v>0.86459683299559498</v>
      </c>
      <c r="H38" s="12" t="s">
        <v>64</v>
      </c>
      <c r="I38" s="12">
        <f>I3</f>
        <v>5</v>
      </c>
      <c r="J38" s="12" t="s">
        <v>17</v>
      </c>
      <c r="K38" s="13" t="str">
        <f>TRIM(H38)&amp;"   "&amp;IF(I38&gt;0,"+","")&amp;TRIM(I38)&amp;" "&amp;TRIM(J38)</f>
        <v>V+:   +5 V</v>
      </c>
    </row>
    <row r="39" spans="2:11">
      <c r="B39" s="2">
        <f t="shared" si="3"/>
        <v>5.3408346516919843E-3</v>
      </c>
      <c r="C39" s="2">
        <f t="shared" si="0"/>
        <v>0.77051324277578659</v>
      </c>
      <c r="D39" s="2">
        <f t="shared" si="1"/>
        <v>0.70046658434162423</v>
      </c>
      <c r="E39" s="2">
        <f>IF(D39&gt;($I$3-$I$5),($I$3-$I$5),IF(D39&lt;($I$4+$I$5),($I$4+$I$5),D39))</f>
        <v>0.70046658434162423</v>
      </c>
      <c r="F39" s="28">
        <f t="shared" si="2"/>
        <v>0.70046658434162412</v>
      </c>
      <c r="H39" s="12" t="s">
        <v>66</v>
      </c>
      <c r="I39" s="12">
        <f>I4</f>
        <v>-5</v>
      </c>
      <c r="J39" s="12" t="s">
        <v>17</v>
      </c>
      <c r="K39" s="13" t="str">
        <f t="shared" ref="K39:K40" si="4">TRIM(H39)&amp;"   "&amp;IF(I39&gt;0,"+","")&amp;TRIM(I39)&amp;" "&amp;TRIM(J39)</f>
        <v>V-:   -5 V</v>
      </c>
    </row>
    <row r="40" spans="2:11">
      <c r="B40" s="2">
        <f t="shared" si="3"/>
        <v>5.5951601112963645E-3</v>
      </c>
      <c r="C40" s="2">
        <f t="shared" si="0"/>
        <v>-0.12533323356430973</v>
      </c>
      <c r="D40" s="2">
        <f t="shared" si="1"/>
        <v>-0.11393930324028156</v>
      </c>
      <c r="E40" s="2">
        <f>IF(D40&gt;($I$3-$I$5),($I$3-$I$5),IF(D40&lt;($I$4+$I$5),($I$4+$I$5),D40))</f>
        <v>-0.11393930324028156</v>
      </c>
      <c r="F40" s="28">
        <f t="shared" si="2"/>
        <v>-0.11393930324028158</v>
      </c>
      <c r="H40" s="12" t="s">
        <v>29</v>
      </c>
      <c r="I40" s="12">
        <f>I8</f>
        <v>1</v>
      </c>
      <c r="J40" s="12" t="s">
        <v>17</v>
      </c>
      <c r="K40" s="13" t="str">
        <f t="shared" si="4"/>
        <v>Vin:   +1 V</v>
      </c>
    </row>
    <row r="41" spans="2:11">
      <c r="B41" s="2">
        <f t="shared" si="3"/>
        <v>5.8494855709007448E-3</v>
      </c>
      <c r="C41" s="2">
        <f t="shared" si="0"/>
        <v>-0.90482705246602091</v>
      </c>
      <c r="D41" s="2">
        <f t="shared" si="1"/>
        <v>-0.82257004769638264</v>
      </c>
      <c r="E41" s="2">
        <f>IF(D41&gt;($I$3-$I$5),($I$3-$I$5),IF(D41&lt;($I$4+$I$5),($I$4+$I$5),D41))</f>
        <v>-0.82257004769638264</v>
      </c>
      <c r="F41" s="28">
        <f t="shared" si="2"/>
        <v>-0.82257004769638264</v>
      </c>
      <c r="H41" s="12" t="s">
        <v>67</v>
      </c>
      <c r="I41" s="12">
        <f>C4</f>
        <v>8</v>
      </c>
      <c r="J41" s="12" t="s">
        <v>16</v>
      </c>
      <c r="K41" s="13" t="str">
        <f>TRIM(H41)&amp;"   "&amp;TRIM(I41)&amp;" "&amp;TRIM(J41)</f>
        <v>R1:   8 K</v>
      </c>
    </row>
    <row r="42" spans="2:11">
      <c r="B42" s="2">
        <f t="shared" si="3"/>
        <v>6.1038110305051251E-3</v>
      </c>
      <c r="C42" s="2">
        <f t="shared" si="0"/>
        <v>-0.84432792550201252</v>
      </c>
      <c r="D42" s="2">
        <f t="shared" si="1"/>
        <v>-0.76757084136546594</v>
      </c>
      <c r="E42" s="2">
        <f>IF(D42&gt;($I$3-$I$5),($I$3-$I$5),IF(D42&lt;($I$4+$I$5),($I$4+$I$5),D42))</f>
        <v>-0.76757084136546594</v>
      </c>
      <c r="F42" s="28">
        <f t="shared" si="2"/>
        <v>-0.76757084136546583</v>
      </c>
      <c r="H42" s="12" t="s">
        <v>102</v>
      </c>
      <c r="I42" s="12">
        <f>C5</f>
        <v>0.01</v>
      </c>
      <c r="J42" s="12" t="s">
        <v>83</v>
      </c>
      <c r="K42" s="13" t="str">
        <f>TRIM(H42)&amp;"   "&amp;TRIM(I42)&amp;" "&amp;TRIM(J42)</f>
        <v>C1:   0.01 uF</v>
      </c>
    </row>
    <row r="43" spans="2:11">
      <c r="B43" s="2">
        <f t="shared" si="3"/>
        <v>6.3581364901095054E-3</v>
      </c>
      <c r="C43" s="2">
        <f t="shared" si="0"/>
        <v>6.1253085936741059E-15</v>
      </c>
      <c r="D43" s="2">
        <f t="shared" si="1"/>
        <v>5.5684623578855508E-15</v>
      </c>
      <c r="E43" s="2">
        <f>IF(D43&gt;($I$3-$I$5),($I$3-$I$5),IF(D43&lt;($I$4+$I$5),($I$4+$I$5),D43))</f>
        <v>5.5684623578855508E-15</v>
      </c>
      <c r="F43" s="28">
        <f t="shared" si="2"/>
        <v>5.5684623578855508E-15</v>
      </c>
      <c r="H43" s="12" t="s">
        <v>72</v>
      </c>
      <c r="I43" s="12">
        <f>F4</f>
        <v>8</v>
      </c>
      <c r="J43" s="12" t="s">
        <v>16</v>
      </c>
      <c r="K43" s="13" t="str">
        <f>TRIM(H43)&amp;"   "&amp;TRIM(I43)&amp;" "&amp;TRIM(J43)</f>
        <v>R2:   8 K</v>
      </c>
    </row>
    <row r="44" spans="2:11">
      <c r="H44" s="12" t="s">
        <v>279</v>
      </c>
      <c r="I44" s="12">
        <f>F5</f>
        <v>0.1</v>
      </c>
      <c r="J44" s="12" t="s">
        <v>83</v>
      </c>
      <c r="K44" s="13" t="str">
        <f>TRIM(H44)&amp;"   "&amp;TRIM(I44)&amp;" "&amp;TRIM(J44)</f>
        <v>C2:   0.1 uF</v>
      </c>
    </row>
    <row r="45" spans="2:11">
      <c r="B45" s="6" t="s">
        <v>92</v>
      </c>
      <c r="H45" s="12" t="s">
        <v>103</v>
      </c>
      <c r="I45" s="12">
        <f>ROUND(C11,0)</f>
        <v>629</v>
      </c>
      <c r="J45" s="12" t="s">
        <v>80</v>
      </c>
      <c r="K45" s="13" t="str">
        <f>TRIM(H45)&amp;"   "&amp;TRIM(I45)&amp;" "&amp;TRIM(J45)</f>
        <v>f,signal:   629 Hz</v>
      </c>
    </row>
    <row r="46" spans="2:11" ht="15.75">
      <c r="B46" s="14"/>
      <c r="C46" s="2" t="s">
        <v>95</v>
      </c>
    </row>
    <row r="47" spans="2:11">
      <c r="B47" s="7" t="s">
        <v>93</v>
      </c>
      <c r="C47" s="7" t="s">
        <v>274</v>
      </c>
      <c r="D47" s="7" t="s">
        <v>275</v>
      </c>
      <c r="E47" s="7" t="s">
        <v>94</v>
      </c>
      <c r="F47" s="7" t="s">
        <v>223</v>
      </c>
    </row>
    <row r="48" spans="2:11">
      <c r="B48" s="2">
        <v>1</v>
      </c>
      <c r="C48" s="2">
        <f>1/(2*PI()*B48*$C$5*0.000001)</f>
        <v>15915494.309189534</v>
      </c>
      <c r="D48" s="2">
        <f>1/(2*PI()*B48*$F$5*0.000001)</f>
        <v>1591549.4309189534</v>
      </c>
      <c r="E48" s="2">
        <f>20*LOG((1/(SQRT(1+(B48/$C$7)^2)))*(B48/$F$7)/SQRT(1+(B48/$F$7)^2))</f>
        <v>-45.974713718566143</v>
      </c>
      <c r="F48" s="2">
        <f>20*LOG(C48/SQRT((C48^2+($C$4*1000)^2))*($F$4*1000)/SQRT(D48^2+($C$4*1000)^2))</f>
        <v>-45.974713718566143</v>
      </c>
    </row>
    <row r="49" spans="2:6">
      <c r="B49" s="2">
        <v>2</v>
      </c>
      <c r="C49" s="2">
        <f t="shared" ref="C49:D102" si="5">1/(2*PI()*B49*$C$5*0.000001)</f>
        <v>7957747.1545947669</v>
      </c>
      <c r="D49" s="2">
        <f t="shared" ref="D49:D102" si="6">1/(2*PI()*B49*$F$5*0.000001)</f>
        <v>795774.71545947669</v>
      </c>
      <c r="E49" s="2">
        <f t="shared" ref="E49:E102" si="7">20*LOG((1/(SQRT(1+(B49/$C$7)^2)))*(B49/$F$7)/SQRT(1+(B49/$F$7)^2))</f>
        <v>-39.954446265353511</v>
      </c>
      <c r="F49" s="2">
        <f t="shared" ref="F49:F102" si="8">20*LOG(C49/SQRT((C49^2+($C$4*1000)^2))*($F$4*1000)/SQRT(D49^2+($C$4*1000)^2))</f>
        <v>-39.954446265353511</v>
      </c>
    </row>
    <row r="50" spans="2:6">
      <c r="B50" s="2">
        <v>3</v>
      </c>
      <c r="C50" s="2">
        <f t="shared" si="5"/>
        <v>5305164.7697298443</v>
      </c>
      <c r="D50" s="2">
        <f t="shared" si="6"/>
        <v>530516.4769729845</v>
      </c>
      <c r="E50" s="2">
        <f t="shared" si="7"/>
        <v>-36.433175128910065</v>
      </c>
      <c r="F50" s="2">
        <f t="shared" si="8"/>
        <v>-36.433175128910065</v>
      </c>
    </row>
    <row r="51" spans="2:6">
      <c r="B51" s="2">
        <v>4</v>
      </c>
      <c r="C51" s="2">
        <f t="shared" si="5"/>
        <v>3978873.5772973835</v>
      </c>
      <c r="D51" s="2">
        <f t="shared" si="6"/>
        <v>397887.35772973835</v>
      </c>
      <c r="E51" s="2">
        <f t="shared" si="7"/>
        <v>-33.935175942884619</v>
      </c>
      <c r="F51" s="2">
        <f t="shared" si="8"/>
        <v>-33.935175942884619</v>
      </c>
    </row>
    <row r="52" spans="2:6">
      <c r="B52" s="2">
        <v>5</v>
      </c>
      <c r="C52" s="2">
        <f t="shared" si="5"/>
        <v>3183098.8618379068</v>
      </c>
      <c r="D52" s="2">
        <f t="shared" si="6"/>
        <v>318309.88618379069</v>
      </c>
      <c r="E52" s="2">
        <f t="shared" si="7"/>
        <v>-31.997972614007285</v>
      </c>
      <c r="F52" s="2">
        <f t="shared" si="8"/>
        <v>-31.997972614007285</v>
      </c>
    </row>
    <row r="53" spans="2:6">
      <c r="B53" s="2">
        <v>6</v>
      </c>
      <c r="C53" s="2">
        <f t="shared" si="5"/>
        <v>2652582.3848649221</v>
      </c>
      <c r="D53" s="2">
        <f t="shared" si="6"/>
        <v>265258.23848649225</v>
      </c>
      <c r="E53" s="2">
        <f t="shared" si="7"/>
        <v>-30.415565860019008</v>
      </c>
      <c r="F53" s="2">
        <f t="shared" si="8"/>
        <v>-30.415565860019008</v>
      </c>
    </row>
    <row r="54" spans="2:6">
      <c r="B54" s="2">
        <v>7</v>
      </c>
      <c r="C54" s="2">
        <f t="shared" si="5"/>
        <v>2273642.0441699335</v>
      </c>
      <c r="D54" s="2">
        <f t="shared" si="6"/>
        <v>227364.20441699337</v>
      </c>
      <c r="E54" s="2">
        <f t="shared" si="7"/>
        <v>-29.078069287528319</v>
      </c>
      <c r="F54" s="2">
        <f t="shared" si="8"/>
        <v>-29.078069287528322</v>
      </c>
    </row>
    <row r="55" spans="2:6">
      <c r="B55" s="2">
        <v>8</v>
      </c>
      <c r="C55" s="2">
        <f t="shared" si="5"/>
        <v>1989436.7886486917</v>
      </c>
      <c r="D55" s="2">
        <f t="shared" si="6"/>
        <v>198943.67886486917</v>
      </c>
      <c r="E55" s="2">
        <f t="shared" si="7"/>
        <v>-27.919890405762121</v>
      </c>
      <c r="F55" s="2">
        <f t="shared" si="8"/>
        <v>-27.919890405762118</v>
      </c>
    </row>
    <row r="56" spans="2:6">
      <c r="B56" s="2">
        <v>9</v>
      </c>
      <c r="C56" s="2">
        <f t="shared" si="5"/>
        <v>1768388.2565766149</v>
      </c>
      <c r="D56" s="2">
        <f t="shared" si="6"/>
        <v>176838.82565766151</v>
      </c>
      <c r="E56" s="2">
        <f t="shared" si="7"/>
        <v>-26.898720603916686</v>
      </c>
      <c r="F56" s="2">
        <f t="shared" si="8"/>
        <v>-26.898720603916686</v>
      </c>
    </row>
    <row r="57" spans="2:6">
      <c r="B57" s="2">
        <v>10</v>
      </c>
      <c r="C57" s="2">
        <f t="shared" si="5"/>
        <v>1591549.4309189534</v>
      </c>
      <c r="D57" s="2">
        <f t="shared" si="6"/>
        <v>159154.94309189534</v>
      </c>
      <c r="E57" s="2">
        <f t="shared" si="7"/>
        <v>-25.985671748033681</v>
      </c>
      <c r="F57" s="2">
        <f t="shared" si="8"/>
        <v>-25.985671748033681</v>
      </c>
    </row>
    <row r="58" spans="2:6">
      <c r="B58" s="2">
        <v>20</v>
      </c>
      <c r="C58" s="2">
        <f t="shared" si="5"/>
        <v>795774.71545947669</v>
      </c>
      <c r="D58" s="2">
        <f t="shared" si="6"/>
        <v>79577.471545947672</v>
      </c>
      <c r="E58" s="2">
        <f t="shared" si="7"/>
        <v>-19.998113426146517</v>
      </c>
      <c r="F58" s="2">
        <f t="shared" si="8"/>
        <v>-19.998113426146517</v>
      </c>
    </row>
    <row r="59" spans="2:6">
      <c r="B59" s="2">
        <v>30</v>
      </c>
      <c r="C59" s="2">
        <f t="shared" si="5"/>
        <v>530516.4769729845</v>
      </c>
      <c r="D59" s="2">
        <f t="shared" si="6"/>
        <v>53051.647697298446</v>
      </c>
      <c r="E59" s="2">
        <f t="shared" si="7"/>
        <v>-16.530815839199025</v>
      </c>
      <c r="F59" s="2">
        <f t="shared" si="8"/>
        <v>-16.530815839199025</v>
      </c>
    </row>
    <row r="60" spans="2:6">
      <c r="B60" s="2">
        <v>40</v>
      </c>
      <c r="C60" s="2">
        <f t="shared" si="5"/>
        <v>397887.35772973835</v>
      </c>
      <c r="D60" s="2">
        <f t="shared" si="6"/>
        <v>39788.735772973836</v>
      </c>
      <c r="E60" s="2">
        <f t="shared" si="7"/>
        <v>-14.107269932957232</v>
      </c>
      <c r="F60" s="2">
        <f t="shared" si="8"/>
        <v>-14.10726993295723</v>
      </c>
    </row>
    <row r="61" spans="2:6">
      <c r="B61" s="2">
        <v>50</v>
      </c>
      <c r="C61" s="2">
        <f t="shared" si="5"/>
        <v>318309.88618379069</v>
      </c>
      <c r="D61" s="2">
        <f t="shared" si="6"/>
        <v>31830.988618379066</v>
      </c>
      <c r="E61" s="2">
        <f t="shared" si="7"/>
        <v>-12.263953803576404</v>
      </c>
      <c r="F61" s="2">
        <f t="shared" si="8"/>
        <v>-12.263953803576404</v>
      </c>
    </row>
    <row r="62" spans="2:6">
      <c r="B62" s="2">
        <v>60</v>
      </c>
      <c r="C62" s="2">
        <f t="shared" si="5"/>
        <v>265258.23848649225</v>
      </c>
      <c r="D62" s="2">
        <f t="shared" si="6"/>
        <v>26525.823848649223</v>
      </c>
      <c r="E62" s="2">
        <f t="shared" si="7"/>
        <v>-10.793607762136858</v>
      </c>
      <c r="F62" s="2">
        <f t="shared" si="8"/>
        <v>-10.793607762136858</v>
      </c>
    </row>
    <row r="63" spans="2:6">
      <c r="B63" s="2">
        <v>70</v>
      </c>
      <c r="C63" s="2">
        <f t="shared" si="5"/>
        <v>227364.20441699337</v>
      </c>
      <c r="D63" s="2">
        <f t="shared" si="6"/>
        <v>22736.420441699334</v>
      </c>
      <c r="E63" s="2">
        <f t="shared" si="7"/>
        <v>-9.5849224833549727</v>
      </c>
      <c r="F63" s="2">
        <f t="shared" si="8"/>
        <v>-9.5849224833549709</v>
      </c>
    </row>
    <row r="64" spans="2:6">
      <c r="B64" s="2">
        <v>80</v>
      </c>
      <c r="C64" s="2">
        <f t="shared" si="5"/>
        <v>198943.67886486917</v>
      </c>
      <c r="D64" s="2">
        <f t="shared" si="6"/>
        <v>19894.367886486918</v>
      </c>
      <c r="E64" s="2">
        <f t="shared" si="7"/>
        <v>-8.5707735257013713</v>
      </c>
      <c r="F64" s="2">
        <f t="shared" si="8"/>
        <v>-8.5707735257013677</v>
      </c>
    </row>
    <row r="65" spans="2:6">
      <c r="B65" s="2">
        <v>90</v>
      </c>
      <c r="C65" s="2">
        <f t="shared" si="5"/>
        <v>176838.82565766151</v>
      </c>
      <c r="D65" s="2">
        <f t="shared" si="6"/>
        <v>17683.882565766147</v>
      </c>
      <c r="E65" s="2">
        <f t="shared" si="7"/>
        <v>-7.7072626255765346</v>
      </c>
      <c r="F65" s="2">
        <f t="shared" si="8"/>
        <v>-7.7072626255765346</v>
      </c>
    </row>
    <row r="66" spans="2:6">
      <c r="B66" s="2">
        <v>100</v>
      </c>
      <c r="C66" s="2">
        <f t="shared" si="5"/>
        <v>159154.94309189534</v>
      </c>
      <c r="D66" s="2">
        <f t="shared" si="6"/>
        <v>15915.494309189533</v>
      </c>
      <c r="E66" s="2">
        <f t="shared" si="7"/>
        <v>-6.963900609578987</v>
      </c>
      <c r="F66" s="2">
        <f t="shared" si="8"/>
        <v>-6.963900609578987</v>
      </c>
    </row>
    <row r="67" spans="2:6">
      <c r="B67" s="2">
        <v>200</v>
      </c>
      <c r="C67" s="2">
        <f t="shared" si="5"/>
        <v>79577.471545947672</v>
      </c>
      <c r="D67" s="2">
        <f t="shared" si="6"/>
        <v>7957.7471545947665</v>
      </c>
      <c r="E67" s="2">
        <f t="shared" si="7"/>
        <v>-3.0310338916776187</v>
      </c>
      <c r="F67" s="2">
        <f t="shared" si="8"/>
        <v>-3.0310338916776169</v>
      </c>
    </row>
    <row r="68" spans="2:6">
      <c r="B68" s="2">
        <v>300</v>
      </c>
      <c r="C68" s="2">
        <f t="shared" si="5"/>
        <v>53051.647697298446</v>
      </c>
      <c r="D68" s="2">
        <f t="shared" si="6"/>
        <v>5305.1647697298449</v>
      </c>
      <c r="E68" s="2">
        <f t="shared" si="7"/>
        <v>-1.6805579019933692</v>
      </c>
      <c r="F68" s="2">
        <f t="shared" si="8"/>
        <v>-1.6805579019933692</v>
      </c>
    </row>
    <row r="69" spans="2:6">
      <c r="B69" s="2">
        <v>400</v>
      </c>
      <c r="C69" s="2">
        <f t="shared" si="5"/>
        <v>39788.735772973836</v>
      </c>
      <c r="D69" s="2">
        <f t="shared" si="6"/>
        <v>3978.8735772973832</v>
      </c>
      <c r="E69" s="2">
        <f t="shared" si="7"/>
        <v>-1.1320511633780921</v>
      </c>
      <c r="F69" s="2">
        <f t="shared" si="8"/>
        <v>-1.1320511633780932</v>
      </c>
    </row>
    <row r="70" spans="2:6">
      <c r="B70" s="2">
        <v>500</v>
      </c>
      <c r="C70" s="2">
        <f t="shared" si="5"/>
        <v>31830.988618379073</v>
      </c>
      <c r="D70" s="2">
        <f t="shared" si="6"/>
        <v>3183.098861837907</v>
      </c>
      <c r="E70" s="2">
        <f t="shared" si="7"/>
        <v>-0.90427298697860647</v>
      </c>
      <c r="F70" s="2">
        <f t="shared" si="8"/>
        <v>-0.90427298697860869</v>
      </c>
    </row>
    <row r="71" spans="2:6">
      <c r="B71" s="2">
        <v>600</v>
      </c>
      <c r="C71" s="2">
        <f t="shared" si="5"/>
        <v>26525.823848649223</v>
      </c>
      <c r="D71" s="2">
        <f t="shared" si="6"/>
        <v>2652.5823848649225</v>
      </c>
      <c r="E71" s="2">
        <f t="shared" si="7"/>
        <v>-0.83107846874675162</v>
      </c>
      <c r="F71" s="2">
        <f t="shared" si="8"/>
        <v>-0.83107846874675162</v>
      </c>
    </row>
    <row r="72" spans="2:6">
      <c r="B72" s="2">
        <v>700</v>
      </c>
      <c r="C72" s="2">
        <f t="shared" si="5"/>
        <v>22736.420441699334</v>
      </c>
      <c r="D72" s="2">
        <f t="shared" si="6"/>
        <v>2273.6420441699333</v>
      </c>
      <c r="E72" s="2">
        <f t="shared" si="7"/>
        <v>-0.84425033077178036</v>
      </c>
      <c r="F72" s="2">
        <f t="shared" si="8"/>
        <v>-0.84425033077178036</v>
      </c>
    </row>
    <row r="73" spans="2:6">
      <c r="B73" s="2">
        <v>800</v>
      </c>
      <c r="C73" s="2">
        <f t="shared" si="5"/>
        <v>19894.367886486918</v>
      </c>
      <c r="D73" s="2">
        <f t="shared" si="6"/>
        <v>1989.4367886486916</v>
      </c>
      <c r="E73" s="2">
        <f t="shared" si="7"/>
        <v>-0.91155047008158085</v>
      </c>
      <c r="F73" s="2">
        <f t="shared" si="8"/>
        <v>-0.91155047008158296</v>
      </c>
    </row>
    <row r="74" spans="2:6">
      <c r="B74" s="2">
        <v>900</v>
      </c>
      <c r="C74" s="2">
        <f t="shared" si="5"/>
        <v>17683.882565766151</v>
      </c>
      <c r="D74" s="2">
        <f t="shared" si="6"/>
        <v>1768.388256576615</v>
      </c>
      <c r="E74" s="2">
        <f t="shared" si="7"/>
        <v>-1.0158162928687582</v>
      </c>
      <c r="F74" s="2">
        <f t="shared" si="8"/>
        <v>-1.0158162928687582</v>
      </c>
    </row>
    <row r="75" spans="2:6">
      <c r="B75" s="2">
        <v>1000</v>
      </c>
      <c r="C75" s="2">
        <f t="shared" si="5"/>
        <v>15915.494309189537</v>
      </c>
      <c r="D75" s="2">
        <f t="shared" si="6"/>
        <v>1591.5494309189535</v>
      </c>
      <c r="E75" s="2">
        <f t="shared" si="7"/>
        <v>-1.1469118455564911</v>
      </c>
      <c r="F75" s="2">
        <f t="shared" si="8"/>
        <v>-1.1469118455564922</v>
      </c>
    </row>
    <row r="76" spans="2:6">
      <c r="B76" s="2">
        <v>2000</v>
      </c>
      <c r="C76" s="2">
        <f t="shared" si="5"/>
        <v>7957.7471545947683</v>
      </c>
      <c r="D76" s="2">
        <f t="shared" si="6"/>
        <v>795.77471545947674</v>
      </c>
      <c r="E76" s="2">
        <f t="shared" si="7"/>
        <v>-3.0761200633474663</v>
      </c>
      <c r="F76" s="2">
        <f t="shared" si="8"/>
        <v>-3.0761200633474663</v>
      </c>
    </row>
    <row r="77" spans="2:6">
      <c r="B77" s="2">
        <v>3000</v>
      </c>
      <c r="C77" s="2">
        <f t="shared" si="5"/>
        <v>5305.1647697298449</v>
      </c>
      <c r="D77" s="2">
        <f t="shared" si="6"/>
        <v>530.51647697298449</v>
      </c>
      <c r="E77" s="2">
        <f t="shared" si="7"/>
        <v>-5.1697862704451421</v>
      </c>
      <c r="F77" s="2">
        <f t="shared" si="8"/>
        <v>-5.1697862704451421</v>
      </c>
    </row>
    <row r="78" spans="2:6">
      <c r="B78" s="2">
        <v>4000</v>
      </c>
      <c r="C78" s="2">
        <f t="shared" si="5"/>
        <v>3978.8735772973841</v>
      </c>
      <c r="D78" s="2">
        <f t="shared" si="6"/>
        <v>397.88735772973837</v>
      </c>
      <c r="E78" s="2">
        <f t="shared" si="7"/>
        <v>-7.0372662610907728</v>
      </c>
      <c r="F78" s="2">
        <f t="shared" si="8"/>
        <v>-7.0372662610907728</v>
      </c>
    </row>
    <row r="79" spans="2:6">
      <c r="B79" s="2">
        <v>5000</v>
      </c>
      <c r="C79" s="2">
        <f t="shared" si="5"/>
        <v>3183.098861837907</v>
      </c>
      <c r="D79" s="2">
        <f t="shared" si="6"/>
        <v>318.30988618379064</v>
      </c>
      <c r="E79" s="2">
        <f t="shared" si="7"/>
        <v>-8.6499316269221751</v>
      </c>
      <c r="F79" s="2">
        <f t="shared" si="8"/>
        <v>-8.6499316269221751</v>
      </c>
    </row>
    <row r="80" spans="2:6">
      <c r="B80" s="2">
        <v>6000</v>
      </c>
      <c r="C80" s="2">
        <f t="shared" si="5"/>
        <v>2652.5823848649225</v>
      </c>
      <c r="D80" s="2">
        <f t="shared" si="6"/>
        <v>265.25823848649225</v>
      </c>
      <c r="E80" s="2">
        <f t="shared" si="7"/>
        <v>-10.046191212223947</v>
      </c>
      <c r="F80" s="2">
        <f t="shared" si="8"/>
        <v>-10.046191212223947</v>
      </c>
    </row>
    <row r="81" spans="2:6">
      <c r="B81" s="2">
        <v>7000</v>
      </c>
      <c r="C81" s="2">
        <f t="shared" si="5"/>
        <v>2273.6420441699333</v>
      </c>
      <c r="D81" s="2">
        <f t="shared" si="6"/>
        <v>227.36420441699337</v>
      </c>
      <c r="E81" s="2">
        <f t="shared" si="7"/>
        <v>-11.268207769709962</v>
      </c>
      <c r="F81" s="2">
        <f t="shared" si="8"/>
        <v>-11.268207769709967</v>
      </c>
    </row>
    <row r="82" spans="2:6">
      <c r="B82" s="2">
        <v>8000</v>
      </c>
      <c r="C82" s="2">
        <f t="shared" si="5"/>
        <v>1989.4367886486921</v>
      </c>
      <c r="D82" s="2">
        <f t="shared" si="6"/>
        <v>198.94367886486918</v>
      </c>
      <c r="E82" s="2">
        <f t="shared" si="7"/>
        <v>-12.350478884535951</v>
      </c>
      <c r="F82" s="2">
        <f t="shared" si="8"/>
        <v>-12.350478884535953</v>
      </c>
    </row>
    <row r="83" spans="2:6">
      <c r="B83" s="2">
        <v>9000</v>
      </c>
      <c r="C83" s="2">
        <f t="shared" si="5"/>
        <v>1768.388256576615</v>
      </c>
      <c r="D83" s="2">
        <f t="shared" si="6"/>
        <v>176.83882565766146</v>
      </c>
      <c r="E83" s="2">
        <f t="shared" si="7"/>
        <v>-13.319554237999156</v>
      </c>
      <c r="F83" s="2">
        <f t="shared" si="8"/>
        <v>-13.319554237999153</v>
      </c>
    </row>
    <row r="84" spans="2:6">
      <c r="B84" s="2">
        <v>10000</v>
      </c>
      <c r="C84" s="2">
        <f t="shared" si="5"/>
        <v>1591.5494309189535</v>
      </c>
      <c r="D84" s="2">
        <f t="shared" si="6"/>
        <v>159.15494309189532</v>
      </c>
      <c r="E84" s="2">
        <f t="shared" si="7"/>
        <v>-14.195688898886944</v>
      </c>
      <c r="F84" s="2">
        <f t="shared" si="8"/>
        <v>-14.195688898886944</v>
      </c>
    </row>
    <row r="85" spans="2:6">
      <c r="B85" s="2">
        <v>20000</v>
      </c>
      <c r="C85" s="2">
        <f t="shared" si="5"/>
        <v>795.77471545947674</v>
      </c>
      <c r="D85" s="2">
        <f t="shared" si="6"/>
        <v>79.57747154594766</v>
      </c>
      <c r="E85" s="2">
        <f t="shared" si="7"/>
        <v>-20.089187419441036</v>
      </c>
      <c r="F85" s="2">
        <f t="shared" si="8"/>
        <v>-20.089187419441036</v>
      </c>
    </row>
    <row r="86" spans="2:6">
      <c r="B86" s="2">
        <v>30000</v>
      </c>
      <c r="C86" s="2">
        <f t="shared" si="5"/>
        <v>530.51647697298449</v>
      </c>
      <c r="D86" s="2">
        <f t="shared" si="6"/>
        <v>53.051647697298449</v>
      </c>
      <c r="E86" s="2">
        <f t="shared" si="7"/>
        <v>-23.587069936444813</v>
      </c>
      <c r="F86" s="2">
        <f t="shared" si="8"/>
        <v>-23.587069936444813</v>
      </c>
    </row>
    <row r="87" spans="2:6">
      <c r="B87" s="2">
        <v>40000</v>
      </c>
      <c r="C87" s="2">
        <f t="shared" si="5"/>
        <v>397.88735772973837</v>
      </c>
      <c r="D87" s="2">
        <f t="shared" si="6"/>
        <v>39.78873577297383</v>
      </c>
      <c r="E87" s="2">
        <f t="shared" si="7"/>
        <v>-26.077434072929311</v>
      </c>
      <c r="F87" s="2">
        <f t="shared" si="8"/>
        <v>-26.077434072929311</v>
      </c>
    </row>
    <row r="88" spans="2:6">
      <c r="B88" s="2">
        <v>50000</v>
      </c>
      <c r="C88" s="2">
        <f t="shared" si="5"/>
        <v>318.3098861837907</v>
      </c>
      <c r="D88" s="2">
        <f t="shared" si="6"/>
        <v>31.830988618379067</v>
      </c>
      <c r="E88" s="2">
        <f t="shared" si="7"/>
        <v>-28.011736016344454</v>
      </c>
      <c r="F88" s="2">
        <f t="shared" si="8"/>
        <v>-28.011736016344454</v>
      </c>
    </row>
    <row r="89" spans="2:6">
      <c r="B89" s="2">
        <v>60000</v>
      </c>
      <c r="C89" s="2">
        <f t="shared" si="5"/>
        <v>265.25823848649225</v>
      </c>
      <c r="D89" s="2">
        <f t="shared" si="6"/>
        <v>26.525823848649225</v>
      </c>
      <c r="E89" s="2">
        <f t="shared" si="7"/>
        <v>-29.59324189439085</v>
      </c>
      <c r="F89" s="2">
        <f t="shared" si="8"/>
        <v>-29.59324189439085</v>
      </c>
    </row>
    <row r="90" spans="2:6">
      <c r="B90" s="2">
        <v>70000</v>
      </c>
      <c r="C90" s="2">
        <f t="shared" si="5"/>
        <v>227.36420441699337</v>
      </c>
      <c r="D90" s="2">
        <f t="shared" si="6"/>
        <v>22.736420441699334</v>
      </c>
      <c r="E90" s="2">
        <f t="shared" si="7"/>
        <v>-30.930899480928616</v>
      </c>
      <c r="F90" s="2">
        <f t="shared" si="8"/>
        <v>-30.930899480928616</v>
      </c>
    </row>
    <row r="91" spans="2:6">
      <c r="B91" s="2">
        <v>80000</v>
      </c>
      <c r="C91" s="2">
        <f t="shared" si="5"/>
        <v>198.94367886486918</v>
      </c>
      <c r="D91" s="2">
        <f t="shared" si="6"/>
        <v>19.894367886486915</v>
      </c>
      <c r="E91" s="2">
        <f t="shared" si="7"/>
        <v>-32.089908618164088</v>
      </c>
      <c r="F91" s="2">
        <f t="shared" si="8"/>
        <v>-32.089908618164088</v>
      </c>
    </row>
    <row r="92" spans="2:6">
      <c r="B92" s="2">
        <v>90000</v>
      </c>
      <c r="C92" s="2">
        <f t="shared" si="5"/>
        <v>176.83882565766146</v>
      </c>
      <c r="D92" s="2">
        <f t="shared" si="6"/>
        <v>17.683882565766147</v>
      </c>
      <c r="E92" s="2">
        <f t="shared" si="7"/>
        <v>-33.112390067545093</v>
      </c>
      <c r="F92" s="2">
        <f t="shared" si="8"/>
        <v>-33.112390067545093</v>
      </c>
    </row>
    <row r="93" spans="2:6">
      <c r="B93" s="2">
        <v>100000</v>
      </c>
      <c r="C93" s="2">
        <f t="shared" si="5"/>
        <v>159.15494309189535</v>
      </c>
      <c r="D93" s="2">
        <f t="shared" si="6"/>
        <v>15.915494309189533</v>
      </c>
      <c r="E93" s="2">
        <f t="shared" si="7"/>
        <v>-34.027132831874724</v>
      </c>
      <c r="F93" s="2">
        <f t="shared" si="8"/>
        <v>-34.027132831874724</v>
      </c>
    </row>
    <row r="94" spans="2:6">
      <c r="B94" s="2">
        <v>200000</v>
      </c>
      <c r="C94" s="2">
        <f t="shared" si="5"/>
        <v>79.577471545947674</v>
      </c>
      <c r="D94" s="2">
        <f t="shared" si="6"/>
        <v>7.9577471545947667</v>
      </c>
      <c r="E94" s="2">
        <f t="shared" si="7"/>
        <v>-40.046431015263302</v>
      </c>
      <c r="F94" s="2">
        <f t="shared" si="8"/>
        <v>-40.046431015263309</v>
      </c>
    </row>
    <row r="95" spans="2:6">
      <c r="B95" s="2">
        <v>300000</v>
      </c>
      <c r="C95" s="2">
        <f t="shared" si="5"/>
        <v>53.051647697298449</v>
      </c>
      <c r="D95" s="2">
        <f t="shared" si="6"/>
        <v>5.3051647697298447</v>
      </c>
      <c r="E95" s="2">
        <f t="shared" si="7"/>
        <v>-43.56801509330262</v>
      </c>
      <c r="F95" s="2">
        <f t="shared" si="8"/>
        <v>-43.56801509330262</v>
      </c>
    </row>
    <row r="96" spans="2:6">
      <c r="B96" s="2">
        <v>400000</v>
      </c>
      <c r="C96" s="2">
        <f t="shared" si="5"/>
        <v>39.788735772973837</v>
      </c>
      <c r="D96" s="2">
        <f t="shared" si="6"/>
        <v>3.9788735772973833</v>
      </c>
      <c r="E96" s="2">
        <f t="shared" si="7"/>
        <v>-46.066705436292288</v>
      </c>
      <c r="F96" s="2">
        <f t="shared" si="8"/>
        <v>-46.066705436292288</v>
      </c>
    </row>
    <row r="97" spans="2:6">
      <c r="B97" s="2">
        <v>500000</v>
      </c>
      <c r="C97" s="2">
        <f t="shared" si="5"/>
        <v>31.830988618379067</v>
      </c>
      <c r="D97" s="2">
        <f t="shared" si="6"/>
        <v>3.1830988618379075</v>
      </c>
      <c r="E97" s="2">
        <f t="shared" si="7"/>
        <v>-48.004866635776111</v>
      </c>
      <c r="F97" s="2">
        <f t="shared" si="8"/>
        <v>-48.004866635776111</v>
      </c>
    </row>
    <row r="98" spans="2:6">
      <c r="B98" s="2">
        <v>600000</v>
      </c>
      <c r="C98" s="2">
        <f t="shared" si="5"/>
        <v>26.525823848649225</v>
      </c>
      <c r="D98" s="2">
        <f t="shared" si="6"/>
        <v>2.6525823848649224</v>
      </c>
      <c r="E98" s="2">
        <f t="shared" si="7"/>
        <v>-49.588470338438533</v>
      </c>
      <c r="F98" s="2">
        <f t="shared" si="8"/>
        <v>-49.588470338438533</v>
      </c>
    </row>
    <row r="99" spans="2:6">
      <c r="B99" s="2">
        <v>700000</v>
      </c>
      <c r="C99" s="2">
        <f t="shared" si="5"/>
        <v>22.736420441699334</v>
      </c>
      <c r="D99" s="2">
        <f t="shared" si="6"/>
        <v>2.2736420441699337</v>
      </c>
      <c r="E99" s="2">
        <f t="shared" si="7"/>
        <v>-50.927393337041991</v>
      </c>
      <c r="F99" s="2">
        <f t="shared" si="8"/>
        <v>-50.927393337042005</v>
      </c>
    </row>
    <row r="100" spans="2:6">
      <c r="B100" s="2">
        <v>800000</v>
      </c>
      <c r="C100" s="2">
        <f t="shared" si="5"/>
        <v>19.894367886486918</v>
      </c>
      <c r="D100" s="2">
        <f t="shared" si="6"/>
        <v>1.9894367886486917</v>
      </c>
      <c r="E100" s="2">
        <f t="shared" si="7"/>
        <v>-52.087223972772165</v>
      </c>
      <c r="F100" s="2">
        <f t="shared" si="8"/>
        <v>-52.087223972772172</v>
      </c>
    </row>
    <row r="101" spans="2:6">
      <c r="B101" s="2">
        <v>900000</v>
      </c>
      <c r="C101" s="2">
        <f t="shared" si="5"/>
        <v>17.683882565766151</v>
      </c>
      <c r="D101" s="2">
        <f t="shared" si="6"/>
        <v>1.7683882565766149</v>
      </c>
      <c r="E101" s="2">
        <f t="shared" si="7"/>
        <v>-53.110268728636704</v>
      </c>
      <c r="F101" s="2">
        <f t="shared" si="8"/>
        <v>-53.110268728636704</v>
      </c>
    </row>
    <row r="102" spans="2:6">
      <c r="B102" s="2">
        <v>1000000</v>
      </c>
      <c r="C102" s="2">
        <f t="shared" si="5"/>
        <v>15.915494309189533</v>
      </c>
      <c r="D102" s="2">
        <f t="shared" si="6"/>
        <v>1.5915494309189537</v>
      </c>
      <c r="E102" s="2">
        <f t="shared" si="7"/>
        <v>-54.025414467616869</v>
      </c>
      <c r="F102" s="2">
        <f t="shared" si="8"/>
        <v>-54.025414467616869</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Normal="100" workbookViewId="0">
      <selection activeCell="C4" sqref="C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topLeftCell="B3" zoomScaleNormal="100" workbookViewId="0">
      <selection activeCell="C4" sqref="C4"/>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176</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105</v>
      </c>
    </row>
    <row r="13" spans="2:29" ht="15.7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28" t="s">
        <v>228</v>
      </c>
      <c r="G16" s="28"/>
    </row>
    <row r="17" spans="2:20">
      <c r="B17" s="2">
        <v>0</v>
      </c>
      <c r="C17" s="2">
        <f>$C$9*SIN($B17*$C$10*2*PI())</f>
        <v>0</v>
      </c>
      <c r="D17" s="2">
        <f>C17*$C$7*(1/(1+($C$10/$C$12)))</f>
        <v>0</v>
      </c>
      <c r="E17" s="2">
        <f t="shared" ref="E17:E42" si="0">IF(D17&gt;($I$3-$I$5),($I$3-$I$5),IF(D17&lt;($I$4+$I$5),($I$4+$I$5),D17))</f>
        <v>0</v>
      </c>
      <c r="F17" s="28">
        <f>-C17*(($C$4*1000)/($C$3*1000))*(1/(1+2*PI()*$C$10*$C$5*0.000001*$C$4*1000))</f>
        <v>0</v>
      </c>
      <c r="G17" s="28"/>
    </row>
    <row r="18" spans="2:20">
      <c r="B18" s="2">
        <f>B17+$C$14</f>
        <v>1.0053408733898838E-3</v>
      </c>
      <c r="C18" s="2">
        <f t="shared" ref="C18:C42" si="1">$C$9*SIN($B18*$C$10*2*PI())</f>
        <v>0.84432792550201508</v>
      </c>
      <c r="D18" s="2">
        <f t="shared" ref="D18:D42" si="2">C18*$C$7*(1/(1+($C$10/$C$12)))</f>
        <v>-0.76757300859825428</v>
      </c>
      <c r="E18" s="2">
        <f t="shared" si="0"/>
        <v>-0.76757300859825428</v>
      </c>
      <c r="F18" s="28">
        <f t="shared" ref="F18:F42" si="3">-C18*(($C$4*1000)/($C$3*1000))*(1/(1+2*PI()*$C$10*$C$5*0.000001*$C$4*1000))</f>
        <v>-0.76757300859825428</v>
      </c>
      <c r="G18" s="28"/>
    </row>
    <row r="19" spans="2:20">
      <c r="B19" s="2">
        <f t="shared" ref="B19:B42" si="4">B18+$C$14</f>
        <v>2.0106817467797676E-3</v>
      </c>
      <c r="C19" s="2">
        <f t="shared" si="1"/>
        <v>0.90482705246601947</v>
      </c>
      <c r="D19" s="2">
        <f t="shared" si="2"/>
        <v>-0.82257237021917684</v>
      </c>
      <c r="E19" s="2">
        <f t="shared" si="0"/>
        <v>-0.82257237021917684</v>
      </c>
      <c r="F19" s="28">
        <f t="shared" si="3"/>
        <v>-0.82257237021917684</v>
      </c>
      <c r="G19" s="28"/>
    </row>
    <row r="20" spans="2:20">
      <c r="B20" s="2">
        <f t="shared" si="4"/>
        <v>3.0160226201696515E-3</v>
      </c>
      <c r="C20" s="2">
        <f t="shared" si="1"/>
        <v>0.12533323356430409</v>
      </c>
      <c r="D20" s="2">
        <f t="shared" si="2"/>
        <v>-0.1139396249473819</v>
      </c>
      <c r="E20" s="2">
        <f t="shared" si="0"/>
        <v>-0.1139396249473819</v>
      </c>
      <c r="F20" s="28">
        <f t="shared" si="3"/>
        <v>-0.1139396249473819</v>
      </c>
      <c r="G20" s="28"/>
    </row>
    <row r="21" spans="2:20">
      <c r="B21" s="2">
        <f t="shared" si="4"/>
        <v>4.0213634935595353E-3</v>
      </c>
      <c r="C21" s="2">
        <f t="shared" si="1"/>
        <v>-0.77051324277578936</v>
      </c>
      <c r="D21" s="2">
        <f t="shared" si="2"/>
        <v>0.70046856210584774</v>
      </c>
      <c r="E21" s="2">
        <f t="shared" si="0"/>
        <v>0.70046856210584774</v>
      </c>
      <c r="F21" s="28">
        <f t="shared" si="3"/>
        <v>0.70046856210584774</v>
      </c>
      <c r="G21" s="28"/>
    </row>
    <row r="22" spans="2:20">
      <c r="B22" s="2">
        <f t="shared" si="4"/>
        <v>5.0267043669494187E-3</v>
      </c>
      <c r="C22" s="2">
        <f t="shared" si="1"/>
        <v>-0.95105651629515364</v>
      </c>
      <c r="D22" s="2">
        <f t="shared" si="2"/>
        <v>0.86459927418082716</v>
      </c>
      <c r="E22" s="2">
        <f t="shared" si="0"/>
        <v>0.86459927418082716</v>
      </c>
      <c r="F22" s="28">
        <f t="shared" si="3"/>
        <v>0.86459927418082716</v>
      </c>
      <c r="G22" s="28"/>
    </row>
    <row r="23" spans="2:20">
      <c r="B23" s="2">
        <f t="shared" si="4"/>
        <v>6.032045240339302E-3</v>
      </c>
      <c r="C23" s="2">
        <f t="shared" si="1"/>
        <v>-0.24868988716485535</v>
      </c>
      <c r="D23" s="2">
        <f t="shared" si="2"/>
        <v>0.22608235394511161</v>
      </c>
      <c r="E23" s="2">
        <f t="shared" si="0"/>
        <v>0.22608235394511161</v>
      </c>
      <c r="F23" s="28">
        <f t="shared" si="3"/>
        <v>0.22608235394511161</v>
      </c>
      <c r="G23" s="28"/>
    </row>
    <row r="24" spans="2:20">
      <c r="B24" s="2">
        <f t="shared" si="4"/>
        <v>7.0373861137291854E-3</v>
      </c>
      <c r="C24" s="2">
        <f t="shared" si="1"/>
        <v>0.68454710592868795</v>
      </c>
      <c r="D24" s="2">
        <f t="shared" si="2"/>
        <v>-0.62231730794939444</v>
      </c>
      <c r="E24" s="2">
        <f t="shared" si="0"/>
        <v>-0.62231730794939444</v>
      </c>
      <c r="F24" s="28">
        <f t="shared" si="3"/>
        <v>-0.62231730794939444</v>
      </c>
      <c r="G24" s="28"/>
    </row>
    <row r="25" spans="2:20">
      <c r="B25" s="2">
        <f t="shared" si="4"/>
        <v>8.0427269871190688E-3</v>
      </c>
      <c r="C25" s="2">
        <f t="shared" si="1"/>
        <v>0.98228725072868894</v>
      </c>
      <c r="D25" s="2">
        <f t="shared" si="2"/>
        <v>-0.89299093110207461</v>
      </c>
      <c r="E25" s="2">
        <f t="shared" si="0"/>
        <v>-0.89299093110207461</v>
      </c>
      <c r="F25" s="28">
        <f t="shared" si="3"/>
        <v>-0.89299093110207461</v>
      </c>
      <c r="G25" s="28"/>
    </row>
    <row r="26" spans="2:20">
      <c r="B26" s="2">
        <f t="shared" si="4"/>
        <v>9.0480678605089522E-3</v>
      </c>
      <c r="C26" s="2">
        <f t="shared" si="1"/>
        <v>0.36812455268467958</v>
      </c>
      <c r="D26" s="2">
        <f t="shared" si="2"/>
        <v>-0.33465962916607539</v>
      </c>
      <c r="E26" s="2">
        <f t="shared" si="0"/>
        <v>-0.33465962916607539</v>
      </c>
      <c r="F26" s="28">
        <f t="shared" si="3"/>
        <v>-0.33465962916607539</v>
      </c>
      <c r="G26" s="28"/>
    </row>
    <row r="27" spans="2:20">
      <c r="B27" s="2">
        <f t="shared" si="4"/>
        <v>1.0053408733898836E-2</v>
      </c>
      <c r="C27" s="2">
        <f t="shared" si="1"/>
        <v>-0.58778525229247136</v>
      </c>
      <c r="D27" s="2">
        <f t="shared" si="2"/>
        <v>0.5343517380922389</v>
      </c>
      <c r="E27" s="2">
        <f t="shared" si="0"/>
        <v>0.5343517380922389</v>
      </c>
      <c r="F27" s="28">
        <f t="shared" si="3"/>
        <v>0.5343517380922389</v>
      </c>
      <c r="G27" s="28"/>
    </row>
    <row r="28" spans="2:20">
      <c r="B28" s="2">
        <f t="shared" si="4"/>
        <v>1.1058749607288719E-2</v>
      </c>
      <c r="C28" s="2">
        <f t="shared" si="1"/>
        <v>-0.99802672842827167</v>
      </c>
      <c r="D28" s="2">
        <f t="shared" si="2"/>
        <v>0.90729958759291696</v>
      </c>
      <c r="E28" s="2">
        <f t="shared" si="0"/>
        <v>0.90729958759291696</v>
      </c>
      <c r="F28" s="28">
        <f t="shared" si="3"/>
        <v>0.90729958759291696</v>
      </c>
      <c r="G28" s="28"/>
    </row>
    <row r="29" spans="2:20">
      <c r="B29" s="2">
        <f t="shared" si="4"/>
        <v>1.2064090480678602E-2</v>
      </c>
      <c r="C29" s="2">
        <f t="shared" si="1"/>
        <v>-0.48175367410171788</v>
      </c>
      <c r="D29" s="2">
        <f t="shared" si="2"/>
        <v>0.43795912211911792</v>
      </c>
      <c r="E29" s="2">
        <f t="shared" si="0"/>
        <v>0.43795912211911792</v>
      </c>
      <c r="F29" s="28">
        <f t="shared" si="3"/>
        <v>0.43795912211911792</v>
      </c>
      <c r="G29" s="28"/>
    </row>
    <row r="30" spans="2:20">
      <c r="B30" s="2">
        <f t="shared" si="4"/>
        <v>1.3069431354068486E-2</v>
      </c>
      <c r="C30" s="2">
        <f t="shared" si="1"/>
        <v>0.48175367410171233</v>
      </c>
      <c r="D30" s="2">
        <f t="shared" si="2"/>
        <v>-0.43795912211911286</v>
      </c>
      <c r="E30" s="2">
        <f t="shared" si="0"/>
        <v>-0.43795912211911286</v>
      </c>
      <c r="F30" s="28">
        <f t="shared" si="3"/>
        <v>-0.43795912211911286</v>
      </c>
      <c r="G30" s="28"/>
    </row>
    <row r="31" spans="2:20">
      <c r="B31" s="2">
        <f t="shared" si="4"/>
        <v>1.4074772227458369E-2</v>
      </c>
      <c r="C31" s="2">
        <f t="shared" si="1"/>
        <v>0.99802672842827123</v>
      </c>
      <c r="D31" s="2">
        <f t="shared" si="2"/>
        <v>-0.90729958759291651</v>
      </c>
      <c r="E31" s="2">
        <f t="shared" si="0"/>
        <v>-0.90729958759291651</v>
      </c>
      <c r="F31" s="28">
        <f t="shared" si="3"/>
        <v>-0.90729958759291651</v>
      </c>
      <c r="G31" s="28"/>
      <c r="T31" s="30" t="s">
        <v>227</v>
      </c>
    </row>
    <row r="32" spans="2:20">
      <c r="B32" s="2">
        <f t="shared" si="4"/>
        <v>1.5080113100848253E-2</v>
      </c>
      <c r="C32" s="2">
        <f t="shared" si="1"/>
        <v>0.58778525229247647</v>
      </c>
      <c r="D32" s="2">
        <f t="shared" si="2"/>
        <v>-0.53435173809224357</v>
      </c>
      <c r="E32" s="2">
        <f t="shared" si="0"/>
        <v>-0.53435173809224357</v>
      </c>
      <c r="F32" s="28">
        <f t="shared" si="3"/>
        <v>-0.53435173809224357</v>
      </c>
      <c r="G32" s="28"/>
    </row>
    <row r="33" spans="2:11">
      <c r="B33" s="2">
        <f t="shared" si="4"/>
        <v>1.6085453974238138E-2</v>
      </c>
      <c r="C33" s="2">
        <f t="shared" si="1"/>
        <v>-0.36812455268467542</v>
      </c>
      <c r="D33" s="2">
        <f t="shared" si="2"/>
        <v>0.33465962916607161</v>
      </c>
      <c r="E33" s="2">
        <f t="shared" si="0"/>
        <v>0.33465962916607161</v>
      </c>
      <c r="F33" s="28">
        <f t="shared" si="3"/>
        <v>0.33465962916607161</v>
      </c>
      <c r="G33" s="28"/>
    </row>
    <row r="34" spans="2:11">
      <c r="B34" s="2">
        <f t="shared" si="4"/>
        <v>1.7090794847628023E-2</v>
      </c>
      <c r="C34" s="2">
        <f t="shared" si="1"/>
        <v>-0.98228725072868839</v>
      </c>
      <c r="D34" s="2">
        <f t="shared" si="2"/>
        <v>0.89299093110207417</v>
      </c>
      <c r="E34" s="2">
        <f t="shared" si="0"/>
        <v>0.89299093110207417</v>
      </c>
      <c r="F34" s="28">
        <f t="shared" si="3"/>
        <v>0.89299093110207417</v>
      </c>
      <c r="G34" s="28"/>
    </row>
    <row r="35" spans="2:11">
      <c r="B35" s="2">
        <f t="shared" si="4"/>
        <v>1.8096135721017908E-2</v>
      </c>
      <c r="C35" s="2">
        <f t="shared" si="1"/>
        <v>-0.68454710592868862</v>
      </c>
      <c r="D35" s="2">
        <f t="shared" si="2"/>
        <v>0.6223173079493951</v>
      </c>
      <c r="E35" s="2">
        <f t="shared" si="0"/>
        <v>0.6223173079493951</v>
      </c>
      <c r="F35" s="28">
        <f t="shared" si="3"/>
        <v>0.6223173079493951</v>
      </c>
      <c r="G35" s="28"/>
    </row>
    <row r="36" spans="2:11">
      <c r="B36" s="2">
        <f t="shared" si="4"/>
        <v>1.9101476594407793E-2</v>
      </c>
      <c r="C36" s="2">
        <f t="shared" si="1"/>
        <v>0.24868988716485613</v>
      </c>
      <c r="D36" s="2">
        <f t="shared" si="2"/>
        <v>-0.22608235394511234</v>
      </c>
      <c r="E36" s="2">
        <f t="shared" si="0"/>
        <v>-0.22608235394511234</v>
      </c>
      <c r="F36" s="28">
        <f t="shared" si="3"/>
        <v>-0.22608235394511234</v>
      </c>
      <c r="G36" s="28"/>
      <c r="H36" s="6" t="s">
        <v>65</v>
      </c>
    </row>
    <row r="37" spans="2:11">
      <c r="B37" s="2">
        <f t="shared" si="4"/>
        <v>2.0106817467797678E-2</v>
      </c>
      <c r="C37" s="2">
        <f t="shared" si="1"/>
        <v>0.95105651629515442</v>
      </c>
      <c r="D37" s="2">
        <f t="shared" si="2"/>
        <v>-0.86459927418082794</v>
      </c>
      <c r="E37" s="2">
        <f t="shared" si="0"/>
        <v>-0.86459927418082794</v>
      </c>
      <c r="F37" s="28">
        <f t="shared" si="3"/>
        <v>-0.86459927418082794</v>
      </c>
      <c r="G37" s="28"/>
      <c r="H37" s="12" t="s">
        <v>64</v>
      </c>
      <c r="I37" s="12">
        <f>I3</f>
        <v>5</v>
      </c>
      <c r="J37" s="12" t="s">
        <v>17</v>
      </c>
      <c r="K37" s="13" t="str">
        <f>TRIM(H37)&amp;"   "&amp;IF(I37&gt;0,"+","")&amp;TRIM(I37)&amp;" "&amp;TRIM(J37)</f>
        <v>V+:   +5 V</v>
      </c>
    </row>
    <row r="38" spans="2:11">
      <c r="B38" s="2">
        <f t="shared" si="4"/>
        <v>2.1112158341187563E-2</v>
      </c>
      <c r="C38" s="2">
        <f t="shared" si="1"/>
        <v>0.77051324277578659</v>
      </c>
      <c r="D38" s="2">
        <f t="shared" si="2"/>
        <v>-0.70046856210584518</v>
      </c>
      <c r="E38" s="2">
        <f t="shared" si="0"/>
        <v>-0.70046856210584518</v>
      </c>
      <c r="F38" s="28">
        <f t="shared" si="3"/>
        <v>-0.70046856210584518</v>
      </c>
      <c r="G38" s="28"/>
      <c r="H38" s="12" t="s">
        <v>66</v>
      </c>
      <c r="I38" s="12">
        <f>I4</f>
        <v>-5</v>
      </c>
      <c r="J38" s="12" t="s">
        <v>17</v>
      </c>
      <c r="K38" s="13" t="str">
        <f t="shared" ref="K38:K39" si="5">TRIM(H38)&amp;"   "&amp;IF(I38&gt;0,"+","")&amp;TRIM(I38)&amp;" "&amp;TRIM(J38)</f>
        <v>V-:   -5 V</v>
      </c>
    </row>
    <row r="39" spans="2:11">
      <c r="B39" s="2">
        <f t="shared" si="4"/>
        <v>2.2117499214577448E-2</v>
      </c>
      <c r="C39" s="2">
        <f t="shared" si="1"/>
        <v>-0.12533323356430973</v>
      </c>
      <c r="D39" s="2">
        <f t="shared" si="2"/>
        <v>0.11393962494738702</v>
      </c>
      <c r="E39" s="2">
        <f t="shared" si="0"/>
        <v>0.11393962494738702</v>
      </c>
      <c r="F39" s="28">
        <f t="shared" si="3"/>
        <v>0.11393962494738702</v>
      </c>
      <c r="G39" s="28"/>
      <c r="H39" s="12" t="s">
        <v>29</v>
      </c>
      <c r="I39" s="12">
        <f>I9</f>
        <v>1</v>
      </c>
      <c r="J39" s="12" t="s">
        <v>17</v>
      </c>
      <c r="K39" s="13" t="str">
        <f t="shared" si="5"/>
        <v>Vin:   +1 V</v>
      </c>
    </row>
    <row r="40" spans="2:11">
      <c r="B40" s="2">
        <f t="shared" si="4"/>
        <v>2.3122840087967333E-2</v>
      </c>
      <c r="C40" s="2">
        <f t="shared" si="1"/>
        <v>-0.90482705246602246</v>
      </c>
      <c r="D40" s="2">
        <f t="shared" si="2"/>
        <v>0.82257237021917951</v>
      </c>
      <c r="E40" s="2">
        <f t="shared" si="0"/>
        <v>0.82257237021917951</v>
      </c>
      <c r="F40" s="28">
        <f t="shared" si="3"/>
        <v>0.82257237021917951</v>
      </c>
      <c r="G40" s="28"/>
      <c r="H40" s="12" t="s">
        <v>67</v>
      </c>
      <c r="I40" s="12">
        <f>C3</f>
        <v>1</v>
      </c>
      <c r="J40" s="12" t="s">
        <v>16</v>
      </c>
      <c r="K40" s="13" t="str">
        <f>TRIM(H40)&amp;"   "&amp;TRIM(I40)&amp;" "&amp;TRIM(J40)</f>
        <v>R1:   1 K</v>
      </c>
    </row>
    <row r="41" spans="2:11">
      <c r="B41" s="2">
        <f t="shared" si="4"/>
        <v>2.4128180961357219E-2</v>
      </c>
      <c r="C41" s="2">
        <f t="shared" si="1"/>
        <v>-0.84432792550201063</v>
      </c>
      <c r="D41" s="2">
        <f t="shared" si="2"/>
        <v>0.76757300859825028</v>
      </c>
      <c r="E41" s="2">
        <f t="shared" si="0"/>
        <v>0.76757300859825028</v>
      </c>
      <c r="F41" s="28">
        <f t="shared" si="3"/>
        <v>0.76757300859825028</v>
      </c>
      <c r="G41" s="28"/>
      <c r="H41" s="12" t="s">
        <v>68</v>
      </c>
      <c r="I41" s="12">
        <f>C4</f>
        <v>1</v>
      </c>
      <c r="J41" s="12" t="s">
        <v>16</v>
      </c>
      <c r="K41" s="13" t="str">
        <f>TRIM(H41)&amp;"   "&amp;TRIM(I41)&amp;" "&amp;TRIM(J41)</f>
        <v>RF:   1 K</v>
      </c>
    </row>
    <row r="42" spans="2:11">
      <c r="B42" s="2">
        <f t="shared" si="4"/>
        <v>2.5133521834747104E-2</v>
      </c>
      <c r="C42" s="2">
        <f t="shared" si="1"/>
        <v>9.6780222724746068E-15</v>
      </c>
      <c r="D42" s="2">
        <f t="shared" si="2"/>
        <v>-8.7982269075695984E-15</v>
      </c>
      <c r="E42" s="2">
        <f t="shared" si="0"/>
        <v>-8.7982269075695984E-15</v>
      </c>
      <c r="F42" s="28">
        <f t="shared" si="3"/>
        <v>-8.7982269075695984E-15</v>
      </c>
      <c r="G42" s="28"/>
      <c r="H42" s="12" t="s">
        <v>102</v>
      </c>
      <c r="I42" s="12">
        <f>C5</f>
        <v>0.1</v>
      </c>
      <c r="J42" s="12" t="s">
        <v>83</v>
      </c>
      <c r="K42" s="13" t="str">
        <f>TRIM(H42)&amp;"   "&amp;TRIM(I42)&amp;" "&amp;TRIM(J42)</f>
        <v>C1:   0.1 uF</v>
      </c>
    </row>
    <row r="43" spans="2:11">
      <c r="H43" s="12" t="s">
        <v>103</v>
      </c>
      <c r="I43" s="12">
        <f>ROUND(C10,0)</f>
        <v>159</v>
      </c>
      <c r="J43" s="12" t="s">
        <v>80</v>
      </c>
      <c r="K43" s="13" t="str">
        <f>TRIM(H43)&amp;"   "&amp;TRIM(I43)&amp;" "&amp;TRIM(J43)</f>
        <v>f,signal:   159 Hz</v>
      </c>
    </row>
    <row r="44" spans="2:11">
      <c r="B44" s="6" t="s">
        <v>92</v>
      </c>
    </row>
    <row r="45" spans="2:11" ht="15.75">
      <c r="B45" s="14"/>
      <c r="C45" s="2" t="s">
        <v>95</v>
      </c>
    </row>
    <row r="46" spans="2:11">
      <c r="B46" s="7" t="s">
        <v>93</v>
      </c>
      <c r="C46" s="7" t="s">
        <v>94</v>
      </c>
      <c r="D46" s="7" t="s">
        <v>97</v>
      </c>
      <c r="E46" s="7" t="s">
        <v>223</v>
      </c>
    </row>
    <row r="47" spans="2:11">
      <c r="B47" s="2">
        <v>1</v>
      </c>
      <c r="C47" s="2">
        <f>20*LOG(-$C$7*(1/(1+(B47/$C$12))))</f>
        <v>-5.4557916073157782E-3</v>
      </c>
      <c r="D47" s="2">
        <f t="shared" ref="D47:D78" si="6">1/(2*PI()*B47*$C$5*0.000001)</f>
        <v>1591549.4309189534</v>
      </c>
      <c r="E47" s="2">
        <f>20*LOG(((D47*$C$4*1000)/(D47+($C$4*1000)))/($C$3*1000))</f>
        <v>-5.4557916073167435E-3</v>
      </c>
    </row>
    <row r="48" spans="2:11">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T31" r:id="rId1" xr:uid="{D945DD9A-8D5E-4591-8DE6-6DD00A3EDCD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Signal Generator</vt:lpstr>
      <vt:lpstr>Comparator</vt:lpstr>
      <vt:lpstr>Buffer</vt:lpstr>
      <vt:lpstr>Attenuator</vt:lpstr>
      <vt:lpstr>Unity LPF</vt:lpstr>
      <vt:lpstr>Unity HPF</vt:lpstr>
      <vt:lpstr>Unity BPF</vt:lpstr>
      <vt:lpstr>Inv</vt:lpstr>
      <vt:lpstr>Inv LPF</vt:lpstr>
      <vt:lpstr>Inv HPF</vt:lpstr>
      <vt:lpstr>InvAmp-BAD</vt:lpstr>
      <vt:lpstr>Inv+Bias</vt:lpstr>
      <vt:lpstr>Inv+Bias Vhalf</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Vhalf</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2025-03-20T19:38:14Z</dcterms:modified>
</cp:coreProperties>
</file>