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ddubi\Downloads\"/>
    </mc:Choice>
  </mc:AlternateContent>
  <xr:revisionPtr revIDLastSave="0" documentId="13_ncr:1_{BC4CB10B-B351-438B-993C-F1A78B369386}" xr6:coauthVersionLast="47" xr6:coauthVersionMax="47" xr10:uidLastSave="{00000000-0000-0000-0000-000000000000}"/>
  <bookViews>
    <workbookView xWindow="28680" yWindow="-120" windowWidth="29040" windowHeight="1572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Vhalf" sheetId="45" r:id="rId12"/>
    <sheet name="Inv+Bias - Calculate R" sheetId="22" r:id="rId13"/>
    <sheet name="Inv + Bias LPF" sheetId="33" r:id="rId14"/>
    <sheet name="NonInv" sheetId="15" r:id="rId15"/>
    <sheet name="NonInv CMC" sheetId="36" r:id="rId16"/>
    <sheet name="NonInv Thermocouple" sheetId="43" r:id="rId17"/>
    <sheet name="NonInv LPF" sheetId="42" r:id="rId18"/>
    <sheet name="NonInv LPF (Unity)" sheetId="27" r:id="rId19"/>
    <sheet name="NonInv HPF1" sheetId="31" r:id="rId20"/>
    <sheet name="NonInv HPF2" sheetId="41" r:id="rId21"/>
    <sheet name="NonInv+Bias" sheetId="16" r:id="rId22"/>
    <sheet name="NonInv+Bias Vhalf" sheetId="44" r:id="rId23"/>
    <sheet name="NonInv+Bias - Calculate R" sheetId="21" r:id="rId24"/>
    <sheet name="Diff" sheetId="18" r:id="rId25"/>
    <sheet name="Sum Inv" sheetId="19" r:id="rId26"/>
    <sheet name="Sum Inv - 3 inputs" sheetId="23" r:id="rId27"/>
    <sheet name="Sum Non-Inv" sheetId="11" r:id="rId28"/>
    <sheet name="Sum Non-Inv - Calculate R" sheetId="24" r:id="rId29"/>
    <sheet name="Transimpedance" sheetId="39" r:id="rId30"/>
    <sheet name="Transimpedance + Bias" sheetId="38" r:id="rId31"/>
    <sheet name="Op-Amps" sheetId="34"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43" l="1"/>
  <c r="C13" i="45"/>
  <c r="C14" i="45"/>
  <c r="C15" i="45"/>
  <c r="C16" i="45"/>
  <c r="D16" i="45" s="1"/>
  <c r="E16" i="45" s="1"/>
  <c r="C17" i="45"/>
  <c r="C18" i="45"/>
  <c r="C19" i="45"/>
  <c r="C20" i="45"/>
  <c r="C21" i="45"/>
  <c r="C22" i="45"/>
  <c r="C25" i="45"/>
  <c r="C26" i="45"/>
  <c r="C27" i="45"/>
  <c r="C28" i="45"/>
  <c r="C29" i="45"/>
  <c r="C30" i="45"/>
  <c r="C31" i="45"/>
  <c r="D31" i="45" s="1"/>
  <c r="E31" i="45" s="1"/>
  <c r="C32" i="45"/>
  <c r="C33" i="45"/>
  <c r="C34" i="45"/>
  <c r="C4" i="45"/>
  <c r="C10" i="45" s="1"/>
  <c r="H35" i="45"/>
  <c r="J35" i="45" s="1"/>
  <c r="H34" i="45"/>
  <c r="J34" i="45" s="1"/>
  <c r="H33" i="45"/>
  <c r="J33" i="45" s="1"/>
  <c r="H32" i="45"/>
  <c r="J32" i="45" s="1"/>
  <c r="H31" i="45"/>
  <c r="J31" i="45" s="1"/>
  <c r="H30" i="45"/>
  <c r="J30" i="45" s="1"/>
  <c r="D28" i="45"/>
  <c r="E28" i="45" s="1"/>
  <c r="D20" i="45"/>
  <c r="E20" i="45" s="1"/>
  <c r="C6" i="45"/>
  <c r="C5" i="45"/>
  <c r="C11" i="44"/>
  <c r="C12" i="44"/>
  <c r="C13" i="44"/>
  <c r="C14" i="44"/>
  <c r="C15" i="44"/>
  <c r="C16" i="44"/>
  <c r="C17" i="44"/>
  <c r="C18" i="44"/>
  <c r="C19" i="44"/>
  <c r="C20" i="44"/>
  <c r="D20" i="44" s="1"/>
  <c r="C21" i="44"/>
  <c r="C22" i="44"/>
  <c r="D22" i="44" s="1"/>
  <c r="C23" i="44"/>
  <c r="C24" i="44"/>
  <c r="C25" i="44"/>
  <c r="C26" i="44"/>
  <c r="C27" i="44"/>
  <c r="C28" i="44"/>
  <c r="C29" i="44"/>
  <c r="C30" i="44"/>
  <c r="C31" i="44"/>
  <c r="C32" i="44"/>
  <c r="C33" i="44"/>
  <c r="C34" i="44"/>
  <c r="D34" i="44" s="1"/>
  <c r="C35" i="44"/>
  <c r="C10" i="44"/>
  <c r="D10" i="16"/>
  <c r="D11" i="16"/>
  <c r="D12" i="16"/>
  <c r="D13" i="16"/>
  <c r="D15" i="16"/>
  <c r="D16" i="16"/>
  <c r="D17" i="16"/>
  <c r="D18" i="16"/>
  <c r="D19" i="16"/>
  <c r="D20" i="16"/>
  <c r="D21" i="16"/>
  <c r="D22" i="16"/>
  <c r="D23" i="16"/>
  <c r="D24" i="16"/>
  <c r="D25" i="16"/>
  <c r="D26" i="16"/>
  <c r="D27" i="16"/>
  <c r="D28" i="16"/>
  <c r="D29" i="16"/>
  <c r="D30" i="16"/>
  <c r="D31" i="16"/>
  <c r="D32" i="16"/>
  <c r="D33" i="16"/>
  <c r="D34" i="16"/>
  <c r="D35" i="16"/>
  <c r="D14" i="16"/>
  <c r="C4" i="44"/>
  <c r="H33" i="44"/>
  <c r="J33" i="44" s="1"/>
  <c r="H35" i="44"/>
  <c r="J35" i="44" s="1"/>
  <c r="H34" i="44"/>
  <c r="J34" i="44" s="1"/>
  <c r="H32" i="44"/>
  <c r="J32" i="44" s="1"/>
  <c r="H31" i="44"/>
  <c r="J31" i="44" s="1"/>
  <c r="H30" i="44"/>
  <c r="J30" i="44" s="1"/>
  <c r="C6" i="44"/>
  <c r="D23" i="44" s="1"/>
  <c r="H38" i="43"/>
  <c r="H37" i="43"/>
  <c r="J38" i="43"/>
  <c r="J37" i="43"/>
  <c r="H36" i="43"/>
  <c r="J36" i="43"/>
  <c r="H35" i="43"/>
  <c r="J35" i="43"/>
  <c r="H34" i="43"/>
  <c r="J34" i="43" s="1"/>
  <c r="H33" i="43"/>
  <c r="J33" i="43"/>
  <c r="C19" i="43"/>
  <c r="C20" i="43"/>
  <c r="C11" i="43"/>
  <c r="C10"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C24" i="45" l="1"/>
  <c r="D24" i="45" s="1"/>
  <c r="E24" i="45" s="1"/>
  <c r="C12" i="45"/>
  <c r="D12" i="45" s="1"/>
  <c r="E12" i="45" s="1"/>
  <c r="C35" i="45"/>
  <c r="C23" i="45"/>
  <c r="C11" i="45"/>
  <c r="D25" i="45"/>
  <c r="E25" i="45" s="1"/>
  <c r="D34" i="45"/>
  <c r="E34" i="45" s="1"/>
  <c r="D17" i="45"/>
  <c r="E17" i="45" s="1"/>
  <c r="D10" i="45"/>
  <c r="E10" i="45" s="1"/>
  <c r="D14" i="45"/>
  <c r="E14" i="45" s="1"/>
  <c r="D18" i="45"/>
  <c r="E18" i="45" s="1"/>
  <c r="D22" i="45"/>
  <c r="E22" i="45" s="1"/>
  <c r="D26" i="45"/>
  <c r="E26" i="45" s="1"/>
  <c r="D30" i="45"/>
  <c r="E30" i="45" s="1"/>
  <c r="H10" i="45"/>
  <c r="D35" i="45"/>
  <c r="E35" i="45" s="1"/>
  <c r="D13" i="45"/>
  <c r="E13" i="45" s="1"/>
  <c r="D21" i="45"/>
  <c r="E21" i="45" s="1"/>
  <c r="D29" i="45"/>
  <c r="E29" i="45" s="1"/>
  <c r="D32" i="45"/>
  <c r="E32" i="45" s="1"/>
  <c r="D11" i="45"/>
  <c r="E11" i="45" s="1"/>
  <c r="D15" i="45"/>
  <c r="E15" i="45" s="1"/>
  <c r="D19" i="45"/>
  <c r="E19" i="45" s="1"/>
  <c r="D23" i="45"/>
  <c r="E23" i="45" s="1"/>
  <c r="D27" i="45"/>
  <c r="E27" i="45" s="1"/>
  <c r="D33" i="45"/>
  <c r="E33" i="45" s="1"/>
  <c r="D17" i="44"/>
  <c r="D16" i="44"/>
  <c r="D29" i="44"/>
  <c r="D14" i="44"/>
  <c r="E14" i="44" s="1"/>
  <c r="D27" i="44"/>
  <c r="D13" i="44"/>
  <c r="D26" i="44"/>
  <c r="E26" i="44" s="1"/>
  <c r="D25" i="44"/>
  <c r="E25" i="44" s="1"/>
  <c r="D11" i="44"/>
  <c r="E11" i="44" s="1"/>
  <c r="D24" i="44"/>
  <c r="D10" i="44"/>
  <c r="E10" i="44" s="1"/>
  <c r="D35" i="44"/>
  <c r="E35" i="44" s="1"/>
  <c r="D19" i="44"/>
  <c r="D33" i="44"/>
  <c r="D21" i="44"/>
  <c r="D32" i="44"/>
  <c r="E32" i="44" s="1"/>
  <c r="D18" i="44"/>
  <c r="D31" i="44"/>
  <c r="E31" i="44" s="1"/>
  <c r="D30" i="44"/>
  <c r="D15" i="44"/>
  <c r="E15" i="44" s="1"/>
  <c r="D28" i="44"/>
  <c r="E28" i="44" s="1"/>
  <c r="D12" i="44"/>
  <c r="E12" i="44" s="1"/>
  <c r="E16" i="44"/>
  <c r="E24" i="44"/>
  <c r="C5" i="44"/>
  <c r="E22" i="44"/>
  <c r="E33" i="44"/>
  <c r="E34" i="44"/>
  <c r="E13" i="44"/>
  <c r="E21" i="44"/>
  <c r="E29" i="44"/>
  <c r="E17" i="44"/>
  <c r="E30" i="44"/>
  <c r="H10" i="44"/>
  <c r="E19" i="44"/>
  <c r="E23" i="44"/>
  <c r="E18" i="44"/>
  <c r="E27" i="44"/>
  <c r="E20" i="44"/>
  <c r="H40" i="43"/>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31" i="43" l="1"/>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D22" i="43" l="1"/>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41" i="43" l="1"/>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E33" i="16"/>
  <c r="E29" i="16"/>
  <c r="E25" i="16"/>
  <c r="E21" i="16"/>
  <c r="E17" i="16"/>
  <c r="E13" i="16"/>
  <c r="E10" i="16"/>
  <c r="E32" i="16"/>
  <c r="E28" i="16"/>
  <c r="E24" i="16"/>
  <c r="E20" i="16"/>
  <c r="E16" i="16"/>
  <c r="E12" i="16"/>
  <c r="E35" i="16"/>
  <c r="E31" i="16"/>
  <c r="E27" i="16"/>
  <c r="E23" i="16"/>
  <c r="E19" i="16"/>
  <c r="E15" i="16"/>
  <c r="E11" i="16"/>
  <c r="E34" i="16"/>
  <c r="E30" i="16"/>
  <c r="E26" i="16"/>
  <c r="E22" i="16"/>
  <c r="E18" i="16"/>
  <c r="E14" i="16"/>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<sst xmlns="http://schemas.openxmlformats.org/spreadsheetml/2006/main" count="1708" uniqueCount="272">
  <si>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</si>
  <si>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</si>
  <si>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</si>
  <si>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</si>
  <si>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</si>
  <si>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</si>
  <si>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</si>
  <si>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</si>
  <si>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</si>
  <si>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</si>
  <si>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</si>
  <si>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</si>
  <si>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</si>
  <si>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</si>
  <si>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</si>
  <si>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</si>
  <si>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</si>
  <si>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</si>
  <si>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</si>
  <si>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</si>
  <si>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</si>
  <si>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</si>
  <si>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</si>
  <si>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</si>
  <si>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</si>
  <si>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</si>
  <si>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</si>
  <si>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</si>
  <si>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</si>
  <si>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</si>
  <si>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</si>
  <si>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</si>
  <si>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</si>
  <si>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</si>
  <si>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</si>
  <si>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</si>
  <si>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</si>
  <si>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</si>
  <si>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</si>
  <si>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</si>
  <si>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</si>
  <si>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</si>
  <si>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</si>
  <si>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</si>
  <si>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</si>
  <si>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</si>
  <si>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</si>
  <si>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</si>
  <si>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</si>
  <si>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</si>
  <si>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</si>
  <si>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</si>
  <si>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</si>
  <si>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</si>
  <si>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</si>
  <si>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</si>
  <si>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</si>
  <si>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</si>
  <si>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</si>
  <si>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</si>
  <si>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</si>
  <si>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</si>
  <si>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</si>
  <si>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</si>
  <si>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</si>
  <si>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</si>
  <si>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</si>
  <si>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</si>
  <si>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</si>
  <si>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</si>
  <si>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</si>
  <si>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</si>
  <si>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</si>
  <si>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</si>
  <si>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</si>
  <si>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</si>
  <si>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</si>
  <si>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</si>
  <si>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</si>
  <si>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</si>
  <si>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</si>
  <si>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</si>
  <si>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</si>
  <si>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</si>
  <si>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</si>
  <si>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</si>
  <si>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</si>
  <si>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</si>
  <si>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</si>
  <si>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</si>
  <si>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</si>
  <si>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</si>
  <si>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</si>
  <si>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</si>
  <si>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</si>
  <si>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</si>
  <si>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</si>
  <si>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</si>
  <si>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</si>
  <si>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</si>
  <si>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</si>
  <si>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</si>
  <si>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</si>
  <si>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</si>
  <si>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</si>
  <si>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</si>
  <si>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</si>
  <si>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</si>
  <si>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</si>
  <si>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</si>
  <si>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</si>
  <si>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</si>
  <si>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</si>
  <si>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</si>
  <si>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</si>
  <si>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</si>
  <si>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</si>
  <si>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</si>
  <si>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</si>
  <si>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</si>
  <si>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</si>
  <si>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</si>
  <si>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</si>
  <si>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</si>
  <si>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</si>
  <si>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</si>
  <si>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</si>
  <si>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</si>
  <si>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</si>
  <si>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</si>
  <si>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</si>
  <si>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</si>
  <si>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</si>
  <si>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</si>
  <si>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</si>
  <si>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</si>
  <si>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</si>
  <si>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</si>
  <si>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</si>
  <si>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</si>
  <si>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</si>
  <si>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</si>
  <si>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</si>
  <si>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</si>
  <si>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</si>
  <si>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</si>
  <si>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</si>
  <si>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</si>
  <si>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</si>
  <si>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</si>
  <si>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</si>
  <si>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</si>
  <si>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</si>
  <si>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</si>
  <si>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</si>
  <si>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</si>
  <si>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</si>
  <si>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</si>
  <si>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</si>
  <si>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</si>
  <si>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</si>
  <si>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</si>
  <si>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</si>
  <si>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</si>
  <si>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</si>
  <si>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</si>
  <si>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</si>
  <si>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</si>
  <si>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</si>
  <si>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</si>
  <si>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</si>
  <si>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</si>
  <si>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</si>
  <si>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</si>
  <si>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</si>
  <si>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</si>
  <si>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</si>
  <si>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</si>
  <si>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</si>
  <si>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</si>
  <si>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</si>
  <si>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</si>
  <si>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</si>
  <si>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</si>
  <si>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</si>
  <si>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</si>
  <si>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</si>
  <si>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</si>
  <si>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</si>
  <si>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</si>
  <si>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</si>
  <si>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</si>
  <si>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</si>
  <si>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</si>
  <si>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</si>
  <si>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</si>
  <si>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</si>
  <si>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</si>
  <si>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</si>
  <si>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</si>
  <si>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</si>
  <si>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</si>
  <si>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</si>
  <si>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</si>
  <si>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</si>
  <si>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</si>
  <si>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</si>
  <si>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</si>
  <si>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</si>
  <si>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</si>
  <si>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</si>
  <si>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</si>
  <si>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</si>
  <si>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</si>
  <si>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</si>
  <si>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</si>
  <si>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</si>
  <si>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</si>
  <si>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</si>
  <si>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</si>
  <si>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</si>
  <si>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</si>
  <si>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</si>
  <si>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</si>
  <si>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</si>
  <si>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</si>
  <si>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</si>
  <si>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</si>
  <si>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</si>
  <si>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</si>
  <si>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</si>
  <si>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</si>
  <si>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</si>
  <si>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</si>
  <si>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</si>
  <si>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</si>
  <si>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</si>
  <si>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</si>
  <si>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</si>
  <si>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</si>
  <si>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</si>
  <si>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</si>
  <si>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</si>
  <si>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</si>
  <si>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</si>
  <si>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</si>
  <si>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</si>
  <si>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</si>
  <si>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</si>
  <si>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</si>
  <si>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</si>
  <si>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</si>
  <si>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</si>
  <si>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</si>
  <si>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</si>
  <si>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</si>
  <si>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</si>
  <si>
    <t>At (+) Input:</t>
  </si>
  <si>
    <t>V=Vin,2*(R3/(R2+R3))</t>
  </si>
  <si>
    <t>V (= V+/2)</t>
  </si>
  <si>
    <r>
      <rPr>
        <b/>
        <sz val="11"/>
        <color theme="1"/>
        <rFont val="Calibri"/>
        <family val="2"/>
        <scheme val="minor"/>
      </rPr>
      <t xml:space="preserve">Note: </t>
    </r>
    <r>
      <rPr>
        <sz val="11"/>
        <color theme="1"/>
        <rFont val="Calibri"/>
        <family val="2"/>
        <scheme val="minor"/>
      </rPr>
      <t>Probe is referenced to V+/2 (negative probe grounded to V+/2)</t>
    </r>
  </si>
  <si>
    <t>Key Points</t>
  </si>
  <si>
    <t>1. The amplifier maintains its non-inverting characteristic, as the output is in phase with the input.</t>
  </si>
  <si>
    <t>2. The Vdd/2 bias allows for maximum signal swing in a single-supply system.</t>
  </si>
  <si>
    <t>3. AC signals are amplified around the Vdd/2 reference point, effectively creating an AC-coupled amplifier.</t>
  </si>
  <si>
    <t>(max V swing of signal from probe-)</t>
  </si>
  <si>
    <r>
      <t>Inverting + Bias Amplifier (Probe Referenced to V</t>
    </r>
    <r>
      <rPr>
        <vertAlign val="superscript"/>
        <sz val="36"/>
        <color theme="1"/>
        <rFont val="Calibri"/>
        <family val="2"/>
        <scheme val="minor"/>
      </rPr>
      <t>+</t>
    </r>
    <r>
      <rPr>
        <sz val="36"/>
        <color theme="1"/>
        <rFont val="Calibri"/>
        <family val="2"/>
        <scheme val="minor"/>
      </rPr>
      <t>/2)</t>
    </r>
  </si>
  <si>
    <r>
      <t>Non-Inverting + Bias Amplifier (Probe Referenced to V</t>
    </r>
    <r>
      <rPr>
        <vertAlign val="superscript"/>
        <sz val="36"/>
        <color theme="1"/>
        <rFont val="Calibri"/>
        <family val="2"/>
        <scheme val="minor"/>
      </rPr>
      <t>+</t>
    </r>
    <r>
      <rPr>
        <sz val="36"/>
        <color theme="1"/>
        <rFont val="Calibri"/>
        <family val="2"/>
        <scheme val="minor"/>
      </rPr>
      <t>/2)</t>
    </r>
  </si>
  <si>
    <t>1. The amplifier maintains its inverting characteristic, as the output is in opposite phase of the input.</t>
  </si>
  <si>
    <t>Source: https://ww1.microchip.com/downloads/en/DeviceDoc/20001811F.pdf</t>
  </si>
  <si>
    <t xml:space="preserve">Source: </t>
  </si>
  <si>
    <t xml:space="preserve"> https://www.pyromation.com/Downloads/Data/emfk_f.pdf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</si>
</sst>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
      <vertAlign val="superscrip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4">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xf numFmtId="0" fontId="0" fillId="2" borderId="4" xfId="0" applyFill="1" applyBorder="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 Vhalf'!$C$9</c:f>
              <c:strCache>
                <c:ptCount val="1"/>
                <c:pt idx="0">
                  <c:v>Vin(+)</c:v>
                </c:pt>
              </c:strCache>
            </c:strRef>
          </c:tx>
          <c:spPr>
            <a:ln>
              <a:solidFill>
                <a:schemeClr val="tx1"/>
              </a:solidFill>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E00F-49A1-A949-55FC9B27F82F}"/>
            </c:ext>
          </c:extLst>
        </c:ser>
        <c:ser>
          <c:idx val="1"/>
          <c:order val="1"/>
          <c:tx>
            <c:strRef>
              <c:f>'Inv+Bias Vhalf'!$E$9</c:f>
              <c:strCache>
                <c:ptCount val="1"/>
                <c:pt idx="0">
                  <c:v>Vout</c:v>
                </c:pt>
              </c:strCache>
            </c:strRef>
          </c:tx>
          <c:spPr>
            <a:ln>
              <a:solidFill>
                <a:srgbClr val="C00000"/>
              </a:solidFill>
              <a:prstDash val="dash"/>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Vhalf'!$E$10:$E$35</c:f>
              <c:numCache>
                <c:formatCode>General</c:formatCode>
                <c:ptCount val="26"/>
                <c:pt idx="0">
                  <c:v>2.5</c:v>
                </c:pt>
                <c:pt idx="1">
                  <c:v>2.4500832916765862</c:v>
                </c:pt>
                <c:pt idx="2">
                  <c:v>2.4006653346024702</c:v>
                </c:pt>
                <c:pt idx="3">
                  <c:v>2.0339804570163871</c:v>
                </c:pt>
                <c:pt idx="4">
                  <c:v>2.0957517980902036</c:v>
                </c:pt>
                <c:pt idx="5">
                  <c:v>2.529187071713789</c:v>
                </c:pt>
                <c:pt idx="6">
                  <c:v>2.9357878862067928</c:v>
                </c:pt>
                <c:pt idx="7">
                  <c:v>2.9417273278600771</c:v>
                </c:pt>
                <c:pt idx="8">
                  <c:v>2.5415447014087498</c:v>
                </c:pt>
                <c:pt idx="9">
                  <c:v>2.1031660680754243</c:v>
                </c:pt>
                <c:pt idx="10">
                  <c:v>2.0296347216601145</c:v>
                </c:pt>
                <c:pt idx="11">
                  <c:v>2.388555042949875</c:v>
                </c:pt>
                <c:pt idx="12">
                  <c:v>2.8499373437967712</c:v>
                </c:pt>
                <c:pt idx="13">
                  <c:v>2.9895888645756585</c:v>
                </c:pt>
                <c:pt idx="14">
                  <c:v>2.6791146411184137</c:v>
                </c:pt>
                <c:pt idx="15">
                  <c:v>2.20396324264639</c:v>
                </c:pt>
                <c:pt idx="16">
                  <c:v>2.0009866736418189</c:v>
                </c:pt>
                <c:pt idx="17">
                  <c:v>2.2568006555730982</c:v>
                </c:pt>
                <c:pt idx="18">
                  <c:v>2.7362109931992329</c:v>
                </c:pt>
                <c:pt idx="19">
                  <c:v>2.9984500330207986</c:v>
                </c:pt>
                <c:pt idx="20">
                  <c:v>2.8024164112031418</c:v>
                </c:pt>
                <c:pt idx="21">
                  <c:v>2.3283425355900533</c:v>
                </c:pt>
                <c:pt idx="22">
                  <c:v>2.0120897411165117</c:v>
                </c:pt>
                <c:pt idx="23">
                  <c:v>2.1444193885470106</c:v>
                </c:pt>
                <c:pt idx="24">
                  <c:v>2.6036682103033808</c:v>
                </c:pt>
                <c:pt idx="25">
                  <c:v>2.9676049575972705</c:v>
                </c:pt>
              </c:numCache>
            </c:numRef>
          </c:yVal>
          <c:smooth val="1"/>
          <c:extLst>
            <c:ext xmlns:c16="http://schemas.microsoft.com/office/drawing/2014/chart" uri="{C3380CC4-5D6E-409C-BE32-E72D297353CC}">
              <c16:uniqueId val="{00000001-E00F-49A1-A949-55FC9B27F82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K-Type</a:t>
            </a:r>
            <a:r>
              <a:rPr lang="en-CA" baseline="0"/>
              <a:t> Thermocouple - </a:t>
            </a:r>
            <a:r>
              <a:rPr lang="en-CA"/>
              <a:t>Voltage</a:t>
            </a:r>
            <a:r>
              <a:rPr lang="en-CA" baseline="0"/>
              <a:t> vs. Temperature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manualLayout>
          <c:layoutTarget val="inner"/>
          <c:xMode val="edge"/>
          <c:yMode val="edge"/>
          <c:x val="9.5013998250218709E-2"/>
          <c:y val="0.15782407407407409"/>
          <c:w val="0.8554304461942257"/>
          <c:h val="0.73284667541557313"/>
        </c:manualLayout>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097900262467193"/>
                  <c:y val="7.36574074074074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Temperature (</a:t>
                </a:r>
                <a:r>
                  <a:rPr lang="en-CA">
                    <a:sym typeface="Symbol" panose="05050102010706020507" pitchFamily="18" charset="2"/>
                  </a:rPr>
                  <a:t>C)</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Volts (mV)</a:t>
                </a:r>
              </a:p>
            </c:rich>
          </c:tx>
          <c:layout>
            <c:manualLayout>
              <c:xMode val="edge"/>
              <c:yMode val="edge"/>
              <c:x val="4.1666666666666664E-2"/>
              <c:y val="0.40274278215223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 Vhalf'!$C$9</c:f>
              <c:strCache>
                <c:ptCount val="1"/>
                <c:pt idx="0">
                  <c:v>Vin(+)</c:v>
                </c:pt>
              </c:strCache>
            </c:strRef>
          </c:tx>
          <c:spPr>
            <a:ln>
              <a:solidFill>
                <a:schemeClr val="tx1"/>
              </a:solidFill>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0129-4D49-8407-DC1AB709F362}"/>
            </c:ext>
          </c:extLst>
        </c:ser>
        <c:ser>
          <c:idx val="1"/>
          <c:order val="1"/>
          <c:tx>
            <c:strRef>
              <c:f>'NonInv+Bias Vhalf'!$E$9</c:f>
              <c:strCache>
                <c:ptCount val="1"/>
                <c:pt idx="0">
                  <c:v>Vout</c:v>
                </c:pt>
              </c:strCache>
            </c:strRef>
          </c:tx>
          <c:spPr>
            <a:ln>
              <a:solidFill>
                <a:srgbClr val="C00000"/>
              </a:solidFill>
              <a:prstDash val="dash"/>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Vhalf'!$E$10:$E$35</c:f>
              <c:numCache>
                <c:formatCode>General</c:formatCode>
                <c:ptCount val="26"/>
                <c:pt idx="0">
                  <c:v>2.5</c:v>
                </c:pt>
                <c:pt idx="1">
                  <c:v>2.6098167583115113</c:v>
                </c:pt>
                <c:pt idx="2">
                  <c:v>2.7185362638745665</c:v>
                </c:pt>
                <c:pt idx="3">
                  <c:v>3.5252429945639494</c:v>
                </c:pt>
                <c:pt idx="4">
                  <c:v>3.3893460442015511</c:v>
                </c:pt>
                <c:pt idx="5">
                  <c:v>2.4357884422296623</c:v>
                </c:pt>
                <c:pt idx="6">
                  <c:v>1.5412666503450549</c:v>
                </c:pt>
                <c:pt idx="7">
                  <c:v>1.5281998787078295</c:v>
                </c:pt>
                <c:pt idx="8">
                  <c:v>2.4086016569007525</c:v>
                </c:pt>
                <c:pt idx="9">
                  <c:v>3.3730346502340676</c:v>
                </c:pt>
                <c:pt idx="10">
                  <c:v>3.5348036123477491</c:v>
                </c:pt>
                <c:pt idx="11">
                  <c:v>2.7451789055102731</c:v>
                </c:pt>
                <c:pt idx="12">
                  <c:v>1.7301378436471033</c:v>
                </c:pt>
                <c:pt idx="13">
                  <c:v>1.4229044979335512</c:v>
                </c:pt>
                <c:pt idx="14">
                  <c:v>2.1059477895394889</c:v>
                </c:pt>
                <c:pt idx="15">
                  <c:v>3.151280866177943</c:v>
                </c:pt>
                <c:pt idx="16">
                  <c:v>3.5978293179880003</c:v>
                </c:pt>
                <c:pt idx="17">
                  <c:v>3.0350385577391821</c:v>
                </c:pt>
                <c:pt idx="18">
                  <c:v>1.9803358149616876</c:v>
                </c:pt>
                <c:pt idx="19">
                  <c:v>1.4034099273542431</c:v>
                </c:pt>
                <c:pt idx="20">
                  <c:v>1.8346838953530891</c:v>
                </c:pt>
                <c:pt idx="21">
                  <c:v>2.8776464217018827</c:v>
                </c:pt>
                <c:pt idx="22">
                  <c:v>3.5734025695436742</c:v>
                </c:pt>
                <c:pt idx="23">
                  <c:v>3.2822773451965785</c:v>
                </c:pt>
                <c:pt idx="24">
                  <c:v>2.2719299373325632</c:v>
                </c:pt>
                <c:pt idx="25">
                  <c:v>1.4712690932860069</c:v>
                </c:pt>
              </c:numCache>
            </c:numRef>
          </c:yVal>
          <c:smooth val="1"/>
          <c:extLst>
            <c:ext xmlns:c16="http://schemas.microsoft.com/office/drawing/2014/chart" uri="{C3380CC4-5D6E-409C-BE32-E72D297353CC}">
              <c16:uniqueId val="{00000001-0129-4D49-8407-DC1AB709F36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75631739708957"/>
          <c:y val="0.63585960957098686"/>
          <c:w val="0.24804116988014055"/>
          <c:h val="0.2408431870415400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image" Target="../media/image23.png"/><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chart" Target="../charts/chart23.xml"/><Relationship Id="rId4"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30.xml"/><Relationship Id="rId1" Type="http://schemas.openxmlformats.org/officeDocument/2006/relationships/chart" Target="../charts/chart29.xml"/></Relationships>
</file>

<file path=xl/drawings/_rels/drawing2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image" Target="../media/image33.jpeg"/><Relationship Id="rId4"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jpeg"/><Relationship Id="rId1" Type="http://schemas.openxmlformats.org/officeDocument/2006/relationships/chart" Target="../charts/chart39.xml"/><Relationship Id="rId4" Type="http://schemas.openxmlformats.org/officeDocument/2006/relationships/image" Target="../media/image4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40.jpeg"/><Relationship Id="rId2" Type="http://schemas.openxmlformats.org/officeDocument/2006/relationships/image" Target="../media/image41.png"/><Relationship Id="rId1" Type="http://schemas.openxmlformats.org/officeDocument/2006/relationships/chart" Target="../charts/chart40.xml"/><Relationship Id="rId4" Type="http://schemas.openxmlformats.org/officeDocument/2006/relationships/image" Target="../media/image4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8" Type="http://schemas.openxmlformats.org/officeDocument/2006/relationships/image" Target="../media/image52.png"/><Relationship Id="rId3" Type="http://schemas.openxmlformats.org/officeDocument/2006/relationships/image" Target="../media/image47.png"/><Relationship Id="rId7" Type="http://schemas.openxmlformats.org/officeDocument/2006/relationships/image" Target="../media/image51.png"/><Relationship Id="rId12" Type="http://schemas.openxmlformats.org/officeDocument/2006/relationships/image" Target="../media/image56.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11" Type="http://schemas.openxmlformats.org/officeDocument/2006/relationships/image" Target="../media/image55.png"/><Relationship Id="rId5" Type="http://schemas.openxmlformats.org/officeDocument/2006/relationships/image" Target="../media/image49.png"/><Relationship Id="rId10" Type="http://schemas.openxmlformats.org/officeDocument/2006/relationships/image" Target="../media/image54.png"/><Relationship Id="rId4" Type="http://schemas.openxmlformats.org/officeDocument/2006/relationships/image" Target="../media/image48.png"/><Relationship Id="rId9" Type="http://schemas.openxmlformats.org/officeDocument/2006/relationships/image" Target="../media/image5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603589"/>
          <a:ext cx="3681016" cy="1888256"/>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B9527088-37A5-435D-BA7C-B3C57460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565547</xdr:colOff>
      <xdr:row>13</xdr:row>
      <xdr:rowOff>110764</xdr:rowOff>
    </xdr:from>
    <xdr:to>
      <xdr:col>17</xdr:col>
      <xdr:colOff>257968</xdr:colOff>
      <xdr:row>25</xdr:row>
      <xdr:rowOff>92364</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400">
                <a:effectLst/>
              </a:endParaRPr>
            </a:p>
            <a:p>
              <a:pPr algn="ct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pPr algn="ctr"/>
              <a:endParaRPr lang="en-US" sz="1200" baseline="30000"/>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4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400">
                <a:effectLst/>
              </a:endParaRPr>
            </a:p>
            <a:p>
              <a:pPr algn="ct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−𝑽^+/𝟐)</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lgn="ctr"/>
              <a:endParaRPr lang="en-US" sz="1200" baseline="30000"/>
            </a:p>
            <a:p>
              <a:pPr algn="ctr"/>
              <a:endParaRPr lang="en-US" sz="1200" baseline="30000"/>
            </a:p>
          </xdr:txBody>
        </xdr:sp>
      </mc:Fallback>
    </mc:AlternateContent>
    <xdr:clientData/>
  </xdr:twoCellAnchor>
  <xdr:twoCellAnchor editAs="oneCell">
    <xdr:from>
      <xdr:col>12</xdr:col>
      <xdr:colOff>119783</xdr:colOff>
      <xdr:row>1</xdr:row>
      <xdr:rowOff>11546</xdr:rowOff>
    </xdr:from>
    <xdr:to>
      <xdr:col>18</xdr:col>
      <xdr:colOff>76782</xdr:colOff>
      <xdr:row>12</xdr:row>
      <xdr:rowOff>136525</xdr:rowOff>
    </xdr:to>
    <xdr:pic>
      <xdr:nvPicPr>
        <xdr:cNvPr id="6" name="Picture 5">
          <a:extLst>
            <a:ext uri="{FF2B5EF4-FFF2-40B4-BE49-F238E27FC236}">
              <a16:creationId xmlns:a16="http://schemas.microsoft.com/office/drawing/2014/main" id="{50A6F07C-89C6-E47C-02C8-0A6D597CC1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848823" y="685031"/>
          <a:ext cx="3805484" cy="2222403"/>
        </a:xfrm>
        <a:prstGeom prst="rect">
          <a:avLst/>
        </a:prstGeom>
      </xdr:spPr>
    </xdr:pic>
    <xdr:clientData/>
  </xdr:twoCellAnchor>
  <xdr:twoCellAnchor editAs="oneCell">
    <xdr:from>
      <xdr:col>17</xdr:col>
      <xdr:colOff>461818</xdr:colOff>
      <xdr:row>13</xdr:row>
      <xdr:rowOff>57727</xdr:rowOff>
    </xdr:from>
    <xdr:to>
      <xdr:col>24</xdr:col>
      <xdr:colOff>88213</xdr:colOff>
      <xdr:row>25</xdr:row>
      <xdr:rowOff>2391</xdr:rowOff>
    </xdr:to>
    <xdr:pic>
      <xdr:nvPicPr>
        <xdr:cNvPr id="3" name="Picture 2">
          <a:extLst>
            <a:ext uri="{FF2B5EF4-FFF2-40B4-BE49-F238E27FC236}">
              <a16:creationId xmlns:a16="http://schemas.microsoft.com/office/drawing/2014/main" id="{261635FB-5400-B687-5ED4-9A5BEEDC0546}"/>
            </a:ext>
          </a:extLst>
        </xdr:cNvPr>
        <xdr:cNvPicPr>
          <a:picLocks noChangeAspect="1"/>
        </xdr:cNvPicPr>
      </xdr:nvPicPr>
      <xdr:blipFill>
        <a:blip xmlns:r="http://schemas.openxmlformats.org/officeDocument/2006/relationships" r:embed="rId3"/>
        <a:stretch>
          <a:fillRect/>
        </a:stretch>
      </xdr:blipFill>
      <xdr:spPr>
        <a:xfrm>
          <a:off x="10814242" y="3117272"/>
          <a:ext cx="3869350" cy="225375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379811</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336408</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435372</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1A65311-CB36-40F9-81DC-FA7DC35D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71438</xdr:colOff>
      <xdr:row>0</xdr:row>
      <xdr:rowOff>656563</xdr:rowOff>
    </xdr:from>
    <xdr:to>
      <xdr:col>14</xdr:col>
      <xdr:colOff>458793</xdr:colOff>
      <xdr:row>11</xdr:row>
      <xdr:rowOff>175469</xdr:rowOff>
    </xdr:to>
    <xdr:pic>
      <xdr:nvPicPr>
        <xdr:cNvPr id="3" name="Picture 2">
          <a:extLst>
            <a:ext uri="{FF2B5EF4-FFF2-40B4-BE49-F238E27FC236}">
              <a16:creationId xmlns:a16="http://schemas.microsoft.com/office/drawing/2014/main" id="{AA45419A-BDF4-45FE-99A6-F8825A4ECC9D}"/>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94021" y="656563"/>
          <a:ext cx="2324105" cy="2080073"/>
        </a:xfrm>
        <a:prstGeom prst="rect">
          <a:avLst/>
        </a:prstGeom>
      </xdr:spPr>
    </xdr:pic>
    <xdr:clientData/>
  </xdr:twoCellAnchor>
  <xdr:twoCellAnchor>
    <xdr:from>
      <xdr:col>12</xdr:col>
      <xdr:colOff>605366</xdr:colOff>
      <xdr:row>11</xdr:row>
      <xdr:rowOff>169332</xdr:rowOff>
    </xdr:from>
    <xdr:to>
      <xdr:col>17</xdr:col>
      <xdr:colOff>42334</xdr:colOff>
      <xdr:row>24</xdr:row>
      <xdr:rowOff>76199</xdr:rowOff>
    </xdr:to>
    <mc:AlternateContent xmlns:mc="http://schemas.openxmlformats.org/markup-compatibility/2006" xmlns:a14="http://schemas.microsoft.com/office/drawing/2010/main">
      <mc:Choice Requires="a14">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endParaRPr lang="en-US" sz="1050" i="1">
                <a:latin typeface="Cambria Math" panose="02040503050406030204" pitchFamily="18" charset="0"/>
              </a:endParaRPr>
            </a:p>
          </xdr:txBody>
        </xdr:sp>
      </mc:Choice>
      <mc:Fallback xmlns="">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r>
                <a:rPr lang="en-US" sz="1400" i="0" kern="1200">
                  <a:solidFill>
                    <a:schemeClr val="tx1"/>
                  </a:solidFill>
                  <a:effectLst/>
                  <a:latin typeface="Cambria Math" panose="02040503050406030204" pitchFamily="18" charset="0"/>
                  <a:ea typeface="+mn-ea"/>
                  <a:cs typeface="+mn-cs"/>
                </a:rPr>
                <a:t>𝐴_𝑣=𝑉_𝑜𝑢𝑡/𝑉_𝑖𝑛 =(</a:t>
              </a:r>
              <a:r>
                <a:rPr lang="en-US"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𝑅_𝐹/𝑅_1 )</a:t>
              </a:r>
              <a:endParaRPr lang="en-US" sz="1200">
                <a:effectLst/>
              </a:endParaRPr>
            </a:p>
            <a:p>
              <a:pPr/>
              <a:endParaRPr lang="en-US" sz="12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i="1">
                <a:latin typeface="Cambria Math" panose="02040503050406030204" pitchFamily="18" charset="0"/>
              </a:endParaRPr>
            </a:p>
            <a:p>
              <a:endParaRPr lang="en-US" sz="1200" i="1">
                <a:latin typeface="Cambria Math" panose="02040503050406030204" pitchFamily="18" charset="0"/>
              </a:endParaRPr>
            </a:p>
            <a:p>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−𝑽_𝒃)</a:t>
              </a:r>
              <a:r>
                <a:rPr lang="en-US" sz="1400" b="1" i="0" kern="1200">
                  <a:solidFill>
                    <a:schemeClr val="tx1"/>
                  </a:solidFill>
                  <a:effectLst/>
                  <a:latin typeface="Cambria Math" panose="02040503050406030204" pitchFamily="18" charset="0"/>
                  <a:ea typeface="+mn-ea"/>
                  <a:cs typeface="+mn-cs"/>
                </a:rPr>
                <a:t>+𝑽_𝒃</a:t>
              </a:r>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−𝑽^+/𝟐)</a:t>
              </a:r>
              <a:r>
                <a:rPr lang="en-US" sz="1400" b="1" i="0" kern="1200">
                  <a:solidFill>
                    <a:schemeClr val="tx1"/>
                  </a:solidFill>
                  <a:effectLst/>
                  <a:latin typeface="Cambria Math" panose="02040503050406030204" pitchFamily="18" charset="0"/>
                  <a:ea typeface="+mn-ea"/>
                  <a:cs typeface="+mn-cs"/>
                </a:rPr>
                <a:t>+</a:t>
              </a:r>
              <a:r>
                <a:rPr lang="en-CA" sz="1400" b="1" i="0" kern="1200">
                  <a:solidFill>
                    <a:schemeClr val="tx1"/>
                  </a:solidFill>
                  <a:effectLst/>
                  <a:latin typeface="Cambria Math" panose="02040503050406030204" pitchFamily="18" charset="0"/>
                  <a:ea typeface="+mn-ea"/>
                  <a:cs typeface="+mn-cs"/>
                </a:rPr>
                <a:t>𝑽^+/𝟐</a:t>
              </a:r>
              <a:endParaRPr lang="en-CA" sz="1400">
                <a:effectLst/>
              </a:endParaRPr>
            </a:p>
            <a:p>
              <a:endParaRPr lang="en-US" sz="1050" i="1">
                <a:latin typeface="Cambria Math" panose="02040503050406030204" pitchFamily="18" charset="0"/>
              </a:endParaRPr>
            </a:p>
          </xdr:txBody>
        </xdr:sp>
      </mc:Fallback>
    </mc:AlternateContent>
    <xdr:clientData/>
  </xdr:twoCellAnchor>
  <xdr:twoCellAnchor editAs="oneCell">
    <xdr:from>
      <xdr:col>17</xdr:col>
      <xdr:colOff>276225</xdr:colOff>
      <xdr:row>11</xdr:row>
      <xdr:rowOff>76200</xdr:rowOff>
    </xdr:from>
    <xdr:to>
      <xdr:col>23</xdr:col>
      <xdr:colOff>161925</xdr:colOff>
      <xdr:row>22</xdr:row>
      <xdr:rowOff>148185</xdr:rowOff>
    </xdr:to>
    <xdr:pic>
      <xdr:nvPicPr>
        <xdr:cNvPr id="4" name="Picture 3">
          <a:extLst>
            <a:ext uri="{FF2B5EF4-FFF2-40B4-BE49-F238E27FC236}">
              <a16:creationId xmlns:a16="http://schemas.microsoft.com/office/drawing/2014/main" id="{9EBC5183-4174-C0A2-934E-639294527FFE}"/>
            </a:ext>
          </a:extLst>
        </xdr:cNvPr>
        <xdr:cNvPicPr>
          <a:picLocks noChangeAspect="1"/>
        </xdr:cNvPicPr>
      </xdr:nvPicPr>
      <xdr:blipFill>
        <a:blip xmlns:r="http://schemas.openxmlformats.org/officeDocument/2006/relationships" r:embed="rId3"/>
        <a:stretch>
          <a:fillRect/>
        </a:stretch>
      </xdr:blipFill>
      <xdr:spPr>
        <a:xfrm>
          <a:off x="10677525" y="2733675"/>
          <a:ext cx="3543300" cy="216748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b="0" i="1" kern="1200">
                                <a:solidFill>
                                  <a:schemeClr val="tx1"/>
                                </a:solidFill>
                                <a:effectLst/>
                                <a:latin typeface="Cambria Math" panose="02040503050406030204" pitchFamily="18" charset="0"/>
                                <a:ea typeface="+mn-ea"/>
                                <a:cs typeface="+mn-cs"/>
                              </a:rPr>
                              <m:t>1</m:t>
                            </m:r>
                          </m:sub>
                        </m:sSub>
                      </m:den>
                    </m:f>
                    <m:d>
                      <m:dPr>
                        <m:ctrlPr>
                          <a:rPr lang="en-US" sz="1400" i="1" kern="1200">
                            <a:solidFill>
                              <a:schemeClr val="tx1"/>
                            </a:solidFill>
                            <a:effectLst/>
                            <a:latin typeface="Cambria Math" panose="02040503050406030204" pitchFamily="18" charset="0"/>
                            <a:ea typeface="+mn-ea"/>
                            <a:cs typeface="+mn-cs"/>
                          </a:rPr>
                        </m:ctrlPr>
                      </m:dPr>
                      <m:e>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0" kern="1200">
                                <a:solidFill>
                                  <a:schemeClr val="tx1"/>
                                </a:solidFill>
                                <a:effectLst/>
                                <a:latin typeface="Cambria Math" panose="02040503050406030204" pitchFamily="18" charset="0"/>
                                <a:ea typeface="+mn-ea"/>
                                <a:cs typeface="+mn-cs"/>
                              </a:rPr>
                              <m:t>2</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1" kern="1200">
                                <a:solidFill>
                                  <a:schemeClr val="tx1"/>
                                </a:solidFill>
                                <a:effectLst/>
                                <a:latin typeface="Cambria Math" panose="02040503050406030204" pitchFamily="18" charset="0"/>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CA" sz="1400" b="0" i="0" kern="1200">
                            <a:solidFill>
                              <a:schemeClr val="tx1"/>
                            </a:solidFill>
                            <a:effectLst/>
                            <a:latin typeface="Cambria Math" panose="02040503050406030204" pitchFamily="18" charset="0"/>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109141</xdr:colOff>
      <xdr:row>12</xdr:row>
      <xdr:rowOff>138905</xdr:rowOff>
    </xdr:from>
    <xdr:to>
      <xdr:col>17</xdr:col>
      <xdr:colOff>36988</xdr:colOff>
      <xdr:row>24</xdr:row>
      <xdr:rowOff>100788</xdr:rowOff>
    </xdr:to>
    <mc:AlternateContent xmlns:mc="http://schemas.openxmlformats.org/markup-compatibility/2006">
      <mc:Choice xmlns:a14="http://schemas.microsoft.com/office/drawing/2010/main" Requires="a14">
        <xdr:sp macro="" textlink="">
          <xdr:nvSpPr>
            <xdr:cNvPr id="3" name="Rectangle 2">
              <a:extLst>
                <a:ext uri="{FF2B5EF4-FFF2-40B4-BE49-F238E27FC236}">
                  <a16:creationId xmlns:a16="http://schemas.microsoft.com/office/drawing/2014/main" id="{1AF86938-3065-40DF-860C-3AC111BF161B}"/>
                </a:ext>
              </a:extLst>
            </xdr:cNvPr>
            <xdr:cNvSpPr/>
          </xdr:nvSpPr>
          <xdr:spPr>
            <a:xfrm>
              <a:off x="8036719" y="2877343"/>
              <a:ext cx="2348785" cy="2224070"/>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b="1">
                  <a:solidFill>
                    <a:srgbClr val="0070C0"/>
                  </a:solidFill>
                </a:rPr>
                <a:t>Attenuator:</a:t>
              </a:r>
            </a:p>
            <a:p>
              <a14:m>
                <m:oMath xmlns:m="http://schemas.openxmlformats.org/officeDocument/2006/math">
                  <m:sSub>
                    <m:sSubPr>
                      <m:ctrlPr>
                        <a:rPr lang="en-US" i="1">
                          <a:latin typeface="Cambria Math" panose="02040503050406030204" pitchFamily="18" charset="0"/>
                        </a:rPr>
                      </m:ctrlPr>
                    </m:sSubPr>
                    <m:e>
                      <m:r>
                        <a:rPr lang="en-CA" b="0" i="1">
                          <a:latin typeface="Cambria Math" panose="02040503050406030204" pitchFamily="18" charset="0"/>
                        </a:rPr>
                        <m:t>𝐴</m:t>
                      </m:r>
                    </m:e>
                    <m:sub>
                      <m:r>
                        <a:rPr lang="en-CA" b="0" i="1">
                          <a:latin typeface="Cambria Math" panose="02040503050406030204" pitchFamily="18" charset="0"/>
                        </a:rPr>
                        <m:t>𝑣</m:t>
                      </m:r>
                    </m:sub>
                  </m:sSub>
                  <m:r>
                    <a:rPr lang="en-US" i="1">
                      <a:latin typeface="Cambria Math" panose="02040503050406030204" pitchFamily="18" charset="0"/>
                    </a:rPr>
                    <m:t> </m:t>
                  </m:r>
                </m:oMath>
              </a14:m>
              <a:r>
                <a:rPr lang="en-US" i="1">
                  <a:latin typeface="Cambria Math" panose="02040503050406030204" pitchFamily="18" charset="0"/>
                </a:rPr>
                <a:t>=</a:t>
              </a:r>
              <a:r>
                <a:rPr lang="en-US"/>
                <a:t> </a:t>
              </a:r>
              <a14:m>
                <m:oMath xmlns:m="http://schemas.openxmlformats.org/officeDocument/2006/math">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a14:m>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r>
                          <a:rPr lang="en-US">
                            <a:latin typeface="Cambria Math" panose="02040503050406030204" pitchFamily="18" charset="0"/>
                          </a:rPr>
                          <m:t>𝑉</m:t>
                        </m:r>
                      </m:e>
                      <m:sub>
                        <m:r>
                          <a:rPr lang="en-US">
                            <a:latin typeface="Cambria Math" panose="02040503050406030204" pitchFamily="18" charset="0"/>
                          </a:rPr>
                          <m:t>𝑖𝑛</m:t>
                        </m:r>
                      </m:sub>
                    </m:sSub>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dr:sp macro="" textlink="">
          <xdr:nvSpPr>
            <xdr:cNvPr id="3" name="Rectangle 2">
              <a:extLst>
                <a:ext uri="{FF2B5EF4-FFF2-40B4-BE49-F238E27FC236}">
                  <a16:creationId xmlns:a16="http://schemas.microsoft.com/office/drawing/2014/main" id="{1AF86938-3065-40DF-860C-3AC111BF161B}"/>
                </a:ext>
              </a:extLst>
            </xdr:cNvPr>
            <xdr:cNvSpPr/>
          </xdr:nvSpPr>
          <xdr:spPr>
            <a:xfrm>
              <a:off x="8036719" y="2877343"/>
              <a:ext cx="2348785" cy="2224070"/>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b="1">
                  <a:solidFill>
                    <a:srgbClr val="0070C0"/>
                  </a:solidFill>
                </a:rPr>
                <a:t>Attenuator:</a:t>
              </a:r>
            </a:p>
            <a:p>
              <a:r>
                <a:rPr lang="en-CA" b="0" i="0">
                  <a:latin typeface="Cambria Math" panose="02040503050406030204" pitchFamily="18" charset="0"/>
                </a:rPr>
                <a:t>𝐴</a:t>
              </a:r>
              <a:r>
                <a:rPr lang="en-US" b="0" i="0">
                  <a:latin typeface="Cambria Math" panose="02040503050406030204" pitchFamily="18" charset="0"/>
                </a:rPr>
                <a:t>_</a:t>
              </a:r>
              <a:r>
                <a:rPr lang="en-CA" b="0" i="0">
                  <a:latin typeface="Cambria Math" panose="02040503050406030204" pitchFamily="18" charset="0"/>
                </a:rPr>
                <a:t>𝑣</a:t>
              </a:r>
              <a:r>
                <a:rPr lang="en-US" b="0" i="0">
                  <a:latin typeface="Cambria Math" panose="02040503050406030204" pitchFamily="18" charset="0"/>
                </a:rPr>
                <a:t> </a:t>
              </a:r>
              <a:r>
                <a:rPr lang="en-US" i="0">
                  <a:latin typeface="Cambria Math" panose="02040503050406030204" pitchFamily="18" charset="0"/>
                </a:rPr>
                <a:t> </a:t>
              </a:r>
              <a:r>
                <a:rPr lang="en-US" i="1">
                  <a:latin typeface="Cambria Math" panose="02040503050406030204" pitchFamily="18" charset="0"/>
                </a:rPr>
                <a:t>=</a:t>
              </a:r>
              <a:r>
                <a:rPr lang="en-US"/>
                <a:t> </a:t>
              </a:r>
              <a:r>
                <a:rPr lang="en-US" i="0">
                  <a:latin typeface="Cambria Math" panose="02040503050406030204" pitchFamily="18" charset="0"/>
                </a:rPr>
                <a:t>(𝑅_2/(𝑅_1+𝑅_2 ))</a:t>
              </a:r>
              <a:endParaRPr lang="en-US" i="1">
                <a:latin typeface="Cambria Math" panose="02040503050406030204" pitchFamily="18" charset="0"/>
              </a:endParaRPr>
            </a:p>
            <a:p>
              <a:pPr/>
              <a:r>
                <a:rPr lang="en-US" i="0">
                  <a:latin typeface="Cambria Math" panose="02040503050406030204" pitchFamily="18" charset="0"/>
                </a:rPr>
                <a:t>𝑉_𝑜𝑢𝑡=(𝑅_2/(𝑅_1+𝑅_2 ))𝑉_𝑖𝑛</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100">
                <a:effectLst/>
              </a:endParaRPr>
            </a:p>
            <a:p>
              <a:endParaRPr lang="en-US" sz="1400">
                <a:solidFill>
                  <a:schemeClr val="tx1"/>
                </a:solidFill>
              </a:endParaRPr>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^2 )→〖𝐺𝑎𝑖𝑛〗_𝑑𝐵=20×𝑙𝑜𝑔(((</a:t>
              </a:r>
              <a:r>
                <a:rPr lang="en-US" sz="1600" i="0" kern="1200">
                  <a:solidFill>
                    <a:schemeClr val="tx1"/>
                  </a:solidFill>
                  <a:effectLst/>
                  <a:latin typeface="Cambria Math" panose="02040503050406030204" pitchFamily="18" charset="0"/>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electronics-tutorials.ws/filter/filter_5.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lectronics-tutorials.ws/filter/filter_5.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Normal="100"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43</v>
      </c>
    </row>
    <row r="2" spans="2:9" ht="15.75" thickBot="1">
      <c r="B2" s="2" t="s">
        <v>12</v>
      </c>
      <c r="C2" s="4">
        <v>1</v>
      </c>
      <c r="D2" s="2" t="s">
        <v>16</v>
      </c>
      <c r="G2" s="6" t="s">
        <v>36</v>
      </c>
    </row>
    <row r="3" spans="2:9" ht="15.75" thickBot="1">
      <c r="B3" s="2" t="s">
        <v>15</v>
      </c>
      <c r="C3" s="4">
        <v>3.5</v>
      </c>
      <c r="D3" s="2" t="s">
        <v>16</v>
      </c>
      <c r="G3" s="2" t="s">
        <v>9</v>
      </c>
      <c r="H3" s="4">
        <v>10</v>
      </c>
      <c r="I3" s="2" t="s">
        <v>18</v>
      </c>
    </row>
    <row r="4" spans="2:9" ht="15.75" thickBot="1">
      <c r="B4" s="2" t="s">
        <v>0</v>
      </c>
      <c r="C4" s="3">
        <v>0</v>
      </c>
      <c r="D4" s="2" t="s">
        <v>17</v>
      </c>
      <c r="G4" s="2" t="s">
        <v>10</v>
      </c>
      <c r="H4" s="15">
        <v>0</v>
      </c>
      <c r="I4" s="2" t="s">
        <v>19</v>
      </c>
    </row>
    <row r="5" spans="2:9" ht="15.75" thickBot="1">
      <c r="B5" s="2" t="s">
        <v>1</v>
      </c>
      <c r="C5" s="3">
        <f>-C3/C2</f>
        <v>-3.5</v>
      </c>
      <c r="D5" s="2" t="s">
        <v>39</v>
      </c>
      <c r="G5" s="2" t="s">
        <v>31</v>
      </c>
      <c r="H5" s="4">
        <v>0.5</v>
      </c>
      <c r="I5" s="2" t="s">
        <v>32</v>
      </c>
    </row>
    <row r="6" spans="2:9" ht="15.75" thickBot="1">
      <c r="B6" s="2" t="s">
        <v>25</v>
      </c>
      <c r="C6" s="4">
        <v>1</v>
      </c>
      <c r="D6"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D9BF-0F6E-4A4D-9A74-74057F0FF1D7}">
  <dimension ref="B1:S35"/>
  <sheetViews>
    <sheetView zoomScale="99" zoomScaleNormal="99"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266</v>
      </c>
    </row>
    <row r="2" spans="2:9" ht="15.75" thickBot="1">
      <c r="B2" s="2" t="s">
        <v>12</v>
      </c>
      <c r="C2" s="4">
        <v>1</v>
      </c>
      <c r="D2" s="2" t="s">
        <v>16</v>
      </c>
      <c r="G2" s="6" t="s">
        <v>36</v>
      </c>
    </row>
    <row r="3" spans="2:9" ht="15.75" thickBot="1">
      <c r="B3" s="2" t="s">
        <v>15</v>
      </c>
      <c r="C3" s="4">
        <v>5</v>
      </c>
      <c r="D3" s="2" t="s">
        <v>16</v>
      </c>
      <c r="G3" s="2" t="s">
        <v>9</v>
      </c>
      <c r="H3" s="4">
        <v>5</v>
      </c>
      <c r="I3" s="2" t="s">
        <v>18</v>
      </c>
    </row>
    <row r="4" spans="2:9" ht="15.75" thickBot="1">
      <c r="B4" s="2" t="s">
        <v>11</v>
      </c>
      <c r="C4" s="3">
        <f>H3/2</f>
        <v>2.5</v>
      </c>
      <c r="D4" s="2" t="s">
        <v>259</v>
      </c>
      <c r="G4" s="2" t="s">
        <v>10</v>
      </c>
      <c r="H4" s="5">
        <v>0</v>
      </c>
      <c r="I4" s="2" t="s">
        <v>19</v>
      </c>
    </row>
    <row r="5" spans="2:9" ht="15.75" thickBot="1">
      <c r="B5" s="2" t="s">
        <v>0</v>
      </c>
      <c r="C5" s="3">
        <f>(1+C3/C2)*C4</f>
        <v>15</v>
      </c>
      <c r="D5" s="2" t="s">
        <v>17</v>
      </c>
      <c r="G5" s="2" t="s">
        <v>31</v>
      </c>
      <c r="H5" s="4">
        <v>0</v>
      </c>
      <c r="I5" s="2" t="s">
        <v>32</v>
      </c>
    </row>
    <row r="6" spans="2:9" ht="15.75" thickBot="1">
      <c r="B6" s="2" t="s">
        <v>1</v>
      </c>
      <c r="C6" s="3">
        <f>-C3/C2</f>
        <v>-5</v>
      </c>
      <c r="D6" s="2" t="s">
        <v>39</v>
      </c>
    </row>
    <row r="7" spans="2:9" ht="15.75" thickBot="1">
      <c r="B7" s="2" t="s">
        <v>25</v>
      </c>
      <c r="C7" s="4">
        <v>0.1</v>
      </c>
      <c r="D7" s="2" t="s">
        <v>265</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$C$7*SIN($B10)+$C$4</f>
        <v>2.5</v>
      </c>
      <c r="D10" s="2">
        <f t="shared" ref="D10:D35" si="0">$C$6*C10+(1-$C$6)*$C$4</f>
        <v>2.5</v>
      </c>
      <c r="E10" s="2">
        <f t="shared" ref="E10:E35" si="1">IF(D10&gt;($H$3-$H$5),($H$3-$H$5),IF(D10&lt;($H$4+$H$5),($H$4+$H$5),D10))</f>
        <v>2.5</v>
      </c>
      <c r="G10" s="6" t="s">
        <v>34</v>
      </c>
      <c r="H10" s="3">
        <f>IF($C$6*H9+(1-$C$6)*$C$4&gt;($H$3-$H$5),($H$3-$H$5),IF($C$6*H9+(1-$C$6)*$C$4&lt;($H$4+$H$5),($H$4+$H$5),$C$6*H9+(1-$C$6)*$C$4))</f>
        <v>2</v>
      </c>
      <c r="I10" s="2" t="s">
        <v>17</v>
      </c>
    </row>
    <row r="11" spans="2:9">
      <c r="B11" s="2">
        <v>0.1</v>
      </c>
      <c r="C11" s="2">
        <f t="shared" ref="C11:C35" si="2">$C$7*SIN($B11)+$C$4</f>
        <v>2.5099833416646828</v>
      </c>
      <c r="D11" s="2">
        <f t="shared" si="0"/>
        <v>2.4500832916765862</v>
      </c>
      <c r="E11" s="2">
        <f t="shared" si="1"/>
        <v>2.4500832916765862</v>
      </c>
    </row>
    <row r="12" spans="2:9">
      <c r="B12" s="2">
        <v>0.2</v>
      </c>
      <c r="C12" s="2">
        <f t="shared" si="2"/>
        <v>2.519866933079506</v>
      </c>
      <c r="D12" s="2">
        <f t="shared" si="0"/>
        <v>2.4006653346024702</v>
      </c>
      <c r="E12" s="2">
        <f t="shared" si="1"/>
        <v>2.4006653346024702</v>
      </c>
    </row>
    <row r="13" spans="2:9">
      <c r="B13" s="2">
        <v>1.2</v>
      </c>
      <c r="C13" s="2">
        <f t="shared" si="2"/>
        <v>2.5932039085967227</v>
      </c>
      <c r="D13" s="2">
        <f t="shared" si="0"/>
        <v>2.0339804570163871</v>
      </c>
      <c r="E13" s="2">
        <f t="shared" si="1"/>
        <v>2.0339804570163871</v>
      </c>
    </row>
    <row r="14" spans="2:9">
      <c r="B14" s="2">
        <v>2.2000000000000002</v>
      </c>
      <c r="C14" s="2">
        <f t="shared" si="2"/>
        <v>2.5808496403819592</v>
      </c>
      <c r="D14" s="2">
        <f t="shared" si="0"/>
        <v>2.0957517980902036</v>
      </c>
      <c r="E14" s="2">
        <f t="shared" si="1"/>
        <v>2.0957517980902036</v>
      </c>
    </row>
    <row r="15" spans="2:9">
      <c r="B15" s="2">
        <v>3.2</v>
      </c>
      <c r="C15" s="2">
        <f t="shared" si="2"/>
        <v>2.494162585657242</v>
      </c>
      <c r="D15" s="2">
        <f t="shared" si="0"/>
        <v>2.529187071713789</v>
      </c>
      <c r="E15" s="2">
        <f t="shared" si="1"/>
        <v>2.529187071713789</v>
      </c>
    </row>
    <row r="16" spans="2:9">
      <c r="B16" s="2">
        <v>4.2</v>
      </c>
      <c r="C16" s="2">
        <f t="shared" si="2"/>
        <v>2.4128424227586414</v>
      </c>
      <c r="D16" s="2">
        <f t="shared" si="0"/>
        <v>2.9357878862067928</v>
      </c>
      <c r="E16" s="2">
        <f t="shared" si="1"/>
        <v>2.9357878862067928</v>
      </c>
    </row>
    <row r="17" spans="2:19">
      <c r="B17" s="2">
        <v>5.2</v>
      </c>
      <c r="C17" s="2">
        <f t="shared" si="2"/>
        <v>2.4116545344279845</v>
      </c>
      <c r="D17" s="2">
        <f t="shared" si="0"/>
        <v>2.9417273278600771</v>
      </c>
      <c r="E17" s="2">
        <f t="shared" si="1"/>
        <v>2.9417273278600771</v>
      </c>
    </row>
    <row r="18" spans="2:19">
      <c r="B18" s="2">
        <v>6.2</v>
      </c>
      <c r="C18" s="2">
        <f t="shared" si="2"/>
        <v>2.4916910597182502</v>
      </c>
      <c r="D18" s="2">
        <f t="shared" si="0"/>
        <v>2.5415447014087498</v>
      </c>
      <c r="E18" s="2">
        <f t="shared" si="1"/>
        <v>2.5415447014087498</v>
      </c>
    </row>
    <row r="19" spans="2:19">
      <c r="B19" s="2">
        <v>7.2</v>
      </c>
      <c r="C19" s="2">
        <f t="shared" si="2"/>
        <v>2.5793667863849152</v>
      </c>
      <c r="D19" s="2">
        <f t="shared" si="0"/>
        <v>2.1031660680754243</v>
      </c>
      <c r="E19" s="2">
        <f t="shared" si="1"/>
        <v>2.1031660680754243</v>
      </c>
    </row>
    <row r="20" spans="2:19">
      <c r="B20" s="2">
        <v>8.1999999999999993</v>
      </c>
      <c r="C20" s="2">
        <f t="shared" si="2"/>
        <v>2.5940730556679772</v>
      </c>
      <c r="D20" s="2">
        <f t="shared" si="0"/>
        <v>2.0296347216601145</v>
      </c>
      <c r="E20" s="2">
        <f t="shared" si="1"/>
        <v>2.0296347216601145</v>
      </c>
    </row>
    <row r="21" spans="2:19">
      <c r="B21" s="2">
        <v>9.1999999999999993</v>
      </c>
      <c r="C21" s="2">
        <f t="shared" si="2"/>
        <v>2.5222889914100248</v>
      </c>
      <c r="D21" s="2">
        <f t="shared" si="0"/>
        <v>2.388555042949875</v>
      </c>
      <c r="E21" s="2">
        <f t="shared" si="1"/>
        <v>2.388555042949875</v>
      </c>
    </row>
    <row r="22" spans="2:19">
      <c r="B22" s="2">
        <v>10.199999999999999</v>
      </c>
      <c r="C22" s="2">
        <f t="shared" si="2"/>
        <v>2.4300125312406458</v>
      </c>
      <c r="D22" s="2">
        <f t="shared" si="0"/>
        <v>2.8499373437967712</v>
      </c>
      <c r="E22" s="2">
        <f t="shared" si="1"/>
        <v>2.8499373437967712</v>
      </c>
    </row>
    <row r="23" spans="2:19">
      <c r="B23" s="2">
        <v>11.2</v>
      </c>
      <c r="C23" s="2">
        <f t="shared" si="2"/>
        <v>2.4020822270848683</v>
      </c>
      <c r="D23" s="2">
        <f t="shared" si="0"/>
        <v>2.9895888645756585</v>
      </c>
      <c r="E23" s="2">
        <f t="shared" si="1"/>
        <v>2.9895888645756585</v>
      </c>
    </row>
    <row r="24" spans="2:19">
      <c r="B24" s="2">
        <v>12.2</v>
      </c>
      <c r="C24" s="2">
        <f t="shared" si="2"/>
        <v>2.4641770717763172</v>
      </c>
      <c r="D24" s="2">
        <f t="shared" si="0"/>
        <v>2.6791146411184137</v>
      </c>
      <c r="E24" s="2">
        <f t="shared" si="1"/>
        <v>2.6791146411184137</v>
      </c>
    </row>
    <row r="25" spans="2:19">
      <c r="B25" s="2">
        <v>13.2</v>
      </c>
      <c r="C25" s="2">
        <f t="shared" si="2"/>
        <v>2.5592073514707221</v>
      </c>
      <c r="D25" s="2">
        <f t="shared" si="0"/>
        <v>2.20396324264639</v>
      </c>
      <c r="E25" s="2">
        <f t="shared" si="1"/>
        <v>2.20396324264639</v>
      </c>
    </row>
    <row r="26" spans="2:19">
      <c r="B26" s="2">
        <v>14.2</v>
      </c>
      <c r="C26" s="2">
        <f t="shared" si="2"/>
        <v>2.5998026652716364</v>
      </c>
      <c r="D26" s="2">
        <f t="shared" si="0"/>
        <v>2.0009866736418189</v>
      </c>
      <c r="E26" s="2">
        <f t="shared" si="1"/>
        <v>2.0009866736418189</v>
      </c>
      <c r="S26" s="6" t="s">
        <v>269</v>
      </c>
    </row>
    <row r="27" spans="2:19">
      <c r="B27" s="2">
        <v>15.2</v>
      </c>
      <c r="C27" s="2">
        <f t="shared" si="2"/>
        <v>2.5486398688853802</v>
      </c>
      <c r="D27" s="2">
        <f t="shared" si="0"/>
        <v>2.2568006555730982</v>
      </c>
      <c r="E27" s="2">
        <f t="shared" si="1"/>
        <v>2.2568006555730982</v>
      </c>
    </row>
    <row r="28" spans="2:19">
      <c r="B28" s="2">
        <v>16.2</v>
      </c>
      <c r="C28" s="2">
        <f t="shared" si="2"/>
        <v>2.4527578013601534</v>
      </c>
      <c r="D28" s="2">
        <f t="shared" si="0"/>
        <v>2.7362109931992329</v>
      </c>
      <c r="E28" s="2">
        <f t="shared" si="1"/>
        <v>2.7362109931992329</v>
      </c>
      <c r="N28" s="2" t="s">
        <v>260</v>
      </c>
    </row>
    <row r="29" spans="2:19">
      <c r="B29" s="2">
        <v>17.2</v>
      </c>
      <c r="C29" s="2">
        <f t="shared" si="2"/>
        <v>2.4003099933958403</v>
      </c>
      <c r="D29" s="2">
        <f t="shared" si="0"/>
        <v>2.9984500330207986</v>
      </c>
      <c r="E29" s="2">
        <f t="shared" si="1"/>
        <v>2.9984500330207986</v>
      </c>
      <c r="G29" s="6" t="s">
        <v>65</v>
      </c>
    </row>
    <row r="30" spans="2:19">
      <c r="B30" s="2">
        <v>18.2</v>
      </c>
      <c r="C30" s="2">
        <f t="shared" si="2"/>
        <v>2.4395167177593717</v>
      </c>
      <c r="D30" s="2">
        <f t="shared" si="0"/>
        <v>2.8024164112031418</v>
      </c>
      <c r="E30" s="2">
        <f t="shared" si="1"/>
        <v>2.8024164112031418</v>
      </c>
      <c r="G30" s="12" t="s">
        <v>64</v>
      </c>
      <c r="H30" s="12">
        <f>H3</f>
        <v>5</v>
      </c>
      <c r="I30" s="12" t="s">
        <v>17</v>
      </c>
      <c r="J30" s="13" t="str">
        <f>TRIM(G30)&amp;"   "&amp;IF(H30&gt;0,"+","")&amp;TRIM(H30)&amp;" "&amp;TRIM(I30)</f>
        <v>V+:   +5 V</v>
      </c>
      <c r="N30" s="6" t="s">
        <v>261</v>
      </c>
    </row>
    <row r="31" spans="2:19">
      <c r="B31" s="2">
        <v>19.2</v>
      </c>
      <c r="C31" s="2">
        <f t="shared" si="2"/>
        <v>2.5343314928819893</v>
      </c>
      <c r="D31" s="2">
        <f t="shared" si="0"/>
        <v>2.3283425355900533</v>
      </c>
      <c r="E31" s="2">
        <f t="shared" si="1"/>
        <v>2.3283425355900533</v>
      </c>
      <c r="G31" s="12" t="s">
        <v>66</v>
      </c>
      <c r="H31" s="12">
        <f>H4</f>
        <v>0</v>
      </c>
      <c r="I31" s="12" t="s">
        <v>17</v>
      </c>
      <c r="J31" s="13" t="str">
        <f t="shared" ref="J31:J33" si="3">TRIM(G31)&amp;"   "&amp;IF(H31&gt;0,"+","")&amp;TRIM(H31)&amp;" "&amp;TRIM(I31)</f>
        <v>V-:   0 V</v>
      </c>
      <c r="N31" s="2" t="s">
        <v>268</v>
      </c>
    </row>
    <row r="32" spans="2:19">
      <c r="B32" s="2">
        <v>20.2</v>
      </c>
      <c r="C32" s="2">
        <f t="shared" si="2"/>
        <v>2.5975820517766977</v>
      </c>
      <c r="D32" s="2">
        <f t="shared" si="0"/>
        <v>2.0120897411165117</v>
      </c>
      <c r="E32" s="2">
        <f t="shared" si="1"/>
        <v>2.0120897411165117</v>
      </c>
      <c r="G32" s="12" t="s">
        <v>29</v>
      </c>
      <c r="H32" s="12">
        <f>H9</f>
        <v>2.6</v>
      </c>
      <c r="I32" s="12" t="s">
        <v>17</v>
      </c>
      <c r="J32" s="13" t="str">
        <f t="shared" si="3"/>
        <v>Vin:   +2.6 V</v>
      </c>
      <c r="N32" s="2" t="s">
        <v>263</v>
      </c>
    </row>
    <row r="33" spans="2:14">
      <c r="B33" s="2">
        <v>21.2</v>
      </c>
      <c r="C33" s="2">
        <f t="shared" si="2"/>
        <v>2.571116122290598</v>
      </c>
      <c r="D33" s="2">
        <f t="shared" si="0"/>
        <v>2.1444193885470106</v>
      </c>
      <c r="E33" s="2">
        <f t="shared" si="1"/>
        <v>2.1444193885470106</v>
      </c>
      <c r="G33" s="12" t="s">
        <v>69</v>
      </c>
      <c r="H33" s="12">
        <f>C4</f>
        <v>2.5</v>
      </c>
      <c r="I33" s="12" t="s">
        <v>17</v>
      </c>
      <c r="J33" s="13" t="str">
        <f t="shared" si="3"/>
        <v>Vb:   +2.5 V</v>
      </c>
      <c r="N33" s="2" t="s">
        <v>264</v>
      </c>
    </row>
    <row r="34" spans="2:14">
      <c r="B34" s="2">
        <v>22.2</v>
      </c>
      <c r="C34" s="2">
        <f t="shared" si="2"/>
        <v>2.4792663579393239</v>
      </c>
      <c r="D34" s="2">
        <f t="shared" si="0"/>
        <v>2.6036682103033808</v>
      </c>
      <c r="E34" s="2">
        <f t="shared" si="1"/>
        <v>2.6036682103033808</v>
      </c>
      <c r="G34" s="12" t="s">
        <v>67</v>
      </c>
      <c r="H34" s="12">
        <f>C2</f>
        <v>1</v>
      </c>
      <c r="I34" s="12" t="s">
        <v>16</v>
      </c>
      <c r="J34" s="13" t="str">
        <f>TRIM(G34)&amp;"   "&amp;TRIM(H34)&amp;" "&amp;TRIM(I34)</f>
        <v>R1:   1 K</v>
      </c>
    </row>
    <row r="35" spans="2:14">
      <c r="B35" s="2">
        <v>23.2</v>
      </c>
      <c r="C35" s="2">
        <f t="shared" si="2"/>
        <v>2.4064790084805461</v>
      </c>
      <c r="D35" s="2">
        <f t="shared" si="0"/>
        <v>2.9676049575972705</v>
      </c>
      <c r="E35" s="2">
        <f t="shared" si="1"/>
        <v>2.9676049575972705</v>
      </c>
      <c r="G35" s="12" t="s">
        <v>68</v>
      </c>
      <c r="H35" s="12">
        <f>C3</f>
        <v>5</v>
      </c>
      <c r="I35" s="12" t="s">
        <v>16</v>
      </c>
      <c r="J35" s="13" t="str">
        <f>TRIM(G35)&amp;"   "&amp;TRIM(H35)&amp;" "&amp;TRIM(I35)</f>
        <v>RF:   5 K</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7.25" thickBot="1">
      <c r="B1" s="1" t="s">
        <v>104</v>
      </c>
    </row>
    <row r="2" spans="2:10" ht="15.75" thickBot="1">
      <c r="B2" s="2" t="s">
        <v>12</v>
      </c>
      <c r="C2" s="4">
        <v>1</v>
      </c>
      <c r="D2" s="2" t="s">
        <v>16</v>
      </c>
      <c r="H2" s="6" t="s">
        <v>36</v>
      </c>
    </row>
    <row r="3" spans="2:10" ht="15.75" thickBot="1">
      <c r="B3" s="2" t="s">
        <v>15</v>
      </c>
      <c r="C3" s="4">
        <v>33</v>
      </c>
      <c r="D3" s="2" t="s">
        <v>16</v>
      </c>
      <c r="H3" s="2" t="s">
        <v>9</v>
      </c>
      <c r="I3" s="4">
        <v>5</v>
      </c>
      <c r="J3" s="2" t="s">
        <v>18</v>
      </c>
    </row>
    <row r="4" spans="2:10" ht="15.75" thickBot="1">
      <c r="B4" s="2" t="s">
        <v>82</v>
      </c>
      <c r="C4" s="4">
        <v>2.1000000000000001E-2</v>
      </c>
      <c r="D4" s="2" t="s">
        <v>83</v>
      </c>
      <c r="H4" s="2" t="s">
        <v>10</v>
      </c>
      <c r="I4" s="5">
        <v>-5</v>
      </c>
      <c r="J4" s="2" t="s">
        <v>19</v>
      </c>
    </row>
    <row r="5" spans="2:10" ht="15.7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75" thickBot="1">
      <c r="B8" s="2" t="s">
        <v>97</v>
      </c>
      <c r="C8" s="3">
        <f>1/(2*PI()*C11*C4*0.000001)</f>
        <v>3300</v>
      </c>
      <c r="D8" s="2" t="s">
        <v>219</v>
      </c>
      <c r="H8" s="6" t="s">
        <v>33</v>
      </c>
    </row>
    <row r="9" spans="2:10" ht="15.75" thickBot="1">
      <c r="B9" s="2" t="s">
        <v>220</v>
      </c>
      <c r="C9" s="3">
        <f>-((C3*1000)*C8/(C3*1000+C8))/(C2*1000)</f>
        <v>-3</v>
      </c>
      <c r="D9" s="2" t="s">
        <v>39</v>
      </c>
      <c r="H9" s="6" t="s">
        <v>29</v>
      </c>
      <c r="I9" s="4">
        <v>1</v>
      </c>
      <c r="J9" s="2" t="s">
        <v>17</v>
      </c>
    </row>
    <row r="10" spans="2:10" ht="15.75" thickBot="1">
      <c r="B10" s="2" t="s">
        <v>25</v>
      </c>
      <c r="C10" s="4">
        <v>1</v>
      </c>
      <c r="D10" s="2" t="s">
        <v>38</v>
      </c>
      <c r="H10" s="6" t="s">
        <v>34</v>
      </c>
      <c r="I10" s="3">
        <f>IF($C$7*I9/SQRT(1+($C$11/$C$13)^2)&gt;($I$3-$I$5),($I$3-$I$5),IF($C$7*I9/SQRT(1+($C$11/$C$13)^2)&lt;($I$4+$I$5),($I$4+$I$5),$C$7*I9/SQRT(1+($C$11/$C$13)^2)))</f>
        <v>-3.2836227276929644</v>
      </c>
      <c r="J10" s="2" t="s">
        <v>17</v>
      </c>
    </row>
    <row r="11" spans="2:10" ht="15.75" thickBot="1">
      <c r="B11" s="2" t="s">
        <v>84</v>
      </c>
      <c r="C11" s="4">
        <f>C13*10</f>
        <v>2296.6081254241753</v>
      </c>
      <c r="D11" s="2" t="s">
        <v>80</v>
      </c>
    </row>
    <row r="12" spans="2:10">
      <c r="B12" s="2" t="s">
        <v>87</v>
      </c>
      <c r="C12" s="3">
        <f>1/C11</f>
        <v>4.354247417875453E-4</v>
      </c>
      <c r="D12" s="2" t="s">
        <v>86</v>
      </c>
      <c r="H12" s="6" t="s">
        <v>105</v>
      </c>
    </row>
    <row r="13" spans="2:10" ht="15.75" thickBot="1">
      <c r="B13" s="2" t="s">
        <v>81</v>
      </c>
      <c r="C13" s="3">
        <f>1/(2*PI()*(C3*1000)*(C4*0.000001))</f>
        <v>229.66081254241752</v>
      </c>
      <c r="D13" s="2" t="s">
        <v>80</v>
      </c>
      <c r="H13" s="17" t="s">
        <v>106</v>
      </c>
      <c r="I13" s="3">
        <f>1000*(C3*1000)*(C4*0.000001)</f>
        <v>0.69299999999999995</v>
      </c>
      <c r="J13" s="2" t="s">
        <v>107</v>
      </c>
    </row>
    <row r="14" spans="2:10" ht="15.7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30">
        <f t="shared" ref="F19:F44" si="3">$C$9*C19+(1-$C$9)*$C$5</f>
        <v>2</v>
      </c>
    </row>
    <row r="20" spans="2:6">
      <c r="B20" s="2">
        <f t="shared" ref="B20:B44" si="4">B19+$C$15</f>
        <v>6.9667958686007244E-5</v>
      </c>
      <c r="C20" s="2">
        <f t="shared" si="0"/>
        <v>0.84432792550201496</v>
      </c>
      <c r="D20" s="2">
        <f t="shared" si="1"/>
        <v>-0.630643001957786</v>
      </c>
      <c r="E20" s="2">
        <f t="shared" si="2"/>
        <v>-0.630643001957786</v>
      </c>
      <c r="F20" s="30">
        <f t="shared" si="3"/>
        <v>-0.532983776506045</v>
      </c>
    </row>
    <row r="21" spans="2:6">
      <c r="B21" s="2">
        <f t="shared" si="4"/>
        <v>1.3933591737201449E-4</v>
      </c>
      <c r="C21" s="2">
        <f t="shared" si="0"/>
        <v>0.90482705246601969</v>
      </c>
      <c r="D21" s="2">
        <f t="shared" si="1"/>
        <v>-0.8292993102623738</v>
      </c>
      <c r="E21" s="2">
        <f t="shared" si="2"/>
        <v>-0.8292993102623738</v>
      </c>
      <c r="F21" s="30">
        <f t="shared" si="3"/>
        <v>-0.71448115739805917</v>
      </c>
    </row>
    <row r="22" spans="2:6">
      <c r="B22" s="2">
        <f t="shared" si="4"/>
        <v>2.0900387605802173E-4</v>
      </c>
      <c r="C22" s="2">
        <f t="shared" si="0"/>
        <v>0.12533323356430454</v>
      </c>
      <c r="D22" s="2">
        <f t="shared" si="1"/>
        <v>1.7302643095794814</v>
      </c>
      <c r="E22" s="2">
        <f t="shared" si="2"/>
        <v>1.7302643095794814</v>
      </c>
      <c r="F22" s="30">
        <f t="shared" si="3"/>
        <v>1.6240002993070863</v>
      </c>
    </row>
    <row r="23" spans="2:6">
      <c r="B23" s="2">
        <f t="shared" si="4"/>
        <v>2.7867183474402897E-4</v>
      </c>
      <c r="C23" s="2">
        <f t="shared" si="0"/>
        <v>-0.77051324277578881</v>
      </c>
      <c r="D23" s="2">
        <f t="shared" si="1"/>
        <v>4.6718861598134698</v>
      </c>
      <c r="E23" s="2">
        <f t="shared" si="2"/>
        <v>4.6718861598134698</v>
      </c>
      <c r="F23" s="30">
        <f t="shared" si="3"/>
        <v>4.3115397283273662</v>
      </c>
    </row>
    <row r="24" spans="2:6">
      <c r="B24" s="2">
        <f t="shared" si="4"/>
        <v>3.4833979343003622E-4</v>
      </c>
      <c r="C24" s="2">
        <f t="shared" si="0"/>
        <v>-0.95105651629515364</v>
      </c>
      <c r="D24" s="2">
        <f t="shared" si="1"/>
        <v>5.2647221560737432</v>
      </c>
      <c r="E24" s="2">
        <f t="shared" si="2"/>
        <v>5</v>
      </c>
      <c r="F24" s="30">
        <f t="shared" si="3"/>
        <v>4.8531695488854609</v>
      </c>
    </row>
    <row r="25" spans="2:6">
      <c r="B25" s="2">
        <f t="shared" si="4"/>
        <v>4.1800775211604346E-4</v>
      </c>
      <c r="C25" s="2">
        <f t="shared" si="0"/>
        <v>-0.24868988716485535</v>
      </c>
      <c r="D25" s="2">
        <f t="shared" si="1"/>
        <v>2.9584151294884</v>
      </c>
      <c r="E25" s="2">
        <f t="shared" si="2"/>
        <v>2.9584151294884</v>
      </c>
      <c r="F25" s="30">
        <f t="shared" si="3"/>
        <v>2.7460696614945661</v>
      </c>
    </row>
    <row r="26" spans="2:6">
      <c r="B26" s="2">
        <f t="shared" si="4"/>
        <v>4.876757108020507E-4</v>
      </c>
      <c r="C26" s="2">
        <f t="shared" si="0"/>
        <v>0.68454710592868795</v>
      </c>
      <c r="D26" s="2">
        <f t="shared" si="1"/>
        <v>-0.10598307135740015</v>
      </c>
      <c r="E26" s="2">
        <f t="shared" si="2"/>
        <v>-0.10598307135740015</v>
      </c>
      <c r="F26" s="30">
        <f t="shared" si="3"/>
        <v>-5.3641317786063958E-2</v>
      </c>
    </row>
    <row r="27" spans="2:6">
      <c r="B27" s="2">
        <f t="shared" si="4"/>
        <v>5.5734366948805795E-4</v>
      </c>
      <c r="C27" s="2">
        <f t="shared" si="0"/>
        <v>0.98228725072868894</v>
      </c>
      <c r="D27" s="2">
        <f t="shared" si="1"/>
        <v>-1.0836493777692784</v>
      </c>
      <c r="E27" s="2">
        <f t="shared" si="2"/>
        <v>-1.0836493777692784</v>
      </c>
      <c r="F27" s="30">
        <f t="shared" si="3"/>
        <v>-0.94686175218606694</v>
      </c>
    </row>
    <row r="28" spans="2:6">
      <c r="B28" s="2">
        <f t="shared" si="4"/>
        <v>6.2701162817406519E-4</v>
      </c>
      <c r="C28" s="2">
        <f t="shared" si="0"/>
        <v>0.36812455268467797</v>
      </c>
      <c r="D28" s="2">
        <f t="shared" si="1"/>
        <v>0.93302921602926769</v>
      </c>
      <c r="E28" s="2">
        <f t="shared" si="2"/>
        <v>0.93302921602926769</v>
      </c>
      <c r="F28" s="30">
        <f t="shared" si="3"/>
        <v>0.89562634194596602</v>
      </c>
    </row>
    <row r="29" spans="2:6">
      <c r="B29" s="2">
        <f t="shared" si="4"/>
        <v>6.9667958686007244E-4</v>
      </c>
      <c r="C29" s="2">
        <f t="shared" si="0"/>
        <v>-0.5877852522924728</v>
      </c>
      <c r="D29" s="2">
        <f t="shared" si="1"/>
        <v>4.071876377276789</v>
      </c>
      <c r="E29" s="2">
        <f t="shared" si="2"/>
        <v>4.071876377276789</v>
      </c>
      <c r="F29" s="30">
        <f t="shared" si="3"/>
        <v>3.7633557568774183</v>
      </c>
    </row>
    <row r="30" spans="2:6">
      <c r="B30" s="2">
        <f t="shared" si="4"/>
        <v>7.6634754554607968E-4</v>
      </c>
      <c r="C30" s="2">
        <f t="shared" si="0"/>
        <v>-0.99802672842827167</v>
      </c>
      <c r="D30" s="2">
        <f t="shared" si="1"/>
        <v>5.4189546121586094</v>
      </c>
      <c r="E30" s="2">
        <f t="shared" si="2"/>
        <v>5</v>
      </c>
      <c r="F30" s="30">
        <f t="shared" si="3"/>
        <v>4.9940801852848153</v>
      </c>
    </row>
    <row r="31" spans="2:6">
      <c r="B31" s="2">
        <f t="shared" si="4"/>
        <v>8.3601550423208692E-4</v>
      </c>
      <c r="C31" s="2">
        <f t="shared" si="0"/>
        <v>-0.48175367410171632</v>
      </c>
      <c r="D31" s="2">
        <f t="shared" si="1"/>
        <v>3.7237086772764676</v>
      </c>
      <c r="E31" s="2">
        <f t="shared" si="2"/>
        <v>3.7237086772764676</v>
      </c>
      <c r="F31" s="30">
        <f t="shared" si="3"/>
        <v>3.4452610223051492</v>
      </c>
    </row>
    <row r="32" spans="2:6">
      <c r="B32" s="2">
        <f t="shared" si="4"/>
        <v>9.0568346291809417E-4</v>
      </c>
      <c r="C32" s="2">
        <f t="shared" si="0"/>
        <v>0.48175367410171543</v>
      </c>
      <c r="D32" s="2">
        <f t="shared" si="1"/>
        <v>0.55991405041650011</v>
      </c>
      <c r="E32" s="2">
        <f t="shared" si="2"/>
        <v>0.55991405041650011</v>
      </c>
      <c r="F32" s="30">
        <f t="shared" si="3"/>
        <v>0.5547389776948537</v>
      </c>
    </row>
    <row r="33" spans="2:11">
      <c r="B33" s="2">
        <f t="shared" si="4"/>
        <v>9.7535142160410141E-4</v>
      </c>
      <c r="C33" s="2">
        <f t="shared" si="0"/>
        <v>0.99802672842827145</v>
      </c>
      <c r="D33" s="2">
        <f t="shared" si="1"/>
        <v>-1.1353318844656433</v>
      </c>
      <c r="E33" s="2">
        <f t="shared" si="2"/>
        <v>-1.1353318844656433</v>
      </c>
      <c r="F33" s="30">
        <f t="shared" si="3"/>
        <v>-0.99408018528481445</v>
      </c>
    </row>
    <row r="34" spans="2:11">
      <c r="B34" s="2">
        <f t="shared" si="4"/>
        <v>1.0450193802901088E-3</v>
      </c>
      <c r="C34" s="2">
        <f t="shared" si="0"/>
        <v>0.58778525229247358</v>
      </c>
      <c r="D34" s="2">
        <f t="shared" si="1"/>
        <v>0.21174635041617318</v>
      </c>
      <c r="E34" s="2">
        <f t="shared" si="2"/>
        <v>0.21174635041617318</v>
      </c>
      <c r="F34" s="30">
        <f t="shared" si="3"/>
        <v>0.23664424312257926</v>
      </c>
    </row>
    <row r="35" spans="2:11">
      <c r="B35" s="2">
        <f t="shared" si="4"/>
        <v>1.1146873389761159E-3</v>
      </c>
      <c r="C35" s="2">
        <f t="shared" si="0"/>
        <v>-0.36812455268467542</v>
      </c>
      <c r="D35" s="2">
        <f t="shared" si="1"/>
        <v>3.3505935116636887</v>
      </c>
      <c r="E35" s="2">
        <f t="shared" si="2"/>
        <v>3.3505935116636887</v>
      </c>
      <c r="F35" s="30">
        <f t="shared" si="3"/>
        <v>3.1043736580540262</v>
      </c>
    </row>
    <row r="36" spans="2:11">
      <c r="B36" s="2">
        <f t="shared" si="4"/>
        <v>1.184355297662123E-3</v>
      </c>
      <c r="C36" s="2">
        <f t="shared" si="0"/>
        <v>-0.98228725072868839</v>
      </c>
      <c r="D36" s="2">
        <f t="shared" si="1"/>
        <v>5.3672721054622414</v>
      </c>
      <c r="E36" s="2">
        <f t="shared" si="2"/>
        <v>5</v>
      </c>
      <c r="F36" s="30">
        <f t="shared" si="3"/>
        <v>4.9468617521860647</v>
      </c>
    </row>
    <row r="37" spans="2:11">
      <c r="B37" s="2">
        <f t="shared" si="4"/>
        <v>1.2540232563481302E-3</v>
      </c>
      <c r="C37" s="2">
        <f t="shared" si="0"/>
        <v>-0.68454710592869128</v>
      </c>
      <c r="D37" s="2">
        <f t="shared" si="1"/>
        <v>4.3896057990503756</v>
      </c>
      <c r="E37" s="2">
        <f t="shared" si="2"/>
        <v>4.3896057990503756</v>
      </c>
      <c r="F37" s="30">
        <f t="shared" si="3"/>
        <v>4.0536413177860737</v>
      </c>
    </row>
    <row r="38" spans="2:11">
      <c r="B38" s="2">
        <f t="shared" si="4"/>
        <v>1.3236912150341373E-3</v>
      </c>
      <c r="C38" s="2">
        <f t="shared" si="0"/>
        <v>0.24868988716484924</v>
      </c>
      <c r="D38" s="2">
        <f t="shared" si="1"/>
        <v>1.3252075982045848</v>
      </c>
      <c r="E38" s="2">
        <f t="shared" si="2"/>
        <v>1.3252075982045848</v>
      </c>
      <c r="F38" s="30">
        <f t="shared" si="3"/>
        <v>1.2539303385054523</v>
      </c>
      <c r="H38" s="6" t="s">
        <v>65</v>
      </c>
    </row>
    <row r="39" spans="2:11">
      <c r="B39" s="2">
        <f t="shared" si="4"/>
        <v>1.3933591737201444E-3</v>
      </c>
      <c r="C39" s="2">
        <f t="shared" si="0"/>
        <v>0.95105651629515109</v>
      </c>
      <c r="D39" s="2">
        <f t="shared" si="1"/>
        <v>-0.98109942838076947</v>
      </c>
      <c r="E39" s="2">
        <f t="shared" si="2"/>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30">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30">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30">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30">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168</v>
      </c>
    </row>
    <row r="2" spans="2:9" ht="15.75" thickBot="1">
      <c r="B2" s="2" t="s">
        <v>173</v>
      </c>
      <c r="C2" s="4">
        <v>5</v>
      </c>
      <c r="D2" s="2" t="s">
        <v>17</v>
      </c>
      <c r="G2" s="6" t="s">
        <v>36</v>
      </c>
    </row>
    <row r="3" spans="2:9" ht="15.75" thickBot="1">
      <c r="B3" s="2" t="s">
        <v>12</v>
      </c>
      <c r="C3" s="4">
        <v>10</v>
      </c>
      <c r="D3" s="2" t="s">
        <v>16</v>
      </c>
      <c r="G3" s="2" t="s">
        <v>9</v>
      </c>
      <c r="H3" s="4">
        <v>5</v>
      </c>
      <c r="I3" s="2" t="s">
        <v>18</v>
      </c>
    </row>
    <row r="4" spans="2:9" ht="15.75" thickBot="1">
      <c r="B4" s="2" t="s">
        <v>13</v>
      </c>
      <c r="C4" s="4">
        <v>1</v>
      </c>
      <c r="D4" s="2" t="s">
        <v>16</v>
      </c>
      <c r="G4" s="2" t="s">
        <v>10</v>
      </c>
      <c r="H4" s="5">
        <v>0</v>
      </c>
      <c r="I4" s="2" t="s">
        <v>19</v>
      </c>
    </row>
    <row r="5" spans="2:9" ht="15.75" thickBot="1">
      <c r="B5" s="2" t="s">
        <v>2</v>
      </c>
      <c r="C5" s="4">
        <f>C2*C4/(C3+C4)</f>
        <v>0.45454545454545453</v>
      </c>
      <c r="D5" s="2" t="s">
        <v>17</v>
      </c>
      <c r="G5" s="2" t="s">
        <v>31</v>
      </c>
      <c r="H5" s="4">
        <v>0</v>
      </c>
      <c r="I5" s="2" t="s">
        <v>32</v>
      </c>
    </row>
    <row r="6" spans="2:9" ht="15.75" thickBot="1">
      <c r="B6" s="6" t="s">
        <v>177</v>
      </c>
    </row>
    <row r="7" spans="2:9" ht="15.75" thickBot="1">
      <c r="B7" s="2" t="s">
        <v>170</v>
      </c>
      <c r="C7" s="4">
        <v>2100</v>
      </c>
      <c r="D7" s="2" t="s">
        <v>16</v>
      </c>
    </row>
    <row r="8" spans="2:9" ht="15.75" thickBot="1">
      <c r="B8" s="2" t="s">
        <v>169</v>
      </c>
      <c r="C8" s="4">
        <v>145</v>
      </c>
      <c r="D8" s="2" t="s">
        <v>16</v>
      </c>
      <c r="G8" s="6" t="s">
        <v>33</v>
      </c>
    </row>
    <row r="9" spans="2:9" ht="15.75" thickBot="1">
      <c r="B9" s="2" t="s">
        <v>171</v>
      </c>
      <c r="C9" s="4">
        <v>1000</v>
      </c>
      <c r="D9" s="2" t="s">
        <v>16</v>
      </c>
      <c r="G9" s="6" t="s">
        <v>29</v>
      </c>
      <c r="H9" s="4">
        <v>0.6</v>
      </c>
      <c r="I9" s="2" t="s">
        <v>17</v>
      </c>
    </row>
    <row r="10" spans="2:9" ht="15.75" thickBot="1">
      <c r="B10" s="2" t="s">
        <v>175</v>
      </c>
      <c r="C10" s="4">
        <f>C5*$C$9/($C$7+$C$9)</f>
        <v>0.14662756598240467</v>
      </c>
      <c r="D10" s="2" t="s">
        <v>242</v>
      </c>
      <c r="G10" s="6" t="s">
        <v>34</v>
      </c>
      <c r="H10" s="3">
        <f>IF(H9*C15&gt;($H$3-$H$5),($H$3-$H$5),IF(H9*C15&lt;($H$4+$H$5),($H$4+$H$5),H9*C15))</f>
        <v>3.9599999999999995</v>
      </c>
      <c r="I10" s="2" t="s">
        <v>17</v>
      </c>
    </row>
    <row r="11" spans="2:9" ht="15.75" thickBot="1">
      <c r="B11" s="2" t="s">
        <v>174</v>
      </c>
      <c r="C11" s="4">
        <f>C5*$C$9/($C$8+$C$9)</f>
        <v>0.39698292973402138</v>
      </c>
      <c r="D11" s="2" t="s">
        <v>38</v>
      </c>
    </row>
    <row r="12" spans="2:9" ht="15.75" thickBot="1">
      <c r="B12" s="2" t="s">
        <v>172</v>
      </c>
      <c r="C12" s="4">
        <v>10</v>
      </c>
      <c r="D12" s="2" t="s">
        <v>16</v>
      </c>
    </row>
    <row r="13" spans="2:9" ht="15.7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AE56"/>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6" ht="47.25" thickBot="1">
      <c r="B1" s="1" t="s">
        <v>241</v>
      </c>
    </row>
    <row r="2" spans="2:26" ht="15.75" thickBot="1">
      <c r="B2" s="2" t="s">
        <v>173</v>
      </c>
      <c r="C2" s="4">
        <v>3.3</v>
      </c>
      <c r="D2" s="2" t="s">
        <v>17</v>
      </c>
      <c r="G2" s="6" t="s">
        <v>36</v>
      </c>
    </row>
    <row r="3" spans="2:26" ht="15.75" thickBot="1">
      <c r="B3" s="2" t="s">
        <v>12</v>
      </c>
      <c r="C3" s="4">
        <v>5</v>
      </c>
      <c r="D3" s="2" t="s">
        <v>16</v>
      </c>
      <c r="G3" s="2" t="s">
        <v>9</v>
      </c>
      <c r="H3" s="4">
        <v>5</v>
      </c>
      <c r="I3" s="2" t="s">
        <v>18</v>
      </c>
    </row>
    <row r="4" spans="2:26" ht="15.75" thickBot="1">
      <c r="B4" s="2" t="s">
        <v>13</v>
      </c>
      <c r="C4" s="4">
        <v>1</v>
      </c>
      <c r="D4" s="2" t="s">
        <v>16</v>
      </c>
      <c r="G4" s="2" t="s">
        <v>10</v>
      </c>
      <c r="H4" s="5">
        <v>-5</v>
      </c>
      <c r="I4" s="2" t="s">
        <v>19</v>
      </c>
    </row>
    <row r="5" spans="2:26" ht="15.75" thickBot="1">
      <c r="B5" s="2" t="s">
        <v>11</v>
      </c>
      <c r="C5" s="3">
        <f>C2*C4/(C3+C4)</f>
        <v>0.54999999999999993</v>
      </c>
      <c r="D5" s="2" t="s">
        <v>17</v>
      </c>
      <c r="G5" s="2" t="s">
        <v>31</v>
      </c>
      <c r="H5" s="4">
        <v>1.3</v>
      </c>
      <c r="I5" s="2" t="s">
        <v>32</v>
      </c>
      <c r="X5" s="33" t="s">
        <v>248</v>
      </c>
      <c r="Y5" s="33" t="s">
        <v>249</v>
      </c>
      <c r="Z5" s="33" t="s">
        <v>17</v>
      </c>
    </row>
    <row r="6" spans="2:26" ht="15.75" thickBot="1">
      <c r="B6" s="2" t="s">
        <v>14</v>
      </c>
      <c r="C6" s="4">
        <v>1</v>
      </c>
      <c r="D6" s="2" t="s">
        <v>16</v>
      </c>
      <c r="X6" s="33">
        <v>-100</v>
      </c>
      <c r="Y6" s="33">
        <v>-3.5539999999999998</v>
      </c>
      <c r="Z6" s="33">
        <f>Y6/1000</f>
        <v>-3.5539999999999999E-3</v>
      </c>
    </row>
    <row r="7" spans="2:26" ht="15.75" thickBot="1">
      <c r="B7" s="2" t="s">
        <v>244</v>
      </c>
      <c r="C7" s="4">
        <v>1</v>
      </c>
      <c r="D7" s="2" t="s">
        <v>16</v>
      </c>
      <c r="X7" s="33">
        <v>-90</v>
      </c>
      <c r="Y7" s="33">
        <v>-3.2429999999999999</v>
      </c>
      <c r="Z7" s="33">
        <f t="shared" ref="Z7:Z26" si="0">Y7/1000</f>
        <v>-3.2429999999999998E-3</v>
      </c>
    </row>
    <row r="8" spans="2:26" ht="15.75" thickBot="1">
      <c r="B8" s="2" t="s">
        <v>245</v>
      </c>
      <c r="C8" s="4">
        <v>1</v>
      </c>
      <c r="D8" s="2" t="s">
        <v>16</v>
      </c>
      <c r="G8" s="6" t="s">
        <v>33</v>
      </c>
      <c r="X8" s="33">
        <v>-80</v>
      </c>
      <c r="Y8" s="33">
        <v>-2.92</v>
      </c>
      <c r="Z8" s="33">
        <f t="shared" si="0"/>
        <v>-2.9199999999999999E-3</v>
      </c>
    </row>
    <row r="9" spans="2:26" ht="15.75" thickBot="1">
      <c r="B9" s="2" t="s">
        <v>246</v>
      </c>
      <c r="C9" s="4">
        <v>1</v>
      </c>
      <c r="D9" s="2" t="s">
        <v>16</v>
      </c>
      <c r="G9" s="6" t="s">
        <v>29</v>
      </c>
      <c r="H9" s="4">
        <v>-3.8999999999999999E-4</v>
      </c>
      <c r="I9" s="2" t="s">
        <v>17</v>
      </c>
      <c r="X9" s="33">
        <v>-70</v>
      </c>
      <c r="Y9" s="33">
        <v>-2.5870000000000002</v>
      </c>
      <c r="Z9" s="33">
        <f t="shared" si="0"/>
        <v>-2.5870000000000003E-3</v>
      </c>
    </row>
    <row r="10" spans="2:26" ht="15.75" thickBot="1">
      <c r="B10" s="2" t="s">
        <v>175</v>
      </c>
      <c r="C10" s="4">
        <f>-0.392/1000</f>
        <v>-3.9200000000000004E-4</v>
      </c>
      <c r="D10" s="2" t="s">
        <v>242</v>
      </c>
      <c r="G10" s="6" t="s">
        <v>34</v>
      </c>
      <c r="H10" s="3">
        <f>IF((1+$C$9/$C$8)*($C$15*H9*($C$7/($C$6+$C$7))+$C$5*($C$6/($C$6+$C$7)))&gt;($H$3-$H$5),($H$3-$H$5),IF((1+$C$9/$C$8)*($C$15*H9*($C$7/($C$6+$C$7))+$C$5*($C$6/($C$6+$C$7)))&lt;($H$4+$H$5),($H$4+$H$5),(1+$C$9/$C$8)*($C$15*H9*($C$7/($C$6+$C$7))+$C$5*($C$6/($C$6+$C$7)))))</f>
        <v>0.15960999999999992</v>
      </c>
      <c r="I10" s="2" t="s">
        <v>17</v>
      </c>
      <c r="X10" s="33">
        <v>-60</v>
      </c>
      <c r="Y10" s="33">
        <v>-2.2429999999999999</v>
      </c>
      <c r="Z10" s="33">
        <f t="shared" si="0"/>
        <v>-2.2429999999999998E-3</v>
      </c>
    </row>
    <row r="11" spans="2:26" ht="15.75" thickBot="1">
      <c r="B11" s="2" t="s">
        <v>174</v>
      </c>
      <c r="C11" s="4">
        <f>1.203/1000</f>
        <v>1.2030000000000001E-3</v>
      </c>
      <c r="D11" s="2" t="s">
        <v>38</v>
      </c>
      <c r="G11" s="2" t="s">
        <v>247</v>
      </c>
      <c r="H11" s="3">
        <f>H9*Z28+Z29</f>
        <v>-12.629615765618523</v>
      </c>
      <c r="I11" s="17" t="s">
        <v>252</v>
      </c>
      <c r="X11" s="33">
        <v>-50</v>
      </c>
      <c r="Y11" s="33">
        <v>-1.889</v>
      </c>
      <c r="Z11" s="33">
        <f t="shared" si="0"/>
        <v>-1.8890000000000001E-3</v>
      </c>
    </row>
    <row r="12" spans="2:26" ht="15.75" thickBot="1">
      <c r="B12" s="2" t="s">
        <v>172</v>
      </c>
      <c r="C12" s="4">
        <v>1</v>
      </c>
      <c r="D12" s="2" t="s">
        <v>16</v>
      </c>
      <c r="X12" s="33">
        <v>-40</v>
      </c>
      <c r="Y12" s="33">
        <v>-1.5269999999999999</v>
      </c>
      <c r="Z12" s="33">
        <f t="shared" si="0"/>
        <v>-1.5269999999999999E-3</v>
      </c>
    </row>
    <row r="13" spans="2:26" ht="15.75" thickBot="1">
      <c r="B13" s="2" t="s">
        <v>15</v>
      </c>
      <c r="C13" s="4">
        <v>1000</v>
      </c>
      <c r="D13" s="2" t="s">
        <v>16</v>
      </c>
      <c r="X13" s="33">
        <v>-30</v>
      </c>
      <c r="Y13" s="33">
        <v>-1.1559999999999999</v>
      </c>
      <c r="Z13" s="33">
        <f t="shared" si="0"/>
        <v>-1.1559999999999999E-3</v>
      </c>
    </row>
    <row r="14" spans="2:26">
      <c r="B14" s="2" t="s">
        <v>0</v>
      </c>
      <c r="C14" s="3">
        <f>C5</f>
        <v>0.54999999999999993</v>
      </c>
      <c r="D14" s="2" t="s">
        <v>243</v>
      </c>
      <c r="X14" s="33">
        <v>-20</v>
      </c>
      <c r="Y14" s="33">
        <v>-0.77800000000000002</v>
      </c>
      <c r="Z14" s="33">
        <f t="shared" si="0"/>
        <v>-7.7800000000000005E-4</v>
      </c>
    </row>
    <row r="15" spans="2:26">
      <c r="B15" s="2" t="s">
        <v>1</v>
      </c>
      <c r="C15" s="3">
        <f>1+C13/C12</f>
        <v>1001</v>
      </c>
      <c r="D15" s="2" t="s">
        <v>39</v>
      </c>
      <c r="X15" s="33">
        <v>-10</v>
      </c>
      <c r="Y15" s="33">
        <v>-0.39200000000000002</v>
      </c>
      <c r="Z15" s="33">
        <f t="shared" si="0"/>
        <v>-3.9200000000000004E-4</v>
      </c>
    </row>
    <row r="16" spans="2:26">
      <c r="X16" s="33">
        <v>0</v>
      </c>
      <c r="Y16" s="33">
        <v>0</v>
      </c>
      <c r="Z16" s="33">
        <f t="shared" si="0"/>
        <v>0</v>
      </c>
    </row>
    <row r="17" spans="2:26">
      <c r="E17" s="6" t="s">
        <v>30</v>
      </c>
      <c r="X17" s="33">
        <v>10</v>
      </c>
      <c r="Y17" s="33">
        <v>0.39700000000000002</v>
      </c>
      <c r="Z17" s="33">
        <f t="shared" si="0"/>
        <v>3.97E-4</v>
      </c>
    </row>
    <row r="18" spans="2:26">
      <c r="B18" s="7" t="s">
        <v>6</v>
      </c>
      <c r="C18" s="7" t="s">
        <v>7</v>
      </c>
      <c r="D18" s="7" t="s">
        <v>3</v>
      </c>
      <c r="E18" s="7" t="s">
        <v>3</v>
      </c>
      <c r="X18" s="33">
        <f>X17+10</f>
        <v>20</v>
      </c>
      <c r="Y18" s="33">
        <v>0.79800000000000004</v>
      </c>
      <c r="Z18" s="33">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33">
        <f t="shared" ref="X19:X26" si="3">X18+10</f>
        <v>30</v>
      </c>
      <c r="Y19" s="33">
        <v>1.2030000000000001</v>
      </c>
      <c r="Z19" s="33">
        <f t="shared" si="0"/>
        <v>1.2030000000000001E-3</v>
      </c>
    </row>
    <row r="20" spans="2:26">
      <c r="B20" s="2">
        <v>0.1</v>
      </c>
      <c r="C20" s="2">
        <f t="shared" si="1"/>
        <v>4.851171497758455E-4</v>
      </c>
      <c r="D20" s="2">
        <f t="shared" ref="D20:D44" si="4">(1+$C$9/$C$8)*($C$15*C20*($C$7/($C$6+$C$7))+$C$5*($C$6/($C$6+$C$7)))</f>
        <v>1.0356022669256213</v>
      </c>
      <c r="E20" s="2">
        <f t="shared" si="2"/>
        <v>1.0356022669256213</v>
      </c>
      <c r="X20" s="33">
        <f t="shared" si="3"/>
        <v>40</v>
      </c>
      <c r="Y20" s="33">
        <v>1.6120000000000001</v>
      </c>
      <c r="Z20" s="33">
        <f t="shared" si="0"/>
        <v>1.6120000000000002E-3</v>
      </c>
    </row>
    <row r="21" spans="2:26">
      <c r="B21" s="2">
        <v>0.2</v>
      </c>
      <c r="C21" s="2">
        <f t="shared" si="1"/>
        <v>5.639387913090614E-4</v>
      </c>
      <c r="D21" s="2">
        <f t="shared" si="4"/>
        <v>1.1145027301003703</v>
      </c>
      <c r="E21" s="2">
        <f t="shared" si="2"/>
        <v>1.1145027301003703</v>
      </c>
      <c r="X21" s="33">
        <f t="shared" si="3"/>
        <v>50</v>
      </c>
      <c r="Y21" s="33">
        <v>2.0230000000000001</v>
      </c>
      <c r="Z21" s="33">
        <f t="shared" si="0"/>
        <v>2.0230000000000001E-3</v>
      </c>
    </row>
    <row r="22" spans="2:26">
      <c r="B22" s="2">
        <v>1.2</v>
      </c>
      <c r="C22" s="2">
        <f t="shared" si="1"/>
        <v>1.1488011710588631E-3</v>
      </c>
      <c r="D22" s="2">
        <f t="shared" si="4"/>
        <v>1.6999499722299221</v>
      </c>
      <c r="E22" s="2">
        <f t="shared" si="2"/>
        <v>1.6999499722299221</v>
      </c>
      <c r="X22" s="33">
        <f t="shared" si="3"/>
        <v>60</v>
      </c>
      <c r="Y22" s="33">
        <v>2.4359999999999999</v>
      </c>
      <c r="Z22" s="33">
        <f t="shared" si="0"/>
        <v>2.4359999999999998E-3</v>
      </c>
    </row>
    <row r="23" spans="2:26">
      <c r="B23" s="2">
        <v>2.2000000000000002</v>
      </c>
      <c r="C23" s="2">
        <f t="shared" si="1"/>
        <v>1.0502758820461232E-3</v>
      </c>
      <c r="D23" s="2">
        <f t="shared" si="4"/>
        <v>1.6013261579281695</v>
      </c>
      <c r="E23" s="2">
        <f t="shared" si="2"/>
        <v>1.6013261579281695</v>
      </c>
      <c r="X23" s="33">
        <f t="shared" si="3"/>
        <v>70</v>
      </c>
      <c r="Y23" s="33">
        <v>2.851</v>
      </c>
      <c r="Z23" s="33">
        <f t="shared" si="0"/>
        <v>2.8509999999999998E-3</v>
      </c>
    </row>
    <row r="24" spans="2:26">
      <c r="B24" s="2">
        <v>3.2</v>
      </c>
      <c r="C24" s="2">
        <f t="shared" si="1"/>
        <v>3.5894662061650493E-4</v>
      </c>
      <c r="D24" s="2">
        <f t="shared" si="4"/>
        <v>0.9093055672371213</v>
      </c>
      <c r="E24" s="2">
        <f t="shared" si="2"/>
        <v>0.9093055672371213</v>
      </c>
      <c r="X24" s="33">
        <f t="shared" si="3"/>
        <v>80</v>
      </c>
      <c r="Y24" s="33">
        <v>3.2669999999999999</v>
      </c>
      <c r="Z24" s="33">
        <f t="shared" si="0"/>
        <v>3.2669999999999999E-3</v>
      </c>
    </row>
    <row r="25" spans="2:26">
      <c r="B25" s="2">
        <v>4.2</v>
      </c>
      <c r="C25" s="2">
        <f t="shared" si="1"/>
        <v>-2.8958167849983663E-4</v>
      </c>
      <c r="D25" s="2">
        <f t="shared" si="4"/>
        <v>0.26012873982166346</v>
      </c>
      <c r="E25" s="2">
        <f t="shared" si="2"/>
        <v>0.26012873982166346</v>
      </c>
      <c r="X25" s="33">
        <f>X24+10</f>
        <v>90</v>
      </c>
      <c r="Y25" s="33">
        <v>3.6819999999999999</v>
      </c>
      <c r="Z25" s="33">
        <f t="shared" si="0"/>
        <v>3.6819999999999999E-3</v>
      </c>
    </row>
    <row r="26" spans="2:26">
      <c r="B26" s="2">
        <v>5.2</v>
      </c>
      <c r="C26" s="2">
        <f t="shared" si="1"/>
        <v>-2.9905508793682216E-4</v>
      </c>
      <c r="D26" s="2">
        <f t="shared" si="4"/>
        <v>0.25064585697524094</v>
      </c>
      <c r="E26" s="2">
        <f t="shared" si="2"/>
        <v>0.25064585697524094</v>
      </c>
      <c r="X26" s="33">
        <f t="shared" si="3"/>
        <v>100</v>
      </c>
      <c r="Y26" s="33">
        <v>4.0960000000000001</v>
      </c>
      <c r="Z26" s="33">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250</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251</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254</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255</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256</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253</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row r="55" spans="31:31">
      <c r="AE55" s="6" t="s">
        <v>270</v>
      </c>
    </row>
    <row r="56" spans="31:31">
      <c r="AE56" s="2" t="s">
        <v>271</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10" ht="47.25" thickBot="1">
      <c r="B1" s="1" t="s">
        <v>236</v>
      </c>
    </row>
    <row r="2" spans="2:10" ht="15.75" thickBot="1">
      <c r="B2" s="2" t="s">
        <v>12</v>
      </c>
      <c r="C2" s="4">
        <v>1</v>
      </c>
      <c r="D2" s="2" t="s">
        <v>16</v>
      </c>
      <c r="H2" s="6" t="s">
        <v>36</v>
      </c>
    </row>
    <row r="3" spans="2:10" ht="15.75" thickBot="1">
      <c r="B3" s="2" t="s">
        <v>82</v>
      </c>
      <c r="C3" s="4">
        <v>0.1</v>
      </c>
      <c r="D3" s="2" t="s">
        <v>83</v>
      </c>
      <c r="H3" s="2" t="s">
        <v>9</v>
      </c>
      <c r="I3" s="4">
        <v>5</v>
      </c>
      <c r="J3" s="2" t="s">
        <v>18</v>
      </c>
    </row>
    <row r="4" spans="2:10" ht="15.75" thickBot="1">
      <c r="B4" s="2" t="s">
        <v>172</v>
      </c>
      <c r="C4" s="4">
        <v>1</v>
      </c>
      <c r="D4" s="2" t="s">
        <v>16</v>
      </c>
      <c r="H4" s="2" t="s">
        <v>10</v>
      </c>
      <c r="I4" s="5">
        <v>-5</v>
      </c>
      <c r="J4" s="2" t="s">
        <v>19</v>
      </c>
    </row>
    <row r="5" spans="2:10" ht="15.75" thickBot="1">
      <c r="B5" s="2" t="s">
        <v>15</v>
      </c>
      <c r="C5" s="4">
        <v>1</v>
      </c>
      <c r="D5" s="2" t="s">
        <v>16</v>
      </c>
      <c r="H5" s="2" t="s">
        <v>31</v>
      </c>
      <c r="I5" s="4">
        <v>1.2</v>
      </c>
      <c r="J5" s="2" t="s">
        <v>32</v>
      </c>
    </row>
    <row r="6" spans="2:10">
      <c r="B6" s="2" t="s">
        <v>0</v>
      </c>
      <c r="C6" s="3">
        <v>0</v>
      </c>
      <c r="D6" s="2" t="s">
        <v>17</v>
      </c>
    </row>
    <row r="7" spans="2:10" ht="15.75" thickBot="1">
      <c r="B7" s="2" t="s">
        <v>1</v>
      </c>
      <c r="C7" s="3">
        <f>1+C5/C4</f>
        <v>2</v>
      </c>
      <c r="D7" s="2" t="s">
        <v>39</v>
      </c>
      <c r="H7" s="6" t="s">
        <v>33</v>
      </c>
    </row>
    <row r="8" spans="2:10" ht="15.75" thickBot="1">
      <c r="B8" s="2" t="s">
        <v>97</v>
      </c>
      <c r="C8" s="3">
        <f>1/(2*PI()*$C$10*$C$3*0.000001)</f>
        <v>1591.5494309189535</v>
      </c>
      <c r="D8" s="2" t="s">
        <v>219</v>
      </c>
      <c r="H8" s="6" t="s">
        <v>29</v>
      </c>
      <c r="I8" s="4">
        <v>1</v>
      </c>
      <c r="J8" s="2" t="s">
        <v>17</v>
      </c>
    </row>
    <row r="9" spans="2:10" ht="15.75" thickBot="1">
      <c r="B9" s="2" t="s">
        <v>25</v>
      </c>
      <c r="C9" s="4">
        <v>1</v>
      </c>
      <c r="D9" s="2" t="s">
        <v>38</v>
      </c>
      <c r="H9" s="6" t="s">
        <v>34</v>
      </c>
      <c r="I9" s="3">
        <f>IF($C$7*I8/SQRT(1+($C$10/$C$12)^2)&gt;($I$3-$I$5),($I$3-$I$5),IF($C$7*I8/SQRT(1+($C$10/$C$12)^2)&lt;($I$4+$I$5),($I$4+$I$5),$C$7*I8/SQRT(1+($C$10/$C$12)^2)))</f>
        <v>1.6934660319296608</v>
      </c>
      <c r="J9" s="2" t="s">
        <v>17</v>
      </c>
    </row>
    <row r="10" spans="2:10" ht="15.75" thickBot="1">
      <c r="B10" s="2" t="s">
        <v>84</v>
      </c>
      <c r="C10" s="4">
        <v>1000</v>
      </c>
      <c r="D10" s="2" t="s">
        <v>80</v>
      </c>
    </row>
    <row r="11" spans="2:10">
      <c r="B11" s="2" t="s">
        <v>87</v>
      </c>
      <c r="C11" s="3">
        <f>1/C10</f>
        <v>1E-3</v>
      </c>
      <c r="D11" s="2" t="s">
        <v>86</v>
      </c>
      <c r="H11" s="6" t="s">
        <v>198</v>
      </c>
    </row>
    <row r="12" spans="2:10" ht="15.75" thickBot="1">
      <c r="B12" s="2" t="s">
        <v>81</v>
      </c>
      <c r="C12" s="3">
        <f>1/(2*PI()*(C3*0.000001)*(C5*1000))</f>
        <v>1591.5494309189535</v>
      </c>
      <c r="D12" s="2" t="s">
        <v>80</v>
      </c>
      <c r="H12" s="17" t="s">
        <v>106</v>
      </c>
      <c r="I12" s="3">
        <f>1000*(C3*1000)*(C5*0.000001)</f>
        <v>9.9999999999999992E-2</v>
      </c>
      <c r="J12" s="2" t="s">
        <v>107</v>
      </c>
    </row>
    <row r="13" spans="2:10" ht="15.7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 t="shared" ref="C18:C43" si="0">$C$9*SIN($B18*$C$10*2*PI())</f>
        <v>0</v>
      </c>
      <c r="D18" s="2">
        <f t="shared" ref="D18:D43" si="1">C18*$C$7/SQRT(1+($C$10/$C$12)^2)</f>
        <v>0</v>
      </c>
      <c r="E18" s="2">
        <f t="shared" ref="E18:E43" si="2">IF(D18&gt;($I$3-$I$5),($I$3-$I$5),IF(D18&lt;($I$4+$I$5),($I$4+$I$5),D18))</f>
        <v>0</v>
      </c>
      <c r="F18" s="30">
        <f t="shared" ref="F18:F43" si="3">C18*(1+$C$5/$C$4)*$C$8/SQRT(($C$2*1000)^2+$C$8^2)</f>
        <v>0</v>
      </c>
      <c r="G18" s="30"/>
    </row>
    <row r="19" spans="2:22">
      <c r="B19" s="2">
        <f t="shared" ref="B19:B43" si="4">B18+$C$14</f>
        <v>1.6000000000000001E-4</v>
      </c>
      <c r="C19" s="2">
        <f t="shared" si="0"/>
        <v>0.84432792550201508</v>
      </c>
      <c r="D19" s="2">
        <f t="shared" si="1"/>
        <v>1.4298406616472996</v>
      </c>
      <c r="E19" s="2">
        <f t="shared" si="2"/>
        <v>1.4298406616472996</v>
      </c>
      <c r="F19" s="30">
        <f t="shared" si="3"/>
        <v>1.4298406616473001</v>
      </c>
      <c r="G19" s="30"/>
    </row>
    <row r="20" spans="2:22">
      <c r="B20" s="2">
        <f t="shared" si="4"/>
        <v>3.2000000000000003E-4</v>
      </c>
      <c r="C20" s="2">
        <f t="shared" si="0"/>
        <v>0.90482705246601947</v>
      </c>
      <c r="D20" s="2">
        <f t="shared" si="1"/>
        <v>1.5322938781222408</v>
      </c>
      <c r="E20" s="2">
        <f t="shared" si="2"/>
        <v>1.5322938781222408</v>
      </c>
      <c r="F20" s="30">
        <f t="shared" si="3"/>
        <v>1.532293878122241</v>
      </c>
      <c r="G20" s="30"/>
    </row>
    <row r="21" spans="2:22">
      <c r="B21" s="2">
        <f t="shared" si="4"/>
        <v>4.8000000000000007E-4</v>
      </c>
      <c r="C21" s="2">
        <f t="shared" si="0"/>
        <v>0.12533323356430365</v>
      </c>
      <c r="D21" s="2">
        <f t="shared" si="1"/>
        <v>0.21224757371305467</v>
      </c>
      <c r="E21" s="2">
        <f t="shared" si="2"/>
        <v>0.21224757371305467</v>
      </c>
      <c r="F21" s="30">
        <f t="shared" si="3"/>
        <v>0.21224757371305469</v>
      </c>
      <c r="G21" s="30"/>
      <c r="V21" s="32" t="s">
        <v>227</v>
      </c>
    </row>
    <row r="22" spans="2:22">
      <c r="B22" s="2">
        <f t="shared" si="4"/>
        <v>6.4000000000000005E-4</v>
      </c>
      <c r="C22" s="2">
        <f t="shared" si="0"/>
        <v>-0.77051324277578936</v>
      </c>
      <c r="D22" s="2">
        <f t="shared" si="1"/>
        <v>-1.3048380037927714</v>
      </c>
      <c r="E22" s="2">
        <f t="shared" si="2"/>
        <v>-1.3048380037927714</v>
      </c>
      <c r="F22" s="30">
        <f t="shared" si="3"/>
        <v>-1.3048380037927716</v>
      </c>
      <c r="G22" s="30"/>
    </row>
    <row r="23" spans="2:22">
      <c r="B23" s="2">
        <f t="shared" si="4"/>
        <v>8.0000000000000004E-4</v>
      </c>
      <c r="C23" s="2">
        <f t="shared" si="0"/>
        <v>-0.95105651629515364</v>
      </c>
      <c r="D23" s="2">
        <f t="shared" si="1"/>
        <v>-1.6105819047912007</v>
      </c>
      <c r="E23" s="2">
        <f t="shared" si="2"/>
        <v>-1.6105819047912007</v>
      </c>
      <c r="F23" s="30">
        <f t="shared" si="3"/>
        <v>-1.6105819047912007</v>
      </c>
      <c r="G23" s="30"/>
    </row>
    <row r="24" spans="2:22">
      <c r="B24" s="2">
        <f t="shared" si="4"/>
        <v>9.6000000000000002E-4</v>
      </c>
      <c r="C24" s="2">
        <f t="shared" si="0"/>
        <v>-0.24868988716485449</v>
      </c>
      <c r="D24" s="2">
        <f t="shared" si="1"/>
        <v>-0.4211478763981012</v>
      </c>
      <c r="E24" s="2">
        <f t="shared" si="2"/>
        <v>-0.4211478763981012</v>
      </c>
      <c r="F24" s="30">
        <f t="shared" si="3"/>
        <v>-0.42114787639810125</v>
      </c>
      <c r="G24" s="30"/>
    </row>
    <row r="25" spans="2:22">
      <c r="B25" s="2">
        <f t="shared" si="4"/>
        <v>1.1200000000000001E-3</v>
      </c>
      <c r="C25" s="2">
        <f t="shared" si="0"/>
        <v>0.68454710592868928</v>
      </c>
      <c r="D25" s="2">
        <f t="shared" si="1"/>
        <v>1.1592572711459905</v>
      </c>
      <c r="E25" s="2">
        <f t="shared" si="2"/>
        <v>1.1592572711459905</v>
      </c>
      <c r="F25" s="30">
        <f t="shared" si="3"/>
        <v>1.1592572711459908</v>
      </c>
      <c r="G25" s="30"/>
    </row>
    <row r="26" spans="2:22">
      <c r="B26" s="2">
        <f t="shared" si="4"/>
        <v>1.2800000000000001E-3</v>
      </c>
      <c r="C26" s="2">
        <f t="shared" si="0"/>
        <v>0.98228725072868861</v>
      </c>
      <c r="D26" s="2">
        <f t="shared" si="1"/>
        <v>1.663470092706608</v>
      </c>
      <c r="E26" s="2">
        <f t="shared" si="2"/>
        <v>1.663470092706608</v>
      </c>
      <c r="F26" s="30">
        <f t="shared" si="3"/>
        <v>1.6634700927066082</v>
      </c>
      <c r="G26" s="30"/>
    </row>
    <row r="27" spans="2:22">
      <c r="B27" s="2">
        <f t="shared" si="4"/>
        <v>1.4400000000000001E-3</v>
      </c>
      <c r="C27" s="2">
        <f t="shared" si="0"/>
        <v>0.36812455268467797</v>
      </c>
      <c r="D27" s="2">
        <f t="shared" si="1"/>
        <v>0.62340642549080294</v>
      </c>
      <c r="E27" s="2">
        <f t="shared" si="2"/>
        <v>0.62340642549080294</v>
      </c>
      <c r="F27" s="30">
        <f t="shared" si="3"/>
        <v>0.62340642549080305</v>
      </c>
      <c r="G27" s="30"/>
    </row>
    <row r="28" spans="2:22">
      <c r="B28" s="2">
        <f t="shared" si="4"/>
        <v>1.6000000000000001E-3</v>
      </c>
      <c r="C28" s="2">
        <f t="shared" si="0"/>
        <v>-0.5877852522924728</v>
      </c>
      <c r="D28" s="2">
        <f t="shared" si="1"/>
        <v>-0.9953943588265084</v>
      </c>
      <c r="E28" s="2">
        <f t="shared" si="2"/>
        <v>-0.9953943588265084</v>
      </c>
      <c r="F28" s="30">
        <f t="shared" si="3"/>
        <v>-0.99539435882650851</v>
      </c>
      <c r="G28" s="30"/>
    </row>
    <row r="29" spans="2:22">
      <c r="B29" s="2">
        <f t="shared" si="4"/>
        <v>1.7600000000000001E-3</v>
      </c>
      <c r="C29" s="2">
        <f t="shared" si="0"/>
        <v>-0.99802672842827156</v>
      </c>
      <c r="D29" s="2">
        <f t="shared" si="1"/>
        <v>-1.6901243635511662</v>
      </c>
      <c r="E29" s="2">
        <f t="shared" si="2"/>
        <v>-1.6901243635511662</v>
      </c>
      <c r="F29" s="30">
        <f t="shared" si="3"/>
        <v>-1.6901243635511662</v>
      </c>
      <c r="G29" s="30"/>
    </row>
    <row r="30" spans="2:22">
      <c r="B30" s="2">
        <f t="shared" si="4"/>
        <v>1.92E-3</v>
      </c>
      <c r="C30" s="2">
        <f t="shared" si="0"/>
        <v>-0.48175367410171477</v>
      </c>
      <c r="D30" s="2">
        <f t="shared" si="1"/>
        <v>-0.81583348284856583</v>
      </c>
      <c r="E30" s="2">
        <f t="shared" si="2"/>
        <v>-0.81583348284856583</v>
      </c>
      <c r="F30" s="30">
        <f t="shared" si="3"/>
        <v>-0.81583348284856594</v>
      </c>
      <c r="G30" s="30"/>
    </row>
    <row r="31" spans="2:22">
      <c r="B31" s="2">
        <f t="shared" si="4"/>
        <v>2.0800000000000003E-3</v>
      </c>
      <c r="C31" s="2">
        <f t="shared" si="0"/>
        <v>0.48175367410171543</v>
      </c>
      <c r="D31" s="2">
        <f t="shared" si="1"/>
        <v>0.81583348284856705</v>
      </c>
      <c r="E31" s="2">
        <f t="shared" si="2"/>
        <v>0.81583348284856705</v>
      </c>
      <c r="F31" s="30">
        <f t="shared" si="3"/>
        <v>0.81583348284856716</v>
      </c>
      <c r="G31" s="30"/>
    </row>
    <row r="32" spans="2:22">
      <c r="B32" s="2">
        <f t="shared" si="4"/>
        <v>2.2400000000000002E-3</v>
      </c>
      <c r="C32" s="2">
        <f t="shared" si="0"/>
        <v>0.99802672842827167</v>
      </c>
      <c r="D32" s="2">
        <f t="shared" si="1"/>
        <v>1.6901243635511665</v>
      </c>
      <c r="E32" s="2">
        <f t="shared" si="2"/>
        <v>1.6901243635511665</v>
      </c>
      <c r="F32" s="30">
        <f t="shared" si="3"/>
        <v>1.6901243635511665</v>
      </c>
      <c r="G32" s="30"/>
    </row>
    <row r="33" spans="2:11">
      <c r="B33" s="2">
        <f t="shared" si="4"/>
        <v>2.4000000000000002E-3</v>
      </c>
      <c r="C33" s="2">
        <f t="shared" si="0"/>
        <v>0.58778525229247214</v>
      </c>
      <c r="D33" s="2">
        <f t="shared" si="1"/>
        <v>0.99539435882650729</v>
      </c>
      <c r="E33" s="2">
        <f t="shared" si="2"/>
        <v>0.99539435882650729</v>
      </c>
      <c r="F33" s="30">
        <f t="shared" si="3"/>
        <v>0.9953943588265074</v>
      </c>
      <c r="G33" s="30"/>
    </row>
    <row r="34" spans="2:11">
      <c r="B34" s="2">
        <f t="shared" si="4"/>
        <v>2.5600000000000002E-3</v>
      </c>
      <c r="C34" s="2">
        <f t="shared" si="0"/>
        <v>-0.3681245526846787</v>
      </c>
      <c r="D34" s="2">
        <f t="shared" si="1"/>
        <v>-0.62340642549080416</v>
      </c>
      <c r="E34" s="2">
        <f t="shared" si="2"/>
        <v>-0.62340642549080416</v>
      </c>
      <c r="F34" s="30">
        <f t="shared" si="3"/>
        <v>-0.62340642549080427</v>
      </c>
      <c r="G34" s="30"/>
    </row>
    <row r="35" spans="2:11">
      <c r="B35" s="2">
        <f t="shared" si="4"/>
        <v>2.7200000000000002E-3</v>
      </c>
      <c r="C35" s="2">
        <f t="shared" si="0"/>
        <v>-0.98228725072868905</v>
      </c>
      <c r="D35" s="2">
        <f t="shared" si="1"/>
        <v>-1.6634700927066088</v>
      </c>
      <c r="E35" s="2">
        <f t="shared" si="2"/>
        <v>-1.6634700927066088</v>
      </c>
      <c r="F35" s="30">
        <f t="shared" si="3"/>
        <v>-1.6634700927066091</v>
      </c>
      <c r="G35" s="30"/>
    </row>
    <row r="36" spans="2:11">
      <c r="B36" s="2">
        <f t="shared" si="4"/>
        <v>2.8800000000000002E-3</v>
      </c>
      <c r="C36" s="2">
        <f t="shared" si="0"/>
        <v>-0.68454710592868862</v>
      </c>
      <c r="D36" s="2">
        <f t="shared" si="1"/>
        <v>-1.1592572711459894</v>
      </c>
      <c r="E36" s="2">
        <f t="shared" si="2"/>
        <v>-1.1592572711459894</v>
      </c>
      <c r="F36" s="30">
        <f t="shared" si="3"/>
        <v>-1.1592572711459896</v>
      </c>
      <c r="G36" s="30"/>
    </row>
    <row r="37" spans="2:11">
      <c r="B37" s="2">
        <f t="shared" si="4"/>
        <v>3.0400000000000002E-3</v>
      </c>
      <c r="C37" s="2">
        <f t="shared" si="0"/>
        <v>0.24868988716485269</v>
      </c>
      <c r="D37" s="2">
        <f t="shared" si="1"/>
        <v>0.42114787639809814</v>
      </c>
      <c r="E37" s="2">
        <f t="shared" si="2"/>
        <v>0.42114787639809814</v>
      </c>
      <c r="F37" s="30">
        <f t="shared" si="3"/>
        <v>0.4211478763980982</v>
      </c>
      <c r="G37" s="30"/>
      <c r="H37" s="6" t="s">
        <v>65</v>
      </c>
    </row>
    <row r="38" spans="2:11">
      <c r="B38" s="2">
        <f t="shared" si="4"/>
        <v>3.2000000000000002E-3</v>
      </c>
      <c r="C38" s="2">
        <f t="shared" si="0"/>
        <v>0.95105651629515331</v>
      </c>
      <c r="D38" s="2">
        <f t="shared" si="1"/>
        <v>1.6105819047912</v>
      </c>
      <c r="E38" s="2">
        <f t="shared" si="2"/>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30">
        <f t="shared" si="3"/>
        <v>-1.532293878122241</v>
      </c>
      <c r="G41" s="30"/>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30">
        <f t="shared" si="3"/>
        <v>-1.4298406616472987</v>
      </c>
      <c r="G42" s="30"/>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30">
        <f t="shared" si="3"/>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V21" r:id="rId1" xr:uid="{65F15C1F-6E7D-497D-BA2F-B0FDAF5CA136}"/>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36" ht="47.25" thickBot="1">
      <c r="B1" s="1" t="s">
        <v>226</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219</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198</v>
      </c>
    </row>
    <row r="12" spans="2:36" ht="15.7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H3" sqref="H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B2" s="2" t="s">
        <v>240</v>
      </c>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6" ht="47.25" thickBot="1">
      <c r="B1" s="1" t="s">
        <v>101</v>
      </c>
      <c r="Y1"/>
    </row>
    <row r="2" spans="2:26" ht="15.75" thickBot="1">
      <c r="B2" s="2" t="s">
        <v>172</v>
      </c>
      <c r="C2" s="4">
        <v>1</v>
      </c>
      <c r="D2" s="2" t="s">
        <v>16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99</v>
      </c>
      <c r="C5" s="4">
        <v>1</v>
      </c>
      <c r="D5" s="2" t="s">
        <v>16</v>
      </c>
      <c r="H5" s="2" t="s">
        <v>31</v>
      </c>
      <c r="I5" s="4">
        <v>1.2</v>
      </c>
      <c r="J5" s="2" t="s">
        <v>32</v>
      </c>
    </row>
    <row r="6" spans="2:26">
      <c r="B6" s="2" t="s">
        <v>0</v>
      </c>
      <c r="C6" s="3">
        <v>0</v>
      </c>
      <c r="D6" s="2" t="s">
        <v>17</v>
      </c>
    </row>
    <row r="7" spans="2:26" ht="15.75" thickBot="1">
      <c r="B7" s="2" t="s">
        <v>1</v>
      </c>
      <c r="C7" s="3">
        <f>1+(C5/C2)</f>
        <v>2</v>
      </c>
      <c r="D7" s="2" t="s">
        <v>39</v>
      </c>
      <c r="H7" s="6" t="s">
        <v>33</v>
      </c>
    </row>
    <row r="8" spans="2:26" ht="15.75" thickBot="1">
      <c r="B8" s="2" t="s">
        <v>97</v>
      </c>
      <c r="C8" s="3">
        <f>1/(2*PI()*C10*C4*0.000001)</f>
        <v>1000.0002707544371</v>
      </c>
      <c r="D8" s="2" t="s">
        <v>219</v>
      </c>
      <c r="H8" s="6" t="s">
        <v>29</v>
      </c>
      <c r="I8" s="4">
        <v>1</v>
      </c>
      <c r="J8" s="2" t="s">
        <v>17</v>
      </c>
    </row>
    <row r="9" spans="2:26" ht="15.75" thickBot="1">
      <c r="B9" s="2" t="s">
        <v>25</v>
      </c>
      <c r="C9" s="4">
        <v>1</v>
      </c>
      <c r="D9" s="2" t="s">
        <v>38</v>
      </c>
      <c r="H9" s="6" t="s">
        <v>34</v>
      </c>
      <c r="I9" s="3">
        <f>IF($C$7*I8/SQRT(1+($C$10/$C$12)^2)&gt;($I$3-$I$5),($I$3-$I$5),IF($C$7*I8/SQRT(1+($C$10/$C$12)^2)&lt;($I$4+$I$5),($I$4+$I$5),$C$7*I8/SQRT(1+($C$10/$C$12)^2)))</f>
        <v>1.4142137538253547</v>
      </c>
      <c r="J9" s="2" t="s">
        <v>17</v>
      </c>
    </row>
    <row r="10" spans="2:26" ht="15.75" thickBot="1">
      <c r="B10" s="2" t="s">
        <v>84</v>
      </c>
      <c r="C10" s="4">
        <v>1591.549</v>
      </c>
      <c r="D10" s="2" t="s">
        <v>80</v>
      </c>
    </row>
    <row r="11" spans="2:26">
      <c r="B11" s="2" t="s">
        <v>87</v>
      </c>
      <c r="C11" s="3">
        <f>1/C10</f>
        <v>6.2831870083798866E-4</v>
      </c>
      <c r="D11" s="2" t="s">
        <v>86</v>
      </c>
      <c r="H11" s="6" t="s">
        <v>198</v>
      </c>
    </row>
    <row r="12" spans="2:26" ht="15.75" thickBot="1">
      <c r="B12" s="2" t="s">
        <v>81</v>
      </c>
      <c r="C12" s="3">
        <f>1/(2*PI()*(C3*1000)*(C4*0.000001))</f>
        <v>1591.5494309189537</v>
      </c>
      <c r="D12" s="2" t="s">
        <v>80</v>
      </c>
      <c r="H12" s="17" t="s">
        <v>106</v>
      </c>
      <c r="I12" s="3">
        <f>1000*(C4*1000)*(C5*0.000001)</f>
        <v>9.9999999999999992E-2</v>
      </c>
      <c r="J12" s="2" t="s">
        <v>107</v>
      </c>
      <c r="U12" s="29"/>
      <c r="Y12"/>
    </row>
    <row r="13" spans="2:26" ht="15.7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 t="shared" ref="C18:C43" si="0">$C$9*SIN($B18*$C$10*2*PI())</f>
        <v>0</v>
      </c>
      <c r="D18" s="2">
        <f t="shared" ref="D18:D43" si="1">C18*$C$7*($C$10/$C$12)/SQRT(1+($C$10/$C$12)^2)</f>
        <v>0</v>
      </c>
      <c r="E18" s="2">
        <f t="shared" ref="E18:E43" si="2">IF(D18&gt;($I$3-$I$5),($I$3-$I$5),IF(D18&lt;($I$4+$I$5),($I$4+$I$5),D18))</f>
        <v>0</v>
      </c>
      <c r="F18" s="30">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30">
        <f t="shared" si="3"/>
        <v>1.1940598416867789</v>
      </c>
    </row>
    <row r="20" spans="2:6">
      <c r="B20" s="2">
        <f t="shared" si="4"/>
        <v>2.0106198426815636E-4</v>
      </c>
      <c r="C20" s="2">
        <f t="shared" si="0"/>
        <v>0.90482705246601947</v>
      </c>
      <c r="D20" s="2">
        <f t="shared" si="1"/>
        <v>1.2796185159683096</v>
      </c>
      <c r="E20" s="2">
        <f t="shared" si="2"/>
        <v>1.2796185159683096</v>
      </c>
      <c r="F20" s="30">
        <f t="shared" si="3"/>
        <v>1.2796185159683096</v>
      </c>
    </row>
    <row r="21" spans="2:6">
      <c r="B21" s="2">
        <f t="shared" si="4"/>
        <v>3.0159297640223456E-4</v>
      </c>
      <c r="C21" s="2">
        <f t="shared" si="0"/>
        <v>0.12533323356430454</v>
      </c>
      <c r="D21" s="2">
        <f t="shared" si="1"/>
        <v>0.17724793472738026</v>
      </c>
      <c r="E21" s="2">
        <f t="shared" si="2"/>
        <v>0.17724793472738026</v>
      </c>
      <c r="F21" s="30">
        <f t="shared" si="3"/>
        <v>0.17724793472738026</v>
      </c>
    </row>
    <row r="22" spans="2:6">
      <c r="B22" s="2">
        <f t="shared" si="4"/>
        <v>4.0212396853631273E-4</v>
      </c>
      <c r="C22" s="2">
        <f t="shared" si="0"/>
        <v>-0.77051324277578936</v>
      </c>
      <c r="D22" s="2">
        <f t="shared" si="1"/>
        <v>-1.0896701304050731</v>
      </c>
      <c r="E22" s="2">
        <f t="shared" si="2"/>
        <v>-1.0896701304050731</v>
      </c>
      <c r="F22" s="30">
        <f t="shared" si="3"/>
        <v>-1.0896701304050731</v>
      </c>
    </row>
    <row r="23" spans="2:6">
      <c r="B23" s="2">
        <f t="shared" si="4"/>
        <v>5.0265496067039095E-4</v>
      </c>
      <c r="C23" s="2">
        <f t="shared" si="0"/>
        <v>-0.95105651629515364</v>
      </c>
      <c r="D23" s="2">
        <f t="shared" si="1"/>
        <v>-1.344996841845971</v>
      </c>
      <c r="E23" s="2">
        <f t="shared" si="2"/>
        <v>-1.344996841845971</v>
      </c>
      <c r="F23" s="30">
        <f t="shared" si="3"/>
        <v>-1.344996841845971</v>
      </c>
    </row>
    <row r="24" spans="2:6">
      <c r="B24" s="2">
        <f t="shared" si="4"/>
        <v>6.0318595280446912E-4</v>
      </c>
      <c r="C24" s="2">
        <f t="shared" si="0"/>
        <v>-0.24868988716485535</v>
      </c>
      <c r="D24" s="2">
        <f t="shared" si="1"/>
        <v>-0.35170056364132585</v>
      </c>
      <c r="E24" s="2">
        <f t="shared" si="2"/>
        <v>-0.35170056364132585</v>
      </c>
      <c r="F24" s="30">
        <f t="shared" si="3"/>
        <v>-0.35170056364132585</v>
      </c>
    </row>
    <row r="25" spans="2:6">
      <c r="B25" s="2">
        <f t="shared" si="4"/>
        <v>7.0371694493854729E-4</v>
      </c>
      <c r="C25" s="2">
        <f t="shared" si="0"/>
        <v>0.68454710592868795</v>
      </c>
      <c r="D25" s="2">
        <f t="shared" si="1"/>
        <v>0.96809567022949428</v>
      </c>
      <c r="E25" s="2">
        <f t="shared" si="2"/>
        <v>0.96809567022949428</v>
      </c>
      <c r="F25" s="30">
        <f t="shared" si="3"/>
        <v>0.96809567022949428</v>
      </c>
    </row>
    <row r="26" spans="2:6">
      <c r="B26" s="2">
        <f t="shared" si="4"/>
        <v>8.0424793707262545E-4</v>
      </c>
      <c r="C26" s="2">
        <f t="shared" si="0"/>
        <v>0.98228725072868861</v>
      </c>
      <c r="D26" s="2">
        <f t="shared" si="1"/>
        <v>1.3891637640655532</v>
      </c>
      <c r="E26" s="2">
        <f t="shared" si="2"/>
        <v>1.3891637640655532</v>
      </c>
      <c r="F26" s="30">
        <f t="shared" si="3"/>
        <v>1.3891637640655532</v>
      </c>
    </row>
    <row r="27" spans="2:6">
      <c r="B27" s="2">
        <f t="shared" si="4"/>
        <v>9.0477892920670362E-4</v>
      </c>
      <c r="C27" s="2">
        <f t="shared" si="0"/>
        <v>0.36812455268467797</v>
      </c>
      <c r="D27" s="2">
        <f t="shared" si="1"/>
        <v>0.52060666457091354</v>
      </c>
      <c r="E27" s="2">
        <f t="shared" si="2"/>
        <v>0.52060666457091354</v>
      </c>
      <c r="F27" s="30">
        <f t="shared" si="3"/>
        <v>0.52060666457091365</v>
      </c>
    </row>
    <row r="28" spans="2:6">
      <c r="B28" s="2">
        <f t="shared" si="4"/>
        <v>1.0053099213407819E-3</v>
      </c>
      <c r="C28" s="2">
        <f t="shared" si="0"/>
        <v>-0.5877852522924728</v>
      </c>
      <c r="D28" s="2">
        <f t="shared" si="1"/>
        <v>-0.83125376302207643</v>
      </c>
      <c r="E28" s="2">
        <f t="shared" si="2"/>
        <v>-0.83125376302207643</v>
      </c>
      <c r="F28" s="30">
        <f t="shared" si="3"/>
        <v>-0.83125376302207643</v>
      </c>
    </row>
    <row r="29" spans="2:6">
      <c r="B29" s="2">
        <f t="shared" si="4"/>
        <v>1.1058409134748601E-3</v>
      </c>
      <c r="C29" s="2">
        <f t="shared" si="0"/>
        <v>-0.99802672842827156</v>
      </c>
      <c r="D29" s="2">
        <f t="shared" si="1"/>
        <v>-1.4114227438796132</v>
      </c>
      <c r="E29" s="2">
        <f t="shared" si="2"/>
        <v>-1.4114227438796132</v>
      </c>
      <c r="F29" s="30">
        <f t="shared" si="3"/>
        <v>-1.4114227438796132</v>
      </c>
    </row>
    <row r="30" spans="2:6">
      <c r="B30" s="2">
        <f t="shared" si="4"/>
        <v>1.2063719056089382E-3</v>
      </c>
      <c r="C30" s="2">
        <f t="shared" si="0"/>
        <v>-0.48175367410171632</v>
      </c>
      <c r="D30" s="2">
        <f t="shared" si="1"/>
        <v>-0.68130248740487331</v>
      </c>
      <c r="E30" s="2">
        <f t="shared" si="2"/>
        <v>-0.68130248740487331</v>
      </c>
      <c r="F30" s="30">
        <f t="shared" si="3"/>
        <v>-0.68130248740487331</v>
      </c>
    </row>
    <row r="31" spans="2:6">
      <c r="B31" s="2">
        <f t="shared" si="4"/>
        <v>1.3069028977430164E-3</v>
      </c>
      <c r="C31" s="2">
        <f t="shared" si="0"/>
        <v>0.48175367410171543</v>
      </c>
      <c r="D31" s="2">
        <f t="shared" si="1"/>
        <v>0.68130248740487209</v>
      </c>
      <c r="E31" s="2">
        <f t="shared" si="2"/>
        <v>0.68130248740487209</v>
      </c>
      <c r="F31" s="30">
        <f t="shared" si="3"/>
        <v>0.68130248740487209</v>
      </c>
    </row>
    <row r="32" spans="2:6">
      <c r="B32" s="2">
        <f t="shared" si="4"/>
        <v>1.4074338898770946E-3</v>
      </c>
      <c r="C32" s="2">
        <f t="shared" si="0"/>
        <v>0.99802672842827145</v>
      </c>
      <c r="D32" s="2">
        <f t="shared" si="1"/>
        <v>1.411422743879613</v>
      </c>
      <c r="E32" s="2">
        <f t="shared" si="2"/>
        <v>1.411422743879613</v>
      </c>
      <c r="F32" s="30">
        <f t="shared" si="3"/>
        <v>1.4114227438796132</v>
      </c>
    </row>
    <row r="33" spans="2:11">
      <c r="B33" s="2">
        <f t="shared" si="4"/>
        <v>1.5079648820111727E-3</v>
      </c>
      <c r="C33" s="2">
        <f t="shared" si="0"/>
        <v>0.58778525229247358</v>
      </c>
      <c r="D33" s="2">
        <f t="shared" si="1"/>
        <v>0.83125376302207754</v>
      </c>
      <c r="E33" s="2">
        <f t="shared" si="2"/>
        <v>0.83125376302207754</v>
      </c>
      <c r="F33" s="30">
        <f t="shared" si="3"/>
        <v>0.83125376302207754</v>
      </c>
    </row>
    <row r="34" spans="2:11">
      <c r="B34" s="2">
        <f t="shared" si="4"/>
        <v>1.6084958741452509E-3</v>
      </c>
      <c r="C34" s="2">
        <f t="shared" si="0"/>
        <v>-0.3681245526846787</v>
      </c>
      <c r="D34" s="2">
        <f t="shared" si="1"/>
        <v>-0.52060666457091453</v>
      </c>
      <c r="E34" s="2">
        <f t="shared" si="2"/>
        <v>-0.52060666457091453</v>
      </c>
      <c r="F34" s="30">
        <f t="shared" si="3"/>
        <v>-0.52060666457091465</v>
      </c>
    </row>
    <row r="35" spans="2:11">
      <c r="B35" s="2">
        <f t="shared" si="4"/>
        <v>1.7090268662793291E-3</v>
      </c>
      <c r="C35" s="2">
        <f t="shared" si="0"/>
        <v>-0.98228725072868839</v>
      </c>
      <c r="D35" s="2">
        <f t="shared" si="1"/>
        <v>-1.3891637640655528</v>
      </c>
      <c r="E35" s="2">
        <f t="shared" si="2"/>
        <v>-1.3891637640655528</v>
      </c>
      <c r="F35" s="30">
        <f t="shared" si="3"/>
        <v>-1.3891637640655528</v>
      </c>
    </row>
    <row r="36" spans="2:11">
      <c r="B36" s="2">
        <f t="shared" si="4"/>
        <v>1.8095578584134072E-3</v>
      </c>
      <c r="C36" s="2">
        <f t="shared" si="0"/>
        <v>-0.68454710592868862</v>
      </c>
      <c r="D36" s="2">
        <f t="shared" si="1"/>
        <v>-0.96809567022949516</v>
      </c>
      <c r="E36" s="2">
        <f t="shared" si="2"/>
        <v>-0.96809567022949516</v>
      </c>
      <c r="F36" s="30">
        <f t="shared" si="3"/>
        <v>-0.96809567022949528</v>
      </c>
    </row>
    <row r="37" spans="2:11">
      <c r="B37" s="2">
        <f t="shared" si="4"/>
        <v>1.9100888505474854E-3</v>
      </c>
      <c r="C37" s="2">
        <f t="shared" si="0"/>
        <v>0.24868988716485269</v>
      </c>
      <c r="D37" s="2">
        <f t="shared" si="1"/>
        <v>0.35170056364132207</v>
      </c>
      <c r="E37" s="2">
        <f t="shared" si="2"/>
        <v>0.35170056364132207</v>
      </c>
      <c r="F37" s="30">
        <f t="shared" si="3"/>
        <v>0.35170056364132207</v>
      </c>
      <c r="H37" s="6" t="s">
        <v>65</v>
      </c>
    </row>
    <row r="38" spans="2:11">
      <c r="B38" s="2">
        <f t="shared" si="4"/>
        <v>2.0106198426815638E-3</v>
      </c>
      <c r="C38" s="2">
        <f t="shared" si="0"/>
        <v>0.95105651629515331</v>
      </c>
      <c r="D38" s="2">
        <f t="shared" si="1"/>
        <v>1.3449968418459706</v>
      </c>
      <c r="E38" s="2">
        <f t="shared" si="2"/>
        <v>1.3449968418459706</v>
      </c>
      <c r="F38" s="30">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30">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30">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30">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30">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30">
        <f t="shared" si="3"/>
        <v>-1.3860970610357928E-15</v>
      </c>
      <c r="H43" s="12" t="s">
        <v>103</v>
      </c>
      <c r="I43" s="12">
        <f>ROUND(C10,0)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224</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1" ht="47.25" thickBot="1">
      <c r="B1" s="1" t="s">
        <v>101</v>
      </c>
    </row>
    <row r="2" spans="2:21" ht="15.75" thickBot="1">
      <c r="B2" s="2" t="s">
        <v>172</v>
      </c>
      <c r="C2" s="4">
        <v>1</v>
      </c>
      <c r="D2" s="2" t="s">
        <v>16</v>
      </c>
      <c r="H2" s="6" t="s">
        <v>36</v>
      </c>
    </row>
    <row r="3" spans="2:21" ht="15.75" thickBot="1">
      <c r="B3" s="2" t="s">
        <v>82</v>
      </c>
      <c r="C3" s="4">
        <v>0.1</v>
      </c>
      <c r="D3" s="2" t="s">
        <v>83</v>
      </c>
      <c r="H3" s="2" t="s">
        <v>9</v>
      </c>
      <c r="I3" s="4">
        <v>5</v>
      </c>
      <c r="J3" s="2" t="s">
        <v>18</v>
      </c>
    </row>
    <row r="4" spans="2:21" ht="15.75" thickBot="1">
      <c r="B4" s="2" t="s">
        <v>99</v>
      </c>
      <c r="C4" s="4">
        <v>1</v>
      </c>
      <c r="D4" s="2" t="s">
        <v>16</v>
      </c>
      <c r="H4" s="2" t="s">
        <v>10</v>
      </c>
      <c r="I4" s="5">
        <v>-5</v>
      </c>
      <c r="J4" s="2" t="s">
        <v>19</v>
      </c>
    </row>
    <row r="5" spans="2:21" ht="15.75" thickBot="1">
      <c r="B5" s="2" t="s">
        <v>0</v>
      </c>
      <c r="C5" s="3">
        <v>0</v>
      </c>
      <c r="D5" s="2" t="s">
        <v>17</v>
      </c>
      <c r="H5" s="2" t="s">
        <v>31</v>
      </c>
      <c r="I5" s="4">
        <v>1.2</v>
      </c>
      <c r="J5" s="2" t="s">
        <v>32</v>
      </c>
    </row>
    <row r="6" spans="2:21">
      <c r="B6" s="2" t="s">
        <v>1</v>
      </c>
      <c r="C6" s="3">
        <f>1+(C4/C2)</f>
        <v>2</v>
      </c>
      <c r="D6" s="2" t="s">
        <v>39</v>
      </c>
    </row>
    <row r="7" spans="2:21" ht="15.75" thickBot="1">
      <c r="B7" s="2" t="s">
        <v>97</v>
      </c>
      <c r="C7" s="3">
        <f>1/(2*PI()*C9*C3*0.000001)</f>
        <v>15915.494309189533</v>
      </c>
      <c r="D7" s="2" t="s">
        <v>219</v>
      </c>
      <c r="H7" s="6" t="s">
        <v>33</v>
      </c>
    </row>
    <row r="8" spans="2:21" ht="15.75" thickBot="1">
      <c r="B8" s="2" t="s">
        <v>25</v>
      </c>
      <c r="C8" s="4">
        <v>1</v>
      </c>
      <c r="D8" s="2" t="s">
        <v>38</v>
      </c>
      <c r="H8" s="6" t="s">
        <v>29</v>
      </c>
      <c r="I8" s="4">
        <v>1</v>
      </c>
      <c r="J8" s="2" t="s">
        <v>17</v>
      </c>
    </row>
    <row r="9" spans="2:21" ht="15.7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75" thickBot="1">
      <c r="B11" s="2" t="s">
        <v>81</v>
      </c>
      <c r="C11" s="3">
        <f>1/(2*PI()*(C2*1000)*(C3*0.000001))</f>
        <v>1591.5494309189537</v>
      </c>
      <c r="D11" s="2" t="s">
        <v>80</v>
      </c>
      <c r="H11" s="6" t="s">
        <v>198</v>
      </c>
    </row>
    <row r="12" spans="2:21" ht="15.7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 t="shared" ref="C18:C43" si="0">$C$8*SIN($B18*$C$9*2*PI())</f>
        <v>0</v>
      </c>
      <c r="D18" s="2">
        <f t="shared" ref="D18:D43" si="1">C18*(1+($C$4/$C$2)*(1+($C$9/$C$11)))</f>
        <v>0</v>
      </c>
      <c r="E18" s="2">
        <f>IF(D18&gt;($I$3-$I$5),($I$3-$I$5),IF(D18&lt;($I$4+$I$5),($I$4+$I$5),D18))</f>
        <v>0</v>
      </c>
      <c r="F18" s="30">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30">
        <f t="shared" si="2"/>
        <v>1.7417065391635866</v>
      </c>
    </row>
    <row r="20" spans="2:15">
      <c r="B20" s="2">
        <f t="shared" si="3"/>
        <v>3.2000000000000002E-3</v>
      </c>
      <c r="C20" s="2">
        <f t="shared" si="0"/>
        <v>0.90482705246601947</v>
      </c>
      <c r="D20" s="2">
        <f t="shared" si="1"/>
        <v>1.8665060653479701</v>
      </c>
      <c r="E20" s="2">
        <f t="shared" si="4"/>
        <v>1.8665060653479701</v>
      </c>
      <c r="F20" s="30">
        <f t="shared" si="2"/>
        <v>1.8665060653479697</v>
      </c>
    </row>
    <row r="21" spans="2:15">
      <c r="B21" s="2">
        <f t="shared" si="3"/>
        <v>4.8000000000000004E-3</v>
      </c>
      <c r="C21" s="2">
        <f t="shared" si="0"/>
        <v>0.12533323356430409</v>
      </c>
      <c r="D21" s="2">
        <f t="shared" si="1"/>
        <v>0.25854138644493363</v>
      </c>
      <c r="E21" s="2">
        <f t="shared" si="4"/>
        <v>0.25854138644493363</v>
      </c>
      <c r="F21" s="30">
        <f t="shared" si="2"/>
        <v>0.25854138644493357</v>
      </c>
    </row>
    <row r="22" spans="2:15">
      <c r="B22" s="2">
        <f t="shared" si="3"/>
        <v>6.4000000000000003E-3</v>
      </c>
      <c r="C22" s="2">
        <f t="shared" si="0"/>
        <v>-0.77051324277578936</v>
      </c>
      <c r="D22" s="2">
        <f t="shared" si="1"/>
        <v>-1.5894392604115402</v>
      </c>
      <c r="E22" s="2">
        <f t="shared" si="4"/>
        <v>-1.5894392604115402</v>
      </c>
      <c r="F22" s="30">
        <f t="shared" si="2"/>
        <v>-1.5894392604115399</v>
      </c>
    </row>
    <row r="23" spans="2:15">
      <c r="B23" s="2">
        <f t="shared" si="3"/>
        <v>8.0000000000000002E-3</v>
      </c>
      <c r="C23" s="2">
        <f t="shared" si="0"/>
        <v>-0.95105651629515364</v>
      </c>
      <c r="D23" s="2">
        <f t="shared" si="1"/>
        <v>-1.9618696758851384</v>
      </c>
      <c r="E23" s="2">
        <f t="shared" si="4"/>
        <v>-1.9618696758851384</v>
      </c>
      <c r="F23" s="30">
        <f t="shared" si="2"/>
        <v>-1.9618696758851382</v>
      </c>
    </row>
    <row r="24" spans="2:15">
      <c r="B24" s="2">
        <f t="shared" si="3"/>
        <v>9.6000000000000009E-3</v>
      </c>
      <c r="C24" s="2">
        <f t="shared" si="0"/>
        <v>-0.24868988716485449</v>
      </c>
      <c r="D24" s="2">
        <f t="shared" si="1"/>
        <v>-0.5130054207804926</v>
      </c>
      <c r="E24" s="2">
        <f t="shared" si="4"/>
        <v>-0.5130054207804926</v>
      </c>
      <c r="F24" s="30">
        <f t="shared" si="2"/>
        <v>-0.51300542078049249</v>
      </c>
    </row>
    <row r="25" spans="2:15">
      <c r="B25" s="2">
        <f t="shared" si="3"/>
        <v>1.1200000000000002E-2</v>
      </c>
      <c r="C25" s="2">
        <f t="shared" si="0"/>
        <v>0.68454710592868928</v>
      </c>
      <c r="D25" s="2">
        <f t="shared" si="1"/>
        <v>1.4121055750378131</v>
      </c>
      <c r="E25" s="2">
        <f t="shared" si="4"/>
        <v>1.4121055750378131</v>
      </c>
      <c r="F25" s="30">
        <f t="shared" si="2"/>
        <v>1.4121055750378129</v>
      </c>
    </row>
    <row r="26" spans="2:15">
      <c r="B26" s="2">
        <f t="shared" si="3"/>
        <v>1.2800000000000002E-2</v>
      </c>
      <c r="C26" s="2">
        <f t="shared" si="0"/>
        <v>0.98228725072868861</v>
      </c>
      <c r="D26" s="2">
        <f t="shared" si="1"/>
        <v>2.0262934296694604</v>
      </c>
      <c r="E26" s="2">
        <f t="shared" si="4"/>
        <v>2.0262934296694604</v>
      </c>
      <c r="F26" s="30">
        <f t="shared" si="2"/>
        <v>2.0262934296694604</v>
      </c>
    </row>
    <row r="27" spans="2:15">
      <c r="B27" s="2">
        <f t="shared" si="3"/>
        <v>1.4400000000000003E-2</v>
      </c>
      <c r="C27" s="2">
        <f t="shared" si="0"/>
        <v>0.36812455268467631</v>
      </c>
      <c r="D27" s="2">
        <f t="shared" si="1"/>
        <v>0.75937905317575682</v>
      </c>
      <c r="E27" s="2">
        <f t="shared" si="4"/>
        <v>0.75937905317575682</v>
      </c>
      <c r="F27" s="30">
        <f t="shared" si="2"/>
        <v>0.7593790531757566</v>
      </c>
    </row>
    <row r="28" spans="2:15">
      <c r="B28" s="2">
        <f t="shared" si="3"/>
        <v>1.6000000000000004E-2</v>
      </c>
      <c r="C28" s="2">
        <f t="shared" si="0"/>
        <v>-0.58778525229247425</v>
      </c>
      <c r="D28" s="2">
        <f t="shared" si="1"/>
        <v>-1.2125021411947579</v>
      </c>
      <c r="E28" s="2">
        <f t="shared" si="4"/>
        <v>-1.2125021411947579</v>
      </c>
      <c r="F28" s="30">
        <f t="shared" si="2"/>
        <v>-1.2125021411947574</v>
      </c>
    </row>
    <row r="29" spans="2:15">
      <c r="B29" s="2">
        <f t="shared" si="3"/>
        <v>1.7600000000000005E-2</v>
      </c>
      <c r="C29" s="2">
        <f t="shared" si="0"/>
        <v>-0.99802672842827134</v>
      </c>
      <c r="D29" s="2">
        <f t="shared" si="1"/>
        <v>-2.0587613256188728</v>
      </c>
      <c r="E29" s="2">
        <f t="shared" si="4"/>
        <v>-2.0587613256188728</v>
      </c>
      <c r="F29" s="30">
        <f t="shared" si="2"/>
        <v>-2.0587613256188724</v>
      </c>
    </row>
    <row r="30" spans="2:15">
      <c r="B30" s="2">
        <f t="shared" si="3"/>
        <v>1.9200000000000005E-2</v>
      </c>
      <c r="C30" s="2">
        <f t="shared" si="0"/>
        <v>-0.48175367410171166</v>
      </c>
      <c r="D30" s="2">
        <f t="shared" si="1"/>
        <v>-0.99377682427137992</v>
      </c>
      <c r="E30" s="2">
        <f t="shared" si="4"/>
        <v>-0.99377682427137992</v>
      </c>
      <c r="F30" s="30">
        <f t="shared" si="2"/>
        <v>-0.9937768242713797</v>
      </c>
      <c r="O30" s="2" t="s">
        <v>222</v>
      </c>
    </row>
    <row r="31" spans="2:15">
      <c r="B31" s="2">
        <f t="shared" si="3"/>
        <v>2.0800000000000006E-2</v>
      </c>
      <c r="C31" s="2">
        <f t="shared" si="0"/>
        <v>0.48175367410171699</v>
      </c>
      <c r="D31" s="2">
        <f t="shared" si="1"/>
        <v>0.99377682427139091</v>
      </c>
      <c r="E31" s="2">
        <f t="shared" si="4"/>
        <v>0.99377682427139091</v>
      </c>
      <c r="F31" s="30">
        <f t="shared" si="2"/>
        <v>0.99377682427139069</v>
      </c>
    </row>
    <row r="32" spans="2:15">
      <c r="B32" s="2">
        <f t="shared" si="3"/>
        <v>2.2400000000000007E-2</v>
      </c>
      <c r="C32" s="2">
        <f t="shared" si="0"/>
        <v>0.99802672842827178</v>
      </c>
      <c r="D32" s="2">
        <f t="shared" si="1"/>
        <v>2.0587613256188741</v>
      </c>
      <c r="E32" s="2">
        <f t="shared" si="4"/>
        <v>2.0587613256188741</v>
      </c>
      <c r="F32" s="30">
        <f t="shared" si="2"/>
        <v>2.0587613256188737</v>
      </c>
      <c r="O32" s="31" t="s">
        <v>233</v>
      </c>
    </row>
    <row r="33" spans="2:11">
      <c r="B33" s="2">
        <f t="shared" si="3"/>
        <v>2.4000000000000007E-2</v>
      </c>
      <c r="C33" s="2">
        <f t="shared" si="0"/>
        <v>0.58778525229246925</v>
      </c>
      <c r="D33" s="2">
        <f t="shared" si="1"/>
        <v>1.2125021411947474</v>
      </c>
      <c r="E33" s="2">
        <f t="shared" si="4"/>
        <v>1.2125021411947474</v>
      </c>
      <c r="F33" s="30">
        <f t="shared" si="2"/>
        <v>1.2125021411947472</v>
      </c>
    </row>
    <row r="34" spans="2:11">
      <c r="B34" s="2">
        <f t="shared" si="3"/>
        <v>2.5600000000000008E-2</v>
      </c>
      <c r="C34" s="2">
        <f t="shared" si="0"/>
        <v>-0.36812455268468203</v>
      </c>
      <c r="D34" s="2">
        <f t="shared" si="1"/>
        <v>-0.75937905317576859</v>
      </c>
      <c r="E34" s="2">
        <f t="shared" si="4"/>
        <v>-0.75937905317576859</v>
      </c>
      <c r="F34" s="30">
        <f t="shared" si="2"/>
        <v>-0.75937905317576848</v>
      </c>
    </row>
    <row r="35" spans="2:11">
      <c r="B35" s="2">
        <f t="shared" si="3"/>
        <v>2.7200000000000009E-2</v>
      </c>
      <c r="C35" s="2">
        <f t="shared" si="0"/>
        <v>-0.98228725072868972</v>
      </c>
      <c r="D35" s="2">
        <f t="shared" si="1"/>
        <v>-2.026293429669463</v>
      </c>
      <c r="E35" s="2">
        <f t="shared" si="4"/>
        <v>-2.026293429669463</v>
      </c>
      <c r="F35" s="30">
        <f t="shared" si="2"/>
        <v>-2.0262934296694626</v>
      </c>
    </row>
    <row r="36" spans="2:11">
      <c r="B36" s="2">
        <f t="shared" si="3"/>
        <v>2.880000000000001E-2</v>
      </c>
      <c r="C36" s="2">
        <f t="shared" si="0"/>
        <v>-0.68454710592868606</v>
      </c>
      <c r="D36" s="2">
        <f t="shared" si="1"/>
        <v>-1.4121055750378064</v>
      </c>
      <c r="E36" s="2">
        <f t="shared" si="4"/>
        <v>-1.4121055750378064</v>
      </c>
      <c r="F36" s="30">
        <f t="shared" si="2"/>
        <v>-1.4121055750378062</v>
      </c>
    </row>
    <row r="37" spans="2:11">
      <c r="B37" s="2">
        <f t="shared" si="3"/>
        <v>3.040000000000001E-2</v>
      </c>
      <c r="C37" s="2">
        <f t="shared" si="0"/>
        <v>0.24868988716485957</v>
      </c>
      <c r="D37" s="2">
        <f t="shared" si="1"/>
        <v>0.51300542078050315</v>
      </c>
      <c r="E37" s="2">
        <f t="shared" si="4"/>
        <v>0.51300542078050315</v>
      </c>
      <c r="F37" s="30">
        <f t="shared" si="2"/>
        <v>0.51300542078050304</v>
      </c>
      <c r="H37" s="6" t="s">
        <v>65</v>
      </c>
    </row>
    <row r="38" spans="2:11">
      <c r="B38" s="2">
        <f t="shared" si="3"/>
        <v>3.2000000000000008E-2</v>
      </c>
      <c r="C38" s="2">
        <f t="shared" si="0"/>
        <v>0.95105651629515442</v>
      </c>
      <c r="D38" s="2">
        <f t="shared" si="1"/>
        <v>1.9618696758851402</v>
      </c>
      <c r="E38" s="2">
        <f t="shared" si="4"/>
        <v>1.9618696758851402</v>
      </c>
      <c r="F38" s="30">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30">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30">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30">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30">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30">
        <f t="shared" si="2"/>
        <v>-9.3504711474953095E-15</v>
      </c>
      <c r="H43" s="12" t="s">
        <v>103</v>
      </c>
      <c r="I43" s="12">
        <f>ROUND(C9,0)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R14" sqref="R1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3180-748D-45D5-ABB2-56D435F0DD12}">
  <dimension ref="B1:S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267</v>
      </c>
    </row>
    <row r="2" spans="2:9" ht="15.75" thickBot="1">
      <c r="B2" s="2" t="s">
        <v>12</v>
      </c>
      <c r="C2" s="4">
        <v>1</v>
      </c>
      <c r="D2" s="2" t="s">
        <v>16</v>
      </c>
      <c r="G2" s="6" t="s">
        <v>36</v>
      </c>
    </row>
    <row r="3" spans="2:9" ht="15.75" thickBot="1">
      <c r="B3" s="2" t="s">
        <v>15</v>
      </c>
      <c r="C3" s="4">
        <v>10</v>
      </c>
      <c r="D3" s="2" t="s">
        <v>16</v>
      </c>
      <c r="G3" s="2" t="s">
        <v>9</v>
      </c>
      <c r="H3" s="4">
        <v>5</v>
      </c>
      <c r="I3" s="2" t="s">
        <v>18</v>
      </c>
    </row>
    <row r="4" spans="2:9" ht="15.75" thickBot="1">
      <c r="B4" s="2" t="s">
        <v>11</v>
      </c>
      <c r="C4" s="3">
        <f>H3/2</f>
        <v>2.5</v>
      </c>
      <c r="D4" s="2" t="s">
        <v>259</v>
      </c>
      <c r="G4" s="2" t="s">
        <v>10</v>
      </c>
      <c r="H4" s="5">
        <v>0</v>
      </c>
      <c r="I4" s="2" t="s">
        <v>19</v>
      </c>
    </row>
    <row r="5" spans="2:9" ht="15.75" thickBot="1">
      <c r="B5" s="2" t="s">
        <v>0</v>
      </c>
      <c r="C5" s="3">
        <f>(1-C6)*C4</f>
        <v>-25</v>
      </c>
      <c r="D5" s="2" t="s">
        <v>17</v>
      </c>
      <c r="G5" s="2" t="s">
        <v>31</v>
      </c>
      <c r="H5" s="4">
        <v>0</v>
      </c>
      <c r="I5" s="2" t="s">
        <v>32</v>
      </c>
    </row>
    <row r="6" spans="2:9" ht="15.75" thickBot="1">
      <c r="B6" s="2" t="s">
        <v>1</v>
      </c>
      <c r="C6" s="3">
        <f>1+C3/C2</f>
        <v>11</v>
      </c>
      <c r="D6" s="2" t="s">
        <v>39</v>
      </c>
    </row>
    <row r="7" spans="2:9" ht="15.75" thickBot="1">
      <c r="B7" s="2" t="s">
        <v>25</v>
      </c>
      <c r="C7" s="4">
        <v>0.1</v>
      </c>
      <c r="D7" s="2" t="s">
        <v>265</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$C$7*SIN($B10)+$C$4</f>
        <v>2.5</v>
      </c>
      <c r="D10" s="2">
        <f>$C$6*(C10-$C$4)+$C$4</f>
        <v>2.5</v>
      </c>
      <c r="E10" s="2">
        <f t="shared" ref="E10:E35" si="0">IF(D10&gt;($H$3-$H$5),($H$3-$H$5),IF(D10&lt;($H$4+$H$5),($H$4+$H$5),D10))</f>
        <v>2.5</v>
      </c>
      <c r="G10" s="6" t="s">
        <v>34</v>
      </c>
      <c r="H10" s="3">
        <f>IF($C$6*H9+(1-$C$6)*$C$4&gt;($H$3-$H$5),($H$3-$H$5),IF($C$6*H9+(1-$C$6)*$C$4&lt;($H$4+$H$5),($H$4+$H$5),$C$6*H9+(1-$C$6)*$C$4))</f>
        <v>0</v>
      </c>
      <c r="I10" s="2" t="s">
        <v>17</v>
      </c>
    </row>
    <row r="11" spans="2:9">
      <c r="B11" s="2">
        <v>0.1</v>
      </c>
      <c r="C11" s="2">
        <f t="shared" ref="C11:C35" si="1">$C$7*SIN($B11)+$C$4</f>
        <v>2.5099833416646828</v>
      </c>
      <c r="D11" s="2">
        <f t="shared" ref="D11:D35" si="2">$C$6*(C11-$C$4)+$C$4</f>
        <v>2.6098167583115113</v>
      </c>
      <c r="E11" s="2">
        <f t="shared" si="0"/>
        <v>2.6098167583115113</v>
      </c>
    </row>
    <row r="12" spans="2:9">
      <c r="B12" s="2">
        <v>0.2</v>
      </c>
      <c r="C12" s="2">
        <f t="shared" si="1"/>
        <v>2.519866933079506</v>
      </c>
      <c r="D12" s="2">
        <f t="shared" si="2"/>
        <v>2.7185362638745665</v>
      </c>
      <c r="E12" s="2">
        <f t="shared" si="0"/>
        <v>2.7185362638745665</v>
      </c>
    </row>
    <row r="13" spans="2:9">
      <c r="B13" s="2">
        <v>1.2</v>
      </c>
      <c r="C13" s="2">
        <f t="shared" si="1"/>
        <v>2.5932039085967227</v>
      </c>
      <c r="D13" s="2">
        <f t="shared" si="2"/>
        <v>3.5252429945639494</v>
      </c>
      <c r="E13" s="2">
        <f t="shared" si="0"/>
        <v>3.5252429945639494</v>
      </c>
    </row>
    <row r="14" spans="2:9">
      <c r="B14" s="2">
        <v>2.2000000000000002</v>
      </c>
      <c r="C14" s="2">
        <f t="shared" si="1"/>
        <v>2.5808496403819592</v>
      </c>
      <c r="D14" s="2">
        <f t="shared" si="2"/>
        <v>3.3893460442015511</v>
      </c>
      <c r="E14" s="2">
        <f t="shared" si="0"/>
        <v>3.3893460442015511</v>
      </c>
    </row>
    <row r="15" spans="2:9">
      <c r="B15" s="2">
        <v>3.2</v>
      </c>
      <c r="C15" s="2">
        <f t="shared" si="1"/>
        <v>2.494162585657242</v>
      </c>
      <c r="D15" s="2">
        <f t="shared" si="2"/>
        <v>2.4357884422296623</v>
      </c>
      <c r="E15" s="2">
        <f t="shared" si="0"/>
        <v>2.4357884422296623</v>
      </c>
    </row>
    <row r="16" spans="2:9">
      <c r="B16" s="2">
        <v>4.2</v>
      </c>
      <c r="C16" s="2">
        <f t="shared" si="1"/>
        <v>2.4128424227586414</v>
      </c>
      <c r="D16" s="2">
        <f t="shared" si="2"/>
        <v>1.5412666503450549</v>
      </c>
      <c r="E16" s="2">
        <f t="shared" si="0"/>
        <v>1.5412666503450549</v>
      </c>
    </row>
    <row r="17" spans="2:19">
      <c r="B17" s="2">
        <v>5.2</v>
      </c>
      <c r="C17" s="2">
        <f t="shared" si="1"/>
        <v>2.4116545344279845</v>
      </c>
      <c r="D17" s="2">
        <f t="shared" si="2"/>
        <v>1.5281998787078295</v>
      </c>
      <c r="E17" s="2">
        <f t="shared" si="0"/>
        <v>1.5281998787078295</v>
      </c>
    </row>
    <row r="18" spans="2:19">
      <c r="B18" s="2">
        <v>6.2</v>
      </c>
      <c r="C18" s="2">
        <f t="shared" si="1"/>
        <v>2.4916910597182502</v>
      </c>
      <c r="D18" s="2">
        <f t="shared" si="2"/>
        <v>2.4086016569007525</v>
      </c>
      <c r="E18" s="2">
        <f t="shared" si="0"/>
        <v>2.4086016569007525</v>
      </c>
    </row>
    <row r="19" spans="2:19">
      <c r="B19" s="2">
        <v>7.2</v>
      </c>
      <c r="C19" s="2">
        <f t="shared" si="1"/>
        <v>2.5793667863849152</v>
      </c>
      <c r="D19" s="2">
        <f t="shared" si="2"/>
        <v>3.3730346502340676</v>
      </c>
      <c r="E19" s="2">
        <f t="shared" si="0"/>
        <v>3.3730346502340676</v>
      </c>
    </row>
    <row r="20" spans="2:19">
      <c r="B20" s="2">
        <v>8.1999999999999993</v>
      </c>
      <c r="C20" s="2">
        <f t="shared" si="1"/>
        <v>2.5940730556679772</v>
      </c>
      <c r="D20" s="2">
        <f t="shared" si="2"/>
        <v>3.5348036123477491</v>
      </c>
      <c r="E20" s="2">
        <f t="shared" si="0"/>
        <v>3.5348036123477491</v>
      </c>
    </row>
    <row r="21" spans="2:19">
      <c r="B21" s="2">
        <v>9.1999999999999993</v>
      </c>
      <c r="C21" s="2">
        <f t="shared" si="1"/>
        <v>2.5222889914100248</v>
      </c>
      <c r="D21" s="2">
        <f t="shared" si="2"/>
        <v>2.7451789055102731</v>
      </c>
      <c r="E21" s="2">
        <f t="shared" si="0"/>
        <v>2.7451789055102731</v>
      </c>
    </row>
    <row r="22" spans="2:19">
      <c r="B22" s="2">
        <v>10.199999999999999</v>
      </c>
      <c r="C22" s="2">
        <f t="shared" si="1"/>
        <v>2.4300125312406458</v>
      </c>
      <c r="D22" s="2">
        <f t="shared" si="2"/>
        <v>1.7301378436471033</v>
      </c>
      <c r="E22" s="2">
        <f t="shared" si="0"/>
        <v>1.7301378436471033</v>
      </c>
    </row>
    <row r="23" spans="2:19">
      <c r="B23" s="2">
        <v>11.2</v>
      </c>
      <c r="C23" s="2">
        <f t="shared" si="1"/>
        <v>2.4020822270848683</v>
      </c>
      <c r="D23" s="2">
        <f t="shared" si="2"/>
        <v>1.4229044979335512</v>
      </c>
      <c r="E23" s="2">
        <f t="shared" si="0"/>
        <v>1.4229044979335512</v>
      </c>
    </row>
    <row r="24" spans="2:19">
      <c r="B24" s="2">
        <v>12.2</v>
      </c>
      <c r="C24" s="2">
        <f t="shared" si="1"/>
        <v>2.4641770717763172</v>
      </c>
      <c r="D24" s="2">
        <f t="shared" si="2"/>
        <v>2.1059477895394889</v>
      </c>
      <c r="E24" s="2">
        <f t="shared" si="0"/>
        <v>2.1059477895394889</v>
      </c>
      <c r="Q24" s="6"/>
      <c r="S24" s="6" t="s">
        <v>269</v>
      </c>
    </row>
    <row r="25" spans="2:19">
      <c r="B25" s="2">
        <v>13.2</v>
      </c>
      <c r="C25" s="2">
        <f t="shared" si="1"/>
        <v>2.5592073514707221</v>
      </c>
      <c r="D25" s="2">
        <f t="shared" si="2"/>
        <v>3.151280866177943</v>
      </c>
      <c r="E25" s="2">
        <f t="shared" si="0"/>
        <v>3.151280866177943</v>
      </c>
    </row>
    <row r="26" spans="2:19">
      <c r="B26" s="2">
        <v>14.2</v>
      </c>
      <c r="C26" s="2">
        <f t="shared" si="1"/>
        <v>2.5998026652716364</v>
      </c>
      <c r="D26" s="2">
        <f t="shared" si="2"/>
        <v>3.5978293179880003</v>
      </c>
      <c r="E26" s="2">
        <f t="shared" si="0"/>
        <v>3.5978293179880003</v>
      </c>
      <c r="N26" s="2" t="s">
        <v>260</v>
      </c>
    </row>
    <row r="27" spans="2:19">
      <c r="B27" s="2">
        <v>15.2</v>
      </c>
      <c r="C27" s="2">
        <f t="shared" si="1"/>
        <v>2.5486398688853802</v>
      </c>
      <c r="D27" s="2">
        <f t="shared" si="2"/>
        <v>3.0350385577391821</v>
      </c>
      <c r="E27" s="2">
        <f t="shared" si="0"/>
        <v>3.0350385577391821</v>
      </c>
    </row>
    <row r="28" spans="2:19">
      <c r="B28" s="2">
        <v>16.2</v>
      </c>
      <c r="C28" s="2">
        <f t="shared" si="1"/>
        <v>2.4527578013601534</v>
      </c>
      <c r="D28" s="2">
        <f t="shared" si="2"/>
        <v>1.9803358149616876</v>
      </c>
      <c r="E28" s="2">
        <f t="shared" si="0"/>
        <v>1.9803358149616876</v>
      </c>
      <c r="N28" s="6" t="s">
        <v>261</v>
      </c>
    </row>
    <row r="29" spans="2:19">
      <c r="B29" s="2">
        <v>17.2</v>
      </c>
      <c r="C29" s="2">
        <f t="shared" si="1"/>
        <v>2.4003099933958403</v>
      </c>
      <c r="D29" s="2">
        <f t="shared" si="2"/>
        <v>1.4034099273542431</v>
      </c>
      <c r="E29" s="2">
        <f t="shared" si="0"/>
        <v>1.4034099273542431</v>
      </c>
      <c r="G29" s="6" t="s">
        <v>65</v>
      </c>
      <c r="N29" s="2" t="s">
        <v>262</v>
      </c>
    </row>
    <row r="30" spans="2:19">
      <c r="B30" s="2">
        <v>18.2</v>
      </c>
      <c r="C30" s="2">
        <f t="shared" si="1"/>
        <v>2.4395167177593717</v>
      </c>
      <c r="D30" s="2">
        <f t="shared" si="2"/>
        <v>1.8346838953530891</v>
      </c>
      <c r="E30" s="2">
        <f t="shared" si="0"/>
        <v>1.8346838953530891</v>
      </c>
      <c r="G30" s="12" t="s">
        <v>64</v>
      </c>
      <c r="H30" s="12">
        <f>H3</f>
        <v>5</v>
      </c>
      <c r="I30" s="12" t="s">
        <v>17</v>
      </c>
      <c r="J30" s="13" t="str">
        <f>TRIM(G30)&amp;"   "&amp;IF(H30&gt;0,"+","")&amp;TRIM(H30)&amp;" "&amp;TRIM(I30)</f>
        <v>V+:   +5 V</v>
      </c>
      <c r="N30" s="2" t="s">
        <v>263</v>
      </c>
    </row>
    <row r="31" spans="2:19">
      <c r="B31" s="2">
        <v>19.2</v>
      </c>
      <c r="C31" s="2">
        <f t="shared" si="1"/>
        <v>2.5343314928819893</v>
      </c>
      <c r="D31" s="2">
        <f t="shared" si="2"/>
        <v>2.8776464217018827</v>
      </c>
      <c r="E31" s="2">
        <f t="shared" si="0"/>
        <v>2.8776464217018827</v>
      </c>
      <c r="G31" s="12" t="s">
        <v>66</v>
      </c>
      <c r="H31" s="12">
        <f>H4</f>
        <v>0</v>
      </c>
      <c r="I31" s="12" t="s">
        <v>17</v>
      </c>
      <c r="J31" s="13" t="str">
        <f t="shared" ref="J31:J32" si="3">TRIM(G31)&amp;"   "&amp;IF(H31&gt;0,"+","")&amp;TRIM(H31)&amp;" "&amp;TRIM(I31)</f>
        <v>V-:   0 V</v>
      </c>
      <c r="N31" s="2" t="s">
        <v>264</v>
      </c>
    </row>
    <row r="32" spans="2:19">
      <c r="B32" s="2">
        <v>20.2</v>
      </c>
      <c r="C32" s="2">
        <f t="shared" si="1"/>
        <v>2.5975820517766977</v>
      </c>
      <c r="D32" s="2">
        <f t="shared" si="2"/>
        <v>3.5734025695436742</v>
      </c>
      <c r="E32" s="2">
        <f t="shared" si="0"/>
        <v>3.5734025695436742</v>
      </c>
      <c r="G32" s="12" t="s">
        <v>29</v>
      </c>
      <c r="H32" s="12">
        <f>H9</f>
        <v>-2.5</v>
      </c>
      <c r="I32" s="12" t="s">
        <v>17</v>
      </c>
      <c r="J32" s="13" t="str">
        <f t="shared" si="3"/>
        <v>Vin:   -2.5 V</v>
      </c>
    </row>
    <row r="33" spans="2:10">
      <c r="B33" s="2">
        <v>21.2</v>
      </c>
      <c r="C33" s="2">
        <f t="shared" si="1"/>
        <v>2.571116122290598</v>
      </c>
      <c r="D33" s="2">
        <f t="shared" si="2"/>
        <v>3.2822773451965785</v>
      </c>
      <c r="E33" s="2">
        <f t="shared" si="0"/>
        <v>3.2822773451965785</v>
      </c>
      <c r="G33" s="12" t="s">
        <v>69</v>
      </c>
      <c r="H33" s="12">
        <f>C4</f>
        <v>2.5</v>
      </c>
      <c r="I33" s="12" t="s">
        <v>17</v>
      </c>
      <c r="J33" s="13" t="str">
        <f>TRIM(G33)&amp;"   "&amp;TRIM(H33)&amp;" "&amp;TRIM(I33)</f>
        <v>Vb:   2.5 V</v>
      </c>
    </row>
    <row r="34" spans="2:10">
      <c r="B34" s="2">
        <v>22.2</v>
      </c>
      <c r="C34" s="2">
        <f t="shared" si="1"/>
        <v>2.4792663579393239</v>
      </c>
      <c r="D34" s="2">
        <f t="shared" si="2"/>
        <v>2.2719299373325632</v>
      </c>
      <c r="E34" s="2">
        <f t="shared" si="0"/>
        <v>2.2719299373325632</v>
      </c>
      <c r="G34" s="12" t="s">
        <v>67</v>
      </c>
      <c r="H34" s="12">
        <f>C2</f>
        <v>1</v>
      </c>
      <c r="I34" s="12" t="s">
        <v>16</v>
      </c>
      <c r="J34" s="13" t="str">
        <f>TRIM(G34)&amp;"   "&amp;TRIM(H34)&amp;" "&amp;TRIM(I34)</f>
        <v>R1:   1 K</v>
      </c>
    </row>
    <row r="35" spans="2:10">
      <c r="B35" s="2">
        <v>23.2</v>
      </c>
      <c r="C35" s="2">
        <f t="shared" si="1"/>
        <v>2.4064790084805461</v>
      </c>
      <c r="D35" s="2">
        <f t="shared" si="2"/>
        <v>1.4712690932860069</v>
      </c>
      <c r="E35" s="2">
        <f t="shared" si="0"/>
        <v>1.4712690932860069</v>
      </c>
      <c r="G35" s="12" t="s">
        <v>68</v>
      </c>
      <c r="H35" s="12">
        <f>C3</f>
        <v>10</v>
      </c>
      <c r="I35" s="12" t="s">
        <v>16</v>
      </c>
      <c r="J35" s="13" t="str">
        <f>TRIM(G35)&amp;"   "&amp;TRIM(H35)&amp;" "&amp;TRIM(I35)</f>
        <v>RF:   10 K</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T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0" ht="47.25" thickBot="1">
      <c r="B1" s="1" t="s">
        <v>47</v>
      </c>
    </row>
    <row r="2" spans="2:20" ht="15.75" thickBot="1">
      <c r="B2" s="2" t="s">
        <v>12</v>
      </c>
      <c r="C2" s="4">
        <v>1</v>
      </c>
      <c r="D2" s="2" t="s">
        <v>16</v>
      </c>
      <c r="G2" s="6" t="s">
        <v>36</v>
      </c>
    </row>
    <row r="3" spans="2:20" ht="15.75" thickBot="1">
      <c r="B3" s="2" t="s">
        <v>13</v>
      </c>
      <c r="C3" s="4">
        <v>1</v>
      </c>
      <c r="D3" s="2" t="s">
        <v>16</v>
      </c>
      <c r="G3" s="2" t="s">
        <v>9</v>
      </c>
      <c r="H3" s="4">
        <v>12</v>
      </c>
      <c r="I3" s="2" t="s">
        <v>18</v>
      </c>
    </row>
    <row r="4" spans="2:20" ht="15.75" thickBot="1">
      <c r="B4" s="2" t="s">
        <v>14</v>
      </c>
      <c r="C4" s="4">
        <v>1</v>
      </c>
      <c r="D4" s="2" t="s">
        <v>16</v>
      </c>
      <c r="G4" s="2" t="s">
        <v>10</v>
      </c>
      <c r="H4" s="5">
        <v>-12</v>
      </c>
      <c r="I4" s="2" t="s">
        <v>19</v>
      </c>
      <c r="T4" s="2" t="s">
        <v>257</v>
      </c>
    </row>
    <row r="5" spans="2:20" ht="15.75" thickBot="1">
      <c r="B5" s="2" t="s">
        <v>15</v>
      </c>
      <c r="C5" s="4">
        <v>1</v>
      </c>
      <c r="D5" s="2" t="s">
        <v>16</v>
      </c>
      <c r="G5" s="2" t="s">
        <v>31</v>
      </c>
      <c r="H5" s="4">
        <v>1.3</v>
      </c>
      <c r="I5" s="2" t="s">
        <v>32</v>
      </c>
      <c r="T5" s="2" t="s">
        <v>258</v>
      </c>
    </row>
    <row r="6" spans="2:20" ht="15.75" thickBot="1">
      <c r="B6" s="2" t="s">
        <v>48</v>
      </c>
      <c r="C6" s="4">
        <v>1</v>
      </c>
      <c r="D6" s="2" t="s">
        <v>17</v>
      </c>
    </row>
    <row r="7" spans="2:20" ht="15.75" thickBot="1">
      <c r="B7" s="2" t="s">
        <v>1</v>
      </c>
      <c r="C7" s="3">
        <f>-C5/C2</f>
        <v>-1</v>
      </c>
      <c r="D7" s="2" t="s">
        <v>39</v>
      </c>
    </row>
    <row r="8" spans="2:20" ht="15.75" thickBot="1">
      <c r="B8" s="2" t="s">
        <v>51</v>
      </c>
      <c r="C8" s="4">
        <v>1</v>
      </c>
      <c r="D8" s="2" t="s">
        <v>52</v>
      </c>
    </row>
    <row r="9" spans="2:20" ht="15.75" thickBot="1">
      <c r="G9" s="6" t="s">
        <v>57</v>
      </c>
    </row>
    <row r="10" spans="2:20" ht="15.75" thickBot="1">
      <c r="E10" s="6" t="s">
        <v>30</v>
      </c>
      <c r="G10" s="6" t="s">
        <v>48</v>
      </c>
      <c r="H10" s="4">
        <v>5.7</v>
      </c>
      <c r="I10" s="2" t="s">
        <v>17</v>
      </c>
    </row>
    <row r="11" spans="2:20" ht="15.75" thickBot="1">
      <c r="B11" s="7" t="s">
        <v>6</v>
      </c>
      <c r="C11" s="7" t="s">
        <v>50</v>
      </c>
      <c r="D11" s="7" t="s">
        <v>3</v>
      </c>
      <c r="E11" s="7" t="s">
        <v>3</v>
      </c>
      <c r="G11" s="6" t="s">
        <v>50</v>
      </c>
      <c r="H11" s="4">
        <v>7.8</v>
      </c>
      <c r="I11" s="2" t="s">
        <v>17</v>
      </c>
    </row>
    <row r="12" spans="2:20">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20">
      <c r="B13" s="2">
        <v>0.1</v>
      </c>
      <c r="C13" s="2">
        <f t="shared" si="0"/>
        <v>9.9833416646828155E-2</v>
      </c>
      <c r="D13" s="2">
        <f t="shared" si="1"/>
        <v>0.90016658335317179</v>
      </c>
      <c r="E13" s="2">
        <f t="shared" si="2"/>
        <v>0.90016658335317179</v>
      </c>
    </row>
    <row r="14" spans="2:20">
      <c r="B14" s="2">
        <v>0.2</v>
      </c>
      <c r="C14" s="2">
        <f t="shared" si="0"/>
        <v>0.19866933079506122</v>
      </c>
      <c r="D14" s="2">
        <f t="shared" si="1"/>
        <v>0.80133066920493878</v>
      </c>
      <c r="E14" s="2">
        <f t="shared" si="2"/>
        <v>0.80133066920493878</v>
      </c>
    </row>
    <row r="15" spans="2:20">
      <c r="B15" s="2">
        <v>1.2</v>
      </c>
      <c r="C15" s="2">
        <f t="shared" si="0"/>
        <v>0.93203908596722629</v>
      </c>
      <c r="D15" s="2">
        <f t="shared" si="1"/>
        <v>6.7960914032773712E-2</v>
      </c>
      <c r="E15" s="2">
        <f t="shared" si="2"/>
        <v>6.7960914032773712E-2</v>
      </c>
    </row>
    <row r="16" spans="2:20">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6" spans="2:9" ht="15.75" thickBot="1">
      <c r="B6" s="2" t="s">
        <v>1</v>
      </c>
      <c r="C6" s="3">
        <f>-C4/C2</f>
        <v>-3</v>
      </c>
      <c r="D6" s="2" t="s">
        <v>39</v>
      </c>
    </row>
    <row r="7" spans="2:9" ht="15.75" thickBot="1">
      <c r="B7" s="2" t="s">
        <v>62</v>
      </c>
      <c r="C7" s="4">
        <v>1</v>
      </c>
      <c r="D7"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237</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Normal="100" workbookViewId="0">
      <selection activeCell="C2" sqref="C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109</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Normal="100"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205</v>
      </c>
    </row>
    <row r="2" spans="2:9" ht="15.75" thickBot="1">
      <c r="B2" s="2" t="s">
        <v>200</v>
      </c>
      <c r="C2" s="4">
        <v>2</v>
      </c>
      <c r="D2" s="2" t="s">
        <v>204</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209</v>
      </c>
    </row>
    <row r="2" spans="2:9" ht="15.75" thickBot="1">
      <c r="B2" s="2" t="s">
        <v>200</v>
      </c>
      <c r="C2" s="4">
        <v>10</v>
      </c>
      <c r="D2" s="2" t="s">
        <v>204</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2" sqref="B2"/>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234</v>
      </c>
    </row>
    <row r="2" spans="2:9" ht="15.75" thickBot="1">
      <c r="B2" s="2" t="s">
        <v>12</v>
      </c>
      <c r="C2" s="4">
        <v>5</v>
      </c>
      <c r="D2" s="2" t="s">
        <v>16</v>
      </c>
      <c r="G2" s="6" t="s">
        <v>36</v>
      </c>
    </row>
    <row r="3" spans="2:9" ht="15.75" thickBot="1">
      <c r="B3" s="2" t="s">
        <v>13</v>
      </c>
      <c r="C3" s="4">
        <v>1</v>
      </c>
      <c r="D3" s="2" t="s">
        <v>16</v>
      </c>
      <c r="G3" s="2" t="s">
        <v>9</v>
      </c>
      <c r="H3" s="4">
        <v>5</v>
      </c>
      <c r="I3" s="2" t="s">
        <v>18</v>
      </c>
    </row>
    <row r="4" spans="2:9" ht="15.75" thickBot="1">
      <c r="B4" s="2" t="s">
        <v>0</v>
      </c>
      <c r="C4" s="3">
        <v>0</v>
      </c>
      <c r="D4" s="2" t="s">
        <v>17</v>
      </c>
      <c r="G4" s="2" t="s">
        <v>10</v>
      </c>
      <c r="H4" s="5">
        <v>0</v>
      </c>
      <c r="I4" s="2" t="s">
        <v>19</v>
      </c>
    </row>
    <row r="5" spans="2:9" ht="15.75" thickBot="1">
      <c r="B5" s="2" t="s">
        <v>1</v>
      </c>
      <c r="C5" s="3">
        <f>C3/(C2+C3)</f>
        <v>0.16666666666666666</v>
      </c>
      <c r="D5" s="2" t="s">
        <v>39</v>
      </c>
      <c r="G5" s="2" t="s">
        <v>31</v>
      </c>
      <c r="H5" s="4">
        <v>1.3</v>
      </c>
      <c r="I5" s="2" t="s">
        <v>32</v>
      </c>
    </row>
    <row r="6" spans="2:9" ht="15.75" thickBot="1">
      <c r="B6" s="2" t="s">
        <v>25</v>
      </c>
      <c r="C6" s="4">
        <v>12</v>
      </c>
      <c r="D6"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239</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219</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219</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105</v>
      </c>
    </row>
    <row r="12" spans="2:26" ht="15.75" thickBot="1">
      <c r="B12" s="2" t="s">
        <v>81</v>
      </c>
      <c r="C12" s="3">
        <f>1/(2*PI()*(C3*1000)*(C4*0.000001))</f>
        <v>1591.5494309189537</v>
      </c>
      <c r="D12" s="2" t="s">
        <v>80</v>
      </c>
      <c r="H12" s="17" t="s">
        <v>106</v>
      </c>
      <c r="I12" s="3">
        <f>1000*(C3*1000)*(C4*0.000001)</f>
        <v>9.9999999999999992E-2</v>
      </c>
      <c r="J12" s="2" t="s">
        <v>107</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A7" zoomScale="96" zoomScaleNormal="96" workbookViewId="0">
      <selection activeCell="W21" sqref="W21"/>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98</v>
      </c>
    </row>
    <row r="2" spans="2:28" ht="15.75" thickBot="1">
      <c r="B2" s="2" t="s">
        <v>239</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105</v>
      </c>
    </row>
    <row r="12" spans="2:28" ht="15.7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Normal="100"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176</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105</v>
      </c>
    </row>
    <row r="13" spans="2:29" ht="15.7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7.25" thickBot="1">
      <c r="B1" s="1" t="s">
        <v>100</v>
      </c>
    </row>
    <row r="2" spans="2:27" ht="15.75" thickBot="1">
      <c r="B2" s="2" t="s">
        <v>12</v>
      </c>
      <c r="C2" s="4">
        <v>1</v>
      </c>
      <c r="D2" s="2" t="s">
        <v>16</v>
      </c>
      <c r="H2" s="6" t="s">
        <v>36</v>
      </c>
      <c r="AA2"/>
    </row>
    <row r="3" spans="2:27" ht="15.75" thickBot="1">
      <c r="B3" s="2" t="s">
        <v>82</v>
      </c>
      <c r="C3" s="4">
        <v>0.1</v>
      </c>
      <c r="D3" s="2" t="s">
        <v>83</v>
      </c>
      <c r="H3" s="2" t="s">
        <v>9</v>
      </c>
      <c r="I3" s="4">
        <v>5</v>
      </c>
      <c r="J3" s="2" t="s">
        <v>18</v>
      </c>
    </row>
    <row r="4" spans="2:27" ht="15.75" thickBot="1">
      <c r="B4" s="2" t="s">
        <v>99</v>
      </c>
      <c r="C4" s="4">
        <v>1</v>
      </c>
      <c r="D4" s="2" t="s">
        <v>16</v>
      </c>
      <c r="H4" s="2" t="s">
        <v>10</v>
      </c>
      <c r="I4" s="5">
        <v>-5</v>
      </c>
      <c r="J4" s="2" t="s">
        <v>19</v>
      </c>
    </row>
    <row r="5" spans="2:27" ht="15.75" thickBot="1">
      <c r="B5" s="2" t="s">
        <v>0</v>
      </c>
      <c r="C5" s="3">
        <v>0</v>
      </c>
      <c r="D5" s="2" t="s">
        <v>17</v>
      </c>
      <c r="H5" s="2" t="s">
        <v>31</v>
      </c>
      <c r="I5" s="4">
        <v>1.2</v>
      </c>
      <c r="J5" s="2" t="s">
        <v>32</v>
      </c>
    </row>
    <row r="6" spans="2:27">
      <c r="B6" s="2" t="s">
        <v>1</v>
      </c>
      <c r="C6" s="3">
        <f>-C4/C2</f>
        <v>-1</v>
      </c>
      <c r="D6" s="2" t="s">
        <v>39</v>
      </c>
    </row>
    <row r="7" spans="2:27" ht="15.75" thickBot="1">
      <c r="B7" s="2" t="s">
        <v>97</v>
      </c>
      <c r="C7" s="3">
        <f>1/(2*PI()*C9*C3*0.000001)</f>
        <v>999.99999999999977</v>
      </c>
      <c r="D7" s="2" t="s">
        <v>219</v>
      </c>
      <c r="H7" s="6" t="s">
        <v>33</v>
      </c>
    </row>
    <row r="8" spans="2:27" ht="15.75" thickBot="1">
      <c r="B8" s="2" t="s">
        <v>25</v>
      </c>
      <c r="C8" s="4">
        <v>1</v>
      </c>
      <c r="D8" s="2" t="s">
        <v>38</v>
      </c>
      <c r="H8" s="6"/>
    </row>
    <row r="9" spans="2:27" ht="15.7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75" thickBot="1">
      <c r="B11" s="2" t="s">
        <v>81</v>
      </c>
      <c r="C11" s="3">
        <f>1/(2*PI()*(C2*1000)*(C3*0.000001))</f>
        <v>1591.5494309189537</v>
      </c>
      <c r="D11" s="2" t="s">
        <v>80</v>
      </c>
    </row>
    <row r="12" spans="2:27" ht="15.7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 t="shared" ref="C17:C42" si="0">$C$8*SIN($B17*$C$9*2*PI())</f>
        <v>0</v>
      </c>
      <c r="D17" s="2">
        <f t="shared" ref="D17:D42" si="1">C17*$C$6*($C$9/$C$11)/SQRT(1+($C$9/$C$11)^2)</f>
        <v>0</v>
      </c>
      <c r="E17" s="2">
        <f t="shared" ref="E17:E42" si="2">IF(D17&gt;($I$3-$I$5),($I$3-$I$5),IF(D17&lt;($I$4+$I$5),($I$4+$I$5),D17))</f>
        <v>0</v>
      </c>
      <c r="F17" s="30">
        <f t="shared" ref="F17:F42" si="3">-C17*($C$4*1000)/SQRT(($C$2*1000)^2+$C$7^2)</f>
        <v>0</v>
      </c>
      <c r="G17" s="30"/>
    </row>
    <row r="18" spans="2:7">
      <c r="B18" s="2">
        <f t="shared" ref="B18:B42" si="4">B17+$C$13</f>
        <v>1.0053096491487336E-4</v>
      </c>
      <c r="C18" s="2">
        <f t="shared" si="0"/>
        <v>0.84432792550201508</v>
      </c>
      <c r="D18" s="2">
        <f t="shared" si="1"/>
        <v>-0.59703000166764497</v>
      </c>
      <c r="E18" s="2">
        <f t="shared" si="2"/>
        <v>-0.59703000166764497</v>
      </c>
      <c r="F18" s="30">
        <f t="shared" si="3"/>
        <v>-0.59703000166764508</v>
      </c>
      <c r="G18" s="30"/>
    </row>
    <row r="19" spans="2:7">
      <c r="B19" s="2">
        <f t="shared" si="4"/>
        <v>2.0106192982974672E-4</v>
      </c>
      <c r="C19" s="2">
        <f t="shared" si="0"/>
        <v>0.90482705246601947</v>
      </c>
      <c r="D19" s="2">
        <f t="shared" si="1"/>
        <v>-0.63980934459975836</v>
      </c>
      <c r="E19" s="2">
        <f t="shared" si="2"/>
        <v>-0.63980934459975836</v>
      </c>
      <c r="F19" s="30">
        <f t="shared" si="3"/>
        <v>-0.63980934459975847</v>
      </c>
      <c r="G19" s="30"/>
    </row>
    <row r="20" spans="2:7">
      <c r="B20" s="2">
        <f t="shared" si="4"/>
        <v>3.0159289474462008E-4</v>
      </c>
      <c r="C20" s="2">
        <f t="shared" si="0"/>
        <v>0.12533323356430454</v>
      </c>
      <c r="D20" s="2">
        <f t="shared" si="1"/>
        <v>-8.862397936135713E-2</v>
      </c>
      <c r="E20" s="2">
        <f t="shared" si="2"/>
        <v>-8.862397936135713E-2</v>
      </c>
      <c r="F20" s="30">
        <f t="shared" si="3"/>
        <v>-8.8623979361357158E-2</v>
      </c>
      <c r="G20" s="30"/>
    </row>
    <row r="21" spans="2:7">
      <c r="B21" s="2">
        <f t="shared" si="4"/>
        <v>4.0212385965949344E-4</v>
      </c>
      <c r="C21" s="2">
        <f t="shared" si="0"/>
        <v>-0.77051324277578936</v>
      </c>
      <c r="D21" s="2">
        <f t="shared" si="1"/>
        <v>0.54483513896079727</v>
      </c>
      <c r="E21" s="2">
        <f t="shared" si="2"/>
        <v>0.54483513896079727</v>
      </c>
      <c r="F21" s="30">
        <f t="shared" si="3"/>
        <v>0.54483513896079727</v>
      </c>
      <c r="G21" s="30"/>
    </row>
    <row r="22" spans="2:7">
      <c r="B22" s="2">
        <f t="shared" si="4"/>
        <v>5.0265482457436685E-4</v>
      </c>
      <c r="C22" s="2">
        <f t="shared" si="0"/>
        <v>-0.95105651629515364</v>
      </c>
      <c r="D22" s="2">
        <f t="shared" si="1"/>
        <v>0.67249851196395738</v>
      </c>
      <c r="E22" s="2">
        <f t="shared" si="2"/>
        <v>0.67249851196395738</v>
      </c>
      <c r="F22" s="30">
        <f t="shared" si="3"/>
        <v>0.67249851196395749</v>
      </c>
      <c r="G22" s="30"/>
    </row>
    <row r="23" spans="2:7">
      <c r="B23" s="2">
        <f t="shared" si="4"/>
        <v>6.0318578948924026E-4</v>
      </c>
      <c r="C23" s="2">
        <f t="shared" si="0"/>
        <v>-0.24868988716485363</v>
      </c>
      <c r="D23" s="2">
        <f t="shared" si="1"/>
        <v>0.17585030562678533</v>
      </c>
      <c r="E23" s="2">
        <f t="shared" si="2"/>
        <v>0.17585030562678533</v>
      </c>
      <c r="F23" s="30">
        <f t="shared" si="3"/>
        <v>0.17585030562678536</v>
      </c>
      <c r="G23" s="30"/>
    </row>
    <row r="24" spans="2:7">
      <c r="B24" s="2">
        <f t="shared" si="4"/>
        <v>7.0371675440411368E-4</v>
      </c>
      <c r="C24" s="2">
        <f t="shared" si="0"/>
        <v>0.68454710592868995</v>
      </c>
      <c r="D24" s="2">
        <f t="shared" si="1"/>
        <v>-0.48404790064380249</v>
      </c>
      <c r="E24" s="2">
        <f t="shared" si="2"/>
        <v>-0.48404790064380249</v>
      </c>
      <c r="F24" s="30">
        <f t="shared" si="3"/>
        <v>-0.4840479006438026</v>
      </c>
      <c r="G24" s="30"/>
    </row>
    <row r="25" spans="2:7">
      <c r="B25" s="2">
        <f t="shared" si="4"/>
        <v>8.0424771931898709E-4</v>
      </c>
      <c r="C25" s="2">
        <f t="shared" si="0"/>
        <v>0.98228725072868861</v>
      </c>
      <c r="D25" s="2">
        <f t="shared" si="1"/>
        <v>-0.69458197606334615</v>
      </c>
      <c r="E25" s="2">
        <f t="shared" si="2"/>
        <v>-0.69458197606334615</v>
      </c>
      <c r="F25" s="30">
        <f t="shared" si="3"/>
        <v>-0.69458197606334626</v>
      </c>
      <c r="G25" s="30"/>
    </row>
    <row r="26" spans="2:7">
      <c r="B26" s="2">
        <f t="shared" si="4"/>
        <v>9.0477868423386051E-4</v>
      </c>
      <c r="C26" s="2">
        <f t="shared" si="0"/>
        <v>0.36812455268467631</v>
      </c>
      <c r="D26" s="2">
        <f t="shared" si="1"/>
        <v>-0.26030336752459909</v>
      </c>
      <c r="E26" s="2">
        <f t="shared" si="2"/>
        <v>-0.26030336752459909</v>
      </c>
      <c r="F26" s="30">
        <f t="shared" si="3"/>
        <v>-0.26030336752459915</v>
      </c>
      <c r="G26" s="30"/>
    </row>
    <row r="27" spans="2:7">
      <c r="B27" s="2">
        <f t="shared" si="4"/>
        <v>1.0053096491487339E-3</v>
      </c>
      <c r="C27" s="2">
        <f t="shared" si="0"/>
        <v>-0.58778525229247569</v>
      </c>
      <c r="D27" s="2">
        <f t="shared" si="1"/>
        <v>0.41562693777745519</v>
      </c>
      <c r="E27" s="2">
        <f t="shared" si="2"/>
        <v>0.41562693777745519</v>
      </c>
      <c r="F27" s="30">
        <f t="shared" si="3"/>
        <v>0.4156269377774553</v>
      </c>
      <c r="G27" s="30"/>
    </row>
    <row r="28" spans="2:7">
      <c r="B28" s="2">
        <f t="shared" si="4"/>
        <v>1.1058406140636073E-3</v>
      </c>
      <c r="C28" s="2">
        <f t="shared" si="0"/>
        <v>-0.99802672842827134</v>
      </c>
      <c r="D28" s="2">
        <f t="shared" si="1"/>
        <v>0.70571146747705549</v>
      </c>
      <c r="E28" s="2">
        <f t="shared" si="2"/>
        <v>0.70571146747705549</v>
      </c>
      <c r="F28" s="30">
        <f t="shared" si="3"/>
        <v>0.7057114674770556</v>
      </c>
      <c r="G28" s="30"/>
    </row>
    <row r="29" spans="2:7">
      <c r="B29" s="2">
        <f t="shared" si="4"/>
        <v>1.2063715789784807E-3</v>
      </c>
      <c r="C29" s="2">
        <f t="shared" si="0"/>
        <v>-0.48175367410171166</v>
      </c>
      <c r="D29" s="2">
        <f t="shared" si="1"/>
        <v>0.34065128981885434</v>
      </c>
      <c r="E29" s="2">
        <f t="shared" si="2"/>
        <v>0.34065128981885434</v>
      </c>
      <c r="F29" s="30">
        <f t="shared" si="3"/>
        <v>0.3406512898188544</v>
      </c>
      <c r="G29" s="30"/>
    </row>
    <row r="30" spans="2:7">
      <c r="B30" s="2">
        <f t="shared" si="4"/>
        <v>1.3069025438933542E-3</v>
      </c>
      <c r="C30" s="2">
        <f t="shared" si="0"/>
        <v>0.48175367410171699</v>
      </c>
      <c r="D30" s="2">
        <f t="shared" si="1"/>
        <v>-0.34065128981885812</v>
      </c>
      <c r="E30" s="2">
        <f t="shared" si="2"/>
        <v>-0.34065128981885812</v>
      </c>
      <c r="F30" s="30">
        <f t="shared" si="3"/>
        <v>-0.34065128981885817</v>
      </c>
      <c r="G30" s="30"/>
    </row>
    <row r="31" spans="2:7">
      <c r="B31" s="2">
        <f t="shared" si="4"/>
        <v>1.4074335088082276E-3</v>
      </c>
      <c r="C31" s="2">
        <f t="shared" si="0"/>
        <v>0.99802672842827178</v>
      </c>
      <c r="D31" s="2">
        <f t="shared" si="1"/>
        <v>-0.70571146747705582</v>
      </c>
      <c r="E31" s="2">
        <f t="shared" si="2"/>
        <v>-0.70571146747705582</v>
      </c>
      <c r="F31" s="30">
        <f t="shared" si="3"/>
        <v>-0.70571146747705593</v>
      </c>
      <c r="G31" s="30"/>
    </row>
    <row r="32" spans="2:7">
      <c r="B32" s="2">
        <f t="shared" si="4"/>
        <v>1.507964473723101E-3</v>
      </c>
      <c r="C32" s="2">
        <f t="shared" si="0"/>
        <v>0.58778525229246925</v>
      </c>
      <c r="D32" s="2">
        <f t="shared" si="1"/>
        <v>-0.41562693777745063</v>
      </c>
      <c r="E32" s="2">
        <f t="shared" si="2"/>
        <v>-0.41562693777745063</v>
      </c>
      <c r="F32" s="30">
        <f t="shared" si="3"/>
        <v>-0.41562693777745074</v>
      </c>
      <c r="G32" s="30"/>
    </row>
    <row r="33" spans="2:11">
      <c r="B33" s="2">
        <f t="shared" si="4"/>
        <v>1.6084954386379744E-3</v>
      </c>
      <c r="C33" s="2">
        <f t="shared" si="0"/>
        <v>-0.36812455268468203</v>
      </c>
      <c r="D33" s="2">
        <f t="shared" si="1"/>
        <v>0.26030336752460315</v>
      </c>
      <c r="E33" s="2">
        <f t="shared" si="2"/>
        <v>0.26030336752460315</v>
      </c>
      <c r="F33" s="30">
        <f t="shared" si="3"/>
        <v>0.2603033675246032</v>
      </c>
      <c r="G33" s="30"/>
    </row>
    <row r="34" spans="2:11">
      <c r="B34" s="2">
        <f t="shared" si="4"/>
        <v>1.7090264035528478E-3</v>
      </c>
      <c r="C34" s="2">
        <f t="shared" si="0"/>
        <v>-0.98228725072868972</v>
      </c>
      <c r="D34" s="2">
        <f t="shared" si="1"/>
        <v>0.69458197606334693</v>
      </c>
      <c r="E34" s="2">
        <f t="shared" si="2"/>
        <v>0.69458197606334693</v>
      </c>
      <c r="F34" s="30">
        <f t="shared" si="3"/>
        <v>0.69458197606334704</v>
      </c>
      <c r="G34" s="30"/>
    </row>
    <row r="35" spans="2:11">
      <c r="B35" s="2">
        <f t="shared" si="4"/>
        <v>1.8095573684677212E-3</v>
      </c>
      <c r="C35" s="2">
        <f t="shared" si="0"/>
        <v>-0.68454710592868351</v>
      </c>
      <c r="D35" s="2">
        <f t="shared" si="1"/>
        <v>0.48404790064379793</v>
      </c>
      <c r="E35" s="2">
        <f t="shared" si="2"/>
        <v>0.48404790064379793</v>
      </c>
      <c r="F35" s="30">
        <f t="shared" si="3"/>
        <v>0.48404790064379805</v>
      </c>
      <c r="G35" s="30"/>
    </row>
    <row r="36" spans="2:11">
      <c r="B36" s="2">
        <f t="shared" si="4"/>
        <v>1.9100883333825946E-3</v>
      </c>
      <c r="C36" s="2">
        <f t="shared" si="0"/>
        <v>0.24868988716486301</v>
      </c>
      <c r="D36" s="2">
        <f t="shared" si="1"/>
        <v>-0.17585030562679196</v>
      </c>
      <c r="E36" s="2">
        <f t="shared" si="2"/>
        <v>-0.17585030562679196</v>
      </c>
      <c r="F36" s="30">
        <f t="shared" si="3"/>
        <v>-0.17585030562679202</v>
      </c>
      <c r="G36" s="30"/>
      <c r="H36" s="6" t="s">
        <v>65</v>
      </c>
    </row>
    <row r="37" spans="2:11">
      <c r="B37" s="2">
        <f t="shared" si="4"/>
        <v>2.0106192982974678E-3</v>
      </c>
      <c r="C37" s="2">
        <f t="shared" si="0"/>
        <v>0.95105651629515553</v>
      </c>
      <c r="D37" s="2">
        <f t="shared" si="1"/>
        <v>-0.67249851196395871</v>
      </c>
      <c r="E37" s="2">
        <f t="shared" si="2"/>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30">
        <f t="shared" si="3"/>
        <v>0.63980934459976058</v>
      </c>
      <c r="G40" s="30"/>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30">
        <f t="shared" si="3"/>
        <v>0.59703000166764197</v>
      </c>
      <c r="G41" s="30"/>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30">
        <f t="shared" si="3"/>
        <v>-6.8433951773412358E-15</v>
      </c>
      <c r="G42" s="30"/>
      <c r="H42" s="12" t="s">
        <v>103</v>
      </c>
      <c r="I42" s="12">
        <f>ROUND(C9,0)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Vhalf</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Vhalf</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2025-03-18T16:10:37Z</dcterms:modified>
</cp:coreProperties>
</file>