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dubi\Downloads\"/>
    </mc:Choice>
  </mc:AlternateContent>
  <xr:revisionPtr revIDLastSave="0" documentId="13_ncr:1_{2F9BC8FD-B3C6-4240-A217-0F1A421947E9}" xr6:coauthVersionLast="47" xr6:coauthVersionMax="47" xr10:uidLastSave="{00000000-0000-0000-0000-000000000000}"/>
  <bookViews>
    <workbookView xWindow="3885" yWindow="2655" windowWidth="21600" windowHeight="11295" tabRatio="500" xr2:uid="{00000000-000D-0000-FFFF-FFFF00000000}"/>
  </bookViews>
  <sheets>
    <sheet name="NPNsaturated" sheetId="1" r:id="rId1"/>
    <sheet name="PNPsaturated" sheetId="2" r:id="rId2"/>
    <sheet name="NPNactive" sheetId="3" r:id="rId3"/>
    <sheet name="Biasing NPN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4" l="1"/>
  <c r="C7" i="4"/>
  <c r="C12" i="4"/>
  <c r="C15" i="4"/>
  <c r="C16" i="4"/>
  <c r="C17" i="4"/>
  <c r="C18" i="4"/>
  <c r="B20" i="4"/>
  <c r="C22" i="4"/>
  <c r="C23" i="4"/>
  <c r="B24" i="4"/>
  <c r="B37" i="1"/>
  <c r="C27" i="1"/>
  <c r="C31" i="1"/>
  <c r="C23" i="3"/>
  <c r="C24" i="3"/>
  <c r="C45" i="3"/>
  <c r="C46" i="3"/>
  <c r="C47" i="3"/>
  <c r="C25" i="3"/>
  <c r="C26" i="3"/>
  <c r="C27" i="3"/>
  <c r="C28" i="3"/>
  <c r="C33" i="3"/>
  <c r="C35" i="3"/>
  <c r="C32" i="3"/>
  <c r="C34" i="3"/>
  <c r="C36" i="3"/>
  <c r="C40" i="3"/>
  <c r="C29" i="3"/>
  <c r="C37" i="3"/>
  <c r="C23" i="2"/>
  <c r="C30" i="2"/>
  <c r="C28" i="2"/>
  <c r="C27" i="2"/>
  <c r="C25" i="2"/>
  <c r="C26" i="2"/>
  <c r="C28" i="1"/>
  <c r="C29" i="1"/>
  <c r="C32" i="1"/>
  <c r="C34" i="1"/>
  <c r="C33" i="1"/>
  <c r="C41" i="1"/>
  <c r="C42" i="1"/>
  <c r="C43" i="1"/>
  <c r="C30" i="1"/>
</calcChain>
</file>

<file path=xl/sharedStrings.xml><?xml version="1.0" encoding="utf-8"?>
<sst xmlns="http://schemas.openxmlformats.org/spreadsheetml/2006/main" count="193" uniqueCount="119">
  <si>
    <t>V</t>
  </si>
  <si>
    <t>mA</t>
  </si>
  <si>
    <t>Vcc</t>
  </si>
  <si>
    <t>K</t>
  </si>
  <si>
    <t>Ie</t>
  </si>
  <si>
    <t>Ib</t>
  </si>
  <si>
    <t>Ic</t>
  </si>
  <si>
    <t>Figure out your collector current. Base current is 1/10th that:</t>
  </si>
  <si>
    <t>Ic (above)</t>
  </si>
  <si>
    <t>V=IR --&gt; R = V/I</t>
  </si>
  <si>
    <t>R2 should be:</t>
  </si>
  <si>
    <t>Collector Current</t>
  </si>
  <si>
    <t>hFEmin</t>
  </si>
  <si>
    <t>Vp</t>
  </si>
  <si>
    <t>Vbe</t>
  </si>
  <si>
    <t>Rb</t>
  </si>
  <si>
    <t>http://www.daycounter.com/Calculators/Transistor-Switch-Saturation-Calculator.phtml</t>
  </si>
  <si>
    <t>Ie = Ib+Ic = (hFE+1)*Ib</t>
  </si>
  <si>
    <t>Collector Side Voltage</t>
  </si>
  <si>
    <t>(from 2n2222 datasheet, use a value of 10 if unsure)</t>
  </si>
  <si>
    <t>switch off</t>
  </si>
  <si>
    <t>switch on</t>
  </si>
  <si>
    <t>Ib=Ic/10 (conservative, most NPNs should be saturated at 10% collector current)</t>
  </si>
  <si>
    <t>Based on min beta or min hFE:</t>
  </si>
  <si>
    <t>Vb</t>
  </si>
  <si>
    <t>Ve</t>
  </si>
  <si>
    <t>RL</t>
  </si>
  <si>
    <t>Vc</t>
  </si>
  <si>
    <t>Vc = Vcc - Ic*Rc</t>
  </si>
  <si>
    <t>Vb = Ib*Rb = Vp - Vbe</t>
  </si>
  <si>
    <t>(Base to emitter drop, this number is standard)</t>
  </si>
  <si>
    <t>Rb=(Vp-Vbe)/Ib --&gt; (Value to use for Base Resistor)</t>
  </si>
  <si>
    <t>Base-side supplied voltage</t>
  </si>
  <si>
    <t>Pc</t>
  </si>
  <si>
    <t>Power on resisive load (collector side)</t>
  </si>
  <si>
    <t>W</t>
  </si>
  <si>
    <t>You ground the base to turn on the transistor.</t>
  </si>
  <si>
    <t>http://www.falstad.com/circuit/e-pnp.html</t>
  </si>
  <si>
    <t>Simulation:</t>
  </si>
  <si>
    <t>Easy way: (approximate)</t>
  </si>
  <si>
    <t>Rbase</t>
  </si>
  <si>
    <t>(conservative, use actual value on datasheet for larger resistor)</t>
  </si>
  <si>
    <t>4.3V to turn off, 0V to turn on.</t>
  </si>
  <si>
    <t>You plan this resistance (depends on resistance of load)</t>
  </si>
  <si>
    <t>Desired Collector Current. Do not exceed max of transistor (600mA)</t>
  </si>
  <si>
    <t>hFE</t>
  </si>
  <si>
    <t>Start with your planned current</t>
  </si>
  <si>
    <t>Vb_thresh</t>
  </si>
  <si>
    <t>Ib = Ic/hFE, or Ib=Ic/10</t>
  </si>
  <si>
    <t>http://www.electronics-tutorials.ws/transistor/tran_4.html</t>
  </si>
  <si>
    <t>Collector Resistor, or total load resistance</t>
  </si>
  <si>
    <t>Base Current Ib = Ic/hFEmin</t>
  </si>
  <si>
    <t>(Ic = hFE*Ib)</t>
  </si>
  <si>
    <t>Ib = Is* (exp(Vbe/Vth)-1)</t>
  </si>
  <si>
    <t>Is: constant, Vth: constant</t>
  </si>
  <si>
    <t>Kirchhoff's Current Law</t>
  </si>
  <si>
    <t>Ie is approx equal to Ic</t>
  </si>
  <si>
    <t>Ve = Vb - Vbe</t>
  </si>
  <si>
    <t>Iq (=Ic)</t>
  </si>
  <si>
    <t>Base current (&lt;10%Ic) Ib = Ic/hFe</t>
  </si>
  <si>
    <t>DC gain constant of the transistor (on datasheet, ususally around 100)</t>
  </si>
  <si>
    <t>hFe (also called β)</t>
  </si>
  <si>
    <t>RL(=Rc)</t>
  </si>
  <si>
    <t>kΩ</t>
  </si>
  <si>
    <t>Collector resistor</t>
  </si>
  <si>
    <t>Re</t>
  </si>
  <si>
    <t>Emitter resistor</t>
  </si>
  <si>
    <t>We set the quiescent voltage to be 0.5*Vcc by design:</t>
  </si>
  <si>
    <t>Quiescent Collector Current (=Vc/RL)</t>
  </si>
  <si>
    <t>Ib + Ic = Ie</t>
  </si>
  <si>
    <t>Ve = Ie*Re</t>
  </si>
  <si>
    <t>Usually 0.6 or 0.7V used here.</t>
  </si>
  <si>
    <t>Vb = Ve + Vbe</t>
  </si>
  <si>
    <t>R1</t>
  </si>
  <si>
    <t>Voltage divider eq:</t>
  </si>
  <si>
    <t>I1 - I2 - Ib = 0 (KCL)</t>
  </si>
  <si>
    <t>I1</t>
  </si>
  <si>
    <t>R1+R2</t>
  </si>
  <si>
    <t>R2</t>
  </si>
  <si>
    <t>I2</t>
  </si>
  <si>
    <t>Using the 10% rule for the voltage divider equation:</t>
  </si>
  <si>
    <t>R1 - (Vcc-Vb)/I1</t>
  </si>
  <si>
    <t>R2 = Vb/I2</t>
  </si>
  <si>
    <t>Vb = Vcc*R2/(R1+R2) --&gt; Vb/Vcc</t>
  </si>
  <si>
    <t>I2=10*Ib (10% rule)</t>
  </si>
  <si>
    <t>I0*Ib + Ib = I1 = 11*Ib</t>
  </si>
  <si>
    <t>R2/(R1+R2)</t>
  </si>
  <si>
    <t>Find a potentiometer close to this.</t>
  </si>
  <si>
    <t>This should be close to Vb:</t>
  </si>
  <si>
    <t>1/10 current method to determine base resistor for saturation:</t>
  </si>
  <si>
    <t>Current through the load at saturation Ic = Vp/RL</t>
  </si>
  <si>
    <t>1/10 current method: (This assumes an hFE of 10 - extremely conservative)</t>
  </si>
  <si>
    <t xml:space="preserve">Vp off: </t>
  </si>
  <si>
    <t>Power across resistor 2</t>
  </si>
  <si>
    <t>P(R2):</t>
  </si>
  <si>
    <t>Power across resistor 1</t>
  </si>
  <si>
    <t>P(R1):</t>
  </si>
  <si>
    <t>mA     Current Divider Eq: I1=Iin*(R2/(R1/R2))</t>
  </si>
  <si>
    <t>Ibleed</t>
  </si>
  <si>
    <t>Itotal</t>
  </si>
  <si>
    <t>Rtotal</t>
  </si>
  <si>
    <t>Rload</t>
  </si>
  <si>
    <t>Then Itot = Ibleed + Ibase</t>
  </si>
  <si>
    <t>Select R2 so that Iout = base current of transistor (Ibase = Icollector/beta)</t>
  </si>
  <si>
    <t>Required Output Current. I=P/V</t>
  </si>
  <si>
    <t>mA TARGET</t>
  </si>
  <si>
    <t>Ibase</t>
  </si>
  <si>
    <t>beta</t>
  </si>
  <si>
    <t xml:space="preserve">mA </t>
  </si>
  <si>
    <t>Icollector</t>
  </si>
  <si>
    <t>Supply Voltage</t>
  </si>
  <si>
    <t>Vin</t>
  </si>
  <si>
    <t>Desired Load Current</t>
  </si>
  <si>
    <t>Biasing a Transistor with a Voltage Divider - Simplification</t>
  </si>
  <si>
    <t>Vload</t>
  </si>
  <si>
    <t>Iload</t>
  </si>
  <si>
    <t>NPN Transistor Equations: Saturation Region</t>
  </si>
  <si>
    <t>NPN Transistor Equations: Active Region</t>
  </si>
  <si>
    <t>PNP Transistor Equations: Saturation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</si>
</sst>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333333"/>
      <name val="Arial"/>
      <family val="2"/>
    </font>
    <font>
      <sz val="12"/>
      <color theme="1"/>
      <name val="Helvetica"/>
      <family val="2"/>
    </font>
    <font>
      <b/>
      <sz val="12"/>
      <color rgb="FFFF0000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9" fillId="2" borderId="0" xfId="0" applyFont="1" applyFill="1"/>
    <xf numFmtId="0" fontId="7" fillId="2" borderId="1" xfId="0" applyFont="1" applyFill="1" applyBorder="1"/>
    <xf numFmtId="0" fontId="10" fillId="2" borderId="0" xfId="0" applyFont="1" applyFill="1"/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8" fillId="2" borderId="0" xfId="0" applyFont="1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3" fillId="2" borderId="0" xfId="11" applyFill="1"/>
    <xf numFmtId="0" fontId="5" fillId="2" borderId="0" xfId="0" applyFont="1" applyFill="1"/>
    <xf numFmtId="0" fontId="6" fillId="2" borderId="0" xfId="0" applyFont="1" applyFill="1"/>
    <xf numFmtId="0" fontId="7" fillId="2" borderId="2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7" fillId="2" borderId="0" xfId="0" applyFont="1" applyFill="1"/>
    <xf numFmtId="0" fontId="11" fillId="2" borderId="0" xfId="0" applyFont="1" applyFill="1"/>
  </cellXfs>
  <cellStyles count="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2</xdr:row>
      <xdr:rowOff>123825</xdr:rowOff>
    </xdr:from>
    <xdr:to>
      <xdr:col>3</xdr:col>
      <xdr:colOff>762000</xdr:colOff>
      <xdr:row>15</xdr:row>
      <xdr:rowOff>96334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C5786C-9251-2FED-8FFA-78D46BC0C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61975" y="619125"/>
          <a:ext cx="2428875" cy="2572834"/>
        </a:xfrm>
        <a:prstGeom prst="rect">
          <a:avLst/>
        </a:prstGeom>
      </xdr:spPr>
    </xdr:pic>
    <xdr:clientData/>
  </xdr:twoCellAnchor>
  <xdr:twoCellAnchor>
    <xdr:from>
      <xdr:col>1</xdr:col>
      <xdr:colOff>219075</xdr:colOff>
      <xdr:row>7</xdr:row>
      <xdr:rowOff>85725</xdr:rowOff>
    </xdr:from>
    <xdr:to>
      <xdr:col>1</xdr:col>
      <xdr:colOff>828675</xdr:colOff>
      <xdr:row>8</xdr:row>
      <xdr:rowOff>161925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1D526DB-E8C9-6F62-04F4-60A57FA7A172}"/>
            </a:ext>
          </a:extLst>
        </xdr:cNvPr>
        <xdr:cNvSpPr txBox="1"/>
      </xdr:nvSpPr>
      <xdr:spPr>
        <a:xfrm>
          <a:off x="733425" y="1581150"/>
          <a:ext cx="6096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Vp</a:t>
          </a:r>
        </a:p>
      </xdr:txBody>
    </xdr:sp>
    <xdr:clientData/>
  </xdr:twoCellAnchor>
  <xdr:twoCellAnchor>
    <xdr:from>
      <xdr:col>3</xdr:col>
      <xdr:colOff>781050</xdr:colOff>
      <xdr:row>6</xdr:row>
      <xdr:rowOff>0</xdr:rowOff>
    </xdr:from>
    <xdr:to>
      <xdr:col>4</xdr:col>
      <xdr:colOff>533400</xdr:colOff>
      <xdr:row>7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16BE08A-2CCB-4A4A-B3EB-31351D95F7BF}"/>
            </a:ext>
          </a:extLst>
        </xdr:cNvPr>
        <xdr:cNvSpPr txBox="1"/>
      </xdr:nvSpPr>
      <xdr:spPr>
        <a:xfrm>
          <a:off x="3009900" y="1295400"/>
          <a:ext cx="6096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RL</a:t>
          </a:r>
        </a:p>
      </xdr:txBody>
    </xdr:sp>
    <xdr:clientData/>
  </xdr:twoCellAnchor>
  <xdr:twoCellAnchor>
    <xdr:from>
      <xdr:col>2</xdr:col>
      <xdr:colOff>238125</xdr:colOff>
      <xdr:row>7</xdr:row>
      <xdr:rowOff>171450</xdr:rowOff>
    </xdr:from>
    <xdr:to>
      <xdr:col>2</xdr:col>
      <xdr:colOff>847725</xdr:colOff>
      <xdr:row>9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CD00C9-9730-4B65-8390-4BC1CB690C8F}"/>
            </a:ext>
          </a:extLst>
        </xdr:cNvPr>
        <xdr:cNvSpPr txBox="1"/>
      </xdr:nvSpPr>
      <xdr:spPr>
        <a:xfrm>
          <a:off x="1609725" y="1666875"/>
          <a:ext cx="6096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Rb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352424</xdr:colOff>
      <xdr:row>1</xdr:row>
      <xdr:rowOff>123825</xdr:rowOff>
    </xdr:from>
    <xdr:to>
      <xdr:col>5</xdr:col>
      <xdr:colOff>57149</xdr:colOff>
      <xdr:row>14</xdr:row>
      <xdr:rowOff>89815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E18B3E-3E88-5BC3-85A9-9B644A1E7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19174" y="419100"/>
          <a:ext cx="2371725" cy="2566315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3</xdr:row>
      <xdr:rowOff>161925</xdr:rowOff>
    </xdr:from>
    <xdr:to>
      <xdr:col>3</xdr:col>
      <xdr:colOff>657225</xdr:colOff>
      <xdr:row>5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2C77226-CCDE-45AD-B021-725DFEBBB836}"/>
            </a:ext>
          </a:extLst>
        </xdr:cNvPr>
        <xdr:cNvSpPr txBox="1"/>
      </xdr:nvSpPr>
      <xdr:spPr>
        <a:xfrm>
          <a:off x="2047875" y="857250"/>
          <a:ext cx="6096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Rb</a:t>
          </a:r>
        </a:p>
      </xdr:txBody>
    </xdr:sp>
    <xdr:clientData/>
  </xdr:twoCellAnchor>
  <xdr:twoCellAnchor>
    <xdr:from>
      <xdr:col>1</xdr:col>
      <xdr:colOff>485775</xdr:colOff>
      <xdr:row>3</xdr:row>
      <xdr:rowOff>180975</xdr:rowOff>
    </xdr:from>
    <xdr:to>
      <xdr:col>2</xdr:col>
      <xdr:colOff>428625</xdr:colOff>
      <xdr:row>5</xdr:row>
      <xdr:rowOff>57150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BDC6D42-494C-4140-A7AE-780BAF5C403F}"/>
            </a:ext>
          </a:extLst>
        </xdr:cNvPr>
        <xdr:cNvSpPr txBox="1"/>
      </xdr:nvSpPr>
      <xdr:spPr>
        <a:xfrm>
          <a:off x="1152525" y="876300"/>
          <a:ext cx="6096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Vp</a:t>
          </a:r>
        </a:p>
      </xdr:txBody>
    </xdr:sp>
    <xdr:clientData/>
  </xdr:twoCellAnchor>
  <xdr:twoCellAnchor>
    <xdr:from>
      <xdr:col>5</xdr:col>
      <xdr:colOff>57150</xdr:colOff>
      <xdr:row>10</xdr:row>
      <xdr:rowOff>123825</xdr:rowOff>
    </xdr:from>
    <xdr:to>
      <xdr:col>6</xdr:col>
      <xdr:colOff>0</xdr:colOff>
      <xdr:row>11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D6F4B9D-706C-4ED2-A1B9-EE55E28A9869}"/>
            </a:ext>
          </a:extLst>
        </xdr:cNvPr>
        <xdr:cNvSpPr txBox="1"/>
      </xdr:nvSpPr>
      <xdr:spPr>
        <a:xfrm>
          <a:off x="3390900" y="2219325"/>
          <a:ext cx="6096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RL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76199</xdr:rowOff>
    </xdr:from>
    <xdr:to>
      <xdr:col>4</xdr:col>
      <xdr:colOff>190500</xdr:colOff>
      <xdr:row>13</xdr:row>
      <xdr:rowOff>188199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31F909-F7AF-1023-FCB7-20E19173E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38200" y="276224"/>
          <a:ext cx="3028950" cy="2312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619125</xdr:colOff>
      <xdr:row>3</xdr:row>
      <xdr:rowOff>127357</xdr:rowOff>
    </xdr:from>
    <xdr:to>
      <xdr:col>12</xdr:col>
      <xdr:colOff>9525</xdr:colOff>
      <xdr:row>15</xdr:row>
      <xdr:rowOff>9524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29535FD-BA11-24F8-FDE5-A72EB385C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841732"/>
          <a:ext cx="4419600" cy="2358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electronics-tutorials.ws/transistor/tran_4.html" TargetMode="External"/><Relationship Id="rId1" Type="http://schemas.openxmlformats.org/officeDocument/2006/relationships/hyperlink" Target="http://www.daycounter.com/Calculators/Transistor-Switch-Saturation-Calculator.p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falstad.com/circuit/e-pnp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J43"/>
  <sheetViews>
    <sheetView tabSelected="1" workbookViewId="0">
      <selection activeCell="C21" sqref="C21"/>
    </sheetView>
  </sheetViews>
  <sheetFormatPr defaultColWidth="11.25" defaultRowHeight="15.75" x14ac:dyDescent="0.25"/>
  <cols>
    <col min="1" max="1" width="6.75" style="5" customWidth="1"/>
    <col min="2" max="16384" width="11.25" style="5"/>
  </cols>
  <sheetData>
    <row r="2" spans="2:10" ht="23.25" x14ac:dyDescent="0.35">
      <c r="B2" s="6" t="s">
        <v>116</v>
      </c>
    </row>
    <row r="4" spans="2:10" x14ac:dyDescent="0.25">
      <c r="B4" s="4"/>
      <c r="F4" s="7"/>
      <c r="I4" s="4"/>
    </row>
    <row r="5" spans="2:10" x14ac:dyDescent="0.25">
      <c r="D5" s="8"/>
      <c r="F5" s="7"/>
    </row>
    <row r="6" spans="2:10" x14ac:dyDescent="0.25">
      <c r="F6" s="7"/>
    </row>
    <row r="7" spans="2:10" x14ac:dyDescent="0.25">
      <c r="E7" s="11"/>
      <c r="F7" s="7"/>
    </row>
    <row r="8" spans="2:10" x14ac:dyDescent="0.25">
      <c r="E8" s="8"/>
      <c r="F8" s="10"/>
      <c r="G8" s="11"/>
      <c r="J8" s="7"/>
    </row>
    <row r="9" spans="2:10" x14ac:dyDescent="0.25">
      <c r="F9" s="7"/>
      <c r="J9" s="7"/>
    </row>
    <row r="10" spans="2:10" x14ac:dyDescent="0.25">
      <c r="G10" s="8"/>
      <c r="J10" s="7"/>
    </row>
    <row r="11" spans="2:10" x14ac:dyDescent="0.25">
      <c r="J11" s="7"/>
    </row>
    <row r="12" spans="2:10" x14ac:dyDescent="0.25">
      <c r="B12" s="9"/>
      <c r="J12" s="7"/>
    </row>
    <row r="13" spans="2:10" x14ac:dyDescent="0.25">
      <c r="C13" s="8"/>
      <c r="E13" s="9"/>
      <c r="J13" s="7"/>
    </row>
    <row r="17" spans="2:8" x14ac:dyDescent="0.25">
      <c r="B17" s="12" t="s">
        <v>49</v>
      </c>
    </row>
    <row r="20" spans="2:8" ht="16.5" thickBot="1" x14ac:dyDescent="0.3">
      <c r="B20" s="4" t="s">
        <v>23</v>
      </c>
      <c r="E20" s="12" t="s">
        <v>16</v>
      </c>
    </row>
    <row r="21" spans="2:8" ht="16.5" thickBot="1" x14ac:dyDescent="0.3">
      <c r="B21" s="5" t="s">
        <v>12</v>
      </c>
      <c r="C21" s="15">
        <v>100</v>
      </c>
      <c r="E21" s="5" t="s">
        <v>19</v>
      </c>
    </row>
    <row r="22" spans="2:8" ht="16.5" thickBot="1" x14ac:dyDescent="0.3">
      <c r="B22" s="5" t="s">
        <v>26</v>
      </c>
      <c r="C22" s="2">
        <v>0.5</v>
      </c>
      <c r="D22" s="5" t="s">
        <v>3</v>
      </c>
      <c r="E22" s="5" t="s">
        <v>50</v>
      </c>
    </row>
    <row r="23" spans="2:8" ht="16.5" thickBot="1" x14ac:dyDescent="0.3">
      <c r="B23" s="5" t="s">
        <v>13</v>
      </c>
      <c r="C23" s="17">
        <v>5</v>
      </c>
      <c r="D23" s="5" t="s">
        <v>0</v>
      </c>
      <c r="E23" s="5" t="s">
        <v>32</v>
      </c>
    </row>
    <row r="24" spans="2:8" ht="16.5" thickBot="1" x14ac:dyDescent="0.3">
      <c r="B24" s="5" t="s">
        <v>2</v>
      </c>
      <c r="C24" s="16">
        <v>5</v>
      </c>
      <c r="D24" s="5" t="s">
        <v>0</v>
      </c>
      <c r="E24" s="5" t="s">
        <v>18</v>
      </c>
    </row>
    <row r="25" spans="2:8" ht="16.5" thickBot="1" x14ac:dyDescent="0.3">
      <c r="B25" s="5" t="s">
        <v>14</v>
      </c>
      <c r="C25" s="2">
        <v>0.6</v>
      </c>
      <c r="D25" s="5" t="s">
        <v>0</v>
      </c>
      <c r="E25" s="5" t="s">
        <v>30</v>
      </c>
    </row>
    <row r="27" spans="2:8" x14ac:dyDescent="0.25">
      <c r="B27" s="5" t="s">
        <v>6</v>
      </c>
      <c r="C27" s="5">
        <f>C23/C22</f>
        <v>10</v>
      </c>
      <c r="D27" s="5" t="s">
        <v>1</v>
      </c>
      <c r="E27" s="5" t="s">
        <v>90</v>
      </c>
    </row>
    <row r="28" spans="2:8" x14ac:dyDescent="0.25">
      <c r="B28" s="5" t="s">
        <v>5</v>
      </c>
      <c r="C28" s="5">
        <f>C27/C21</f>
        <v>0.1</v>
      </c>
      <c r="D28" s="5" t="s">
        <v>1</v>
      </c>
      <c r="E28" s="5" t="s">
        <v>51</v>
      </c>
      <c r="H28" s="4" t="s">
        <v>52</v>
      </c>
    </row>
    <row r="29" spans="2:8" x14ac:dyDescent="0.25">
      <c r="B29" s="5" t="s">
        <v>15</v>
      </c>
      <c r="C29" s="5">
        <f>(C23-C25)/C28</f>
        <v>44</v>
      </c>
      <c r="D29" s="5" t="s">
        <v>3</v>
      </c>
      <c r="E29" s="5" t="s">
        <v>31</v>
      </c>
    </row>
    <row r="30" spans="2:8" x14ac:dyDescent="0.25">
      <c r="B30" s="5" t="s">
        <v>4</v>
      </c>
      <c r="C30" s="5">
        <f>C27+C28</f>
        <v>10.1</v>
      </c>
      <c r="D30" s="5" t="s">
        <v>1</v>
      </c>
      <c r="E30" s="4" t="s">
        <v>17</v>
      </c>
      <c r="G30" s="5" t="s">
        <v>55</v>
      </c>
    </row>
    <row r="31" spans="2:8" x14ac:dyDescent="0.25">
      <c r="B31" s="5" t="s">
        <v>27</v>
      </c>
      <c r="C31" s="5">
        <f>C24-(C27*C22)</f>
        <v>0</v>
      </c>
      <c r="D31" s="5" t="s">
        <v>0</v>
      </c>
      <c r="E31" s="5" t="s">
        <v>28</v>
      </c>
    </row>
    <row r="32" spans="2:8" x14ac:dyDescent="0.25">
      <c r="B32" s="5" t="s">
        <v>24</v>
      </c>
      <c r="C32" s="5">
        <f>C28*C29</f>
        <v>4.4000000000000004</v>
      </c>
      <c r="D32" s="5" t="s">
        <v>0</v>
      </c>
      <c r="E32" s="5" t="s">
        <v>29</v>
      </c>
    </row>
    <row r="33" spans="2:8" x14ac:dyDescent="0.25">
      <c r="B33" s="5" t="s">
        <v>25</v>
      </c>
      <c r="C33" s="5">
        <f>C32-C25</f>
        <v>3.8000000000000003</v>
      </c>
      <c r="D33" s="5" t="s">
        <v>0</v>
      </c>
      <c r="E33" s="5" t="s">
        <v>57</v>
      </c>
    </row>
    <row r="34" spans="2:8" x14ac:dyDescent="0.25">
      <c r="B34" s="5" t="s">
        <v>33</v>
      </c>
      <c r="C34" s="5">
        <f>C24*C27/1000</f>
        <v>0.05</v>
      </c>
      <c r="D34" s="5" t="s">
        <v>35</v>
      </c>
      <c r="E34" s="5" t="s">
        <v>34</v>
      </c>
    </row>
    <row r="35" spans="2:8" x14ac:dyDescent="0.25">
      <c r="E35" s="4" t="s">
        <v>53</v>
      </c>
      <c r="F35" s="4"/>
      <c r="G35" s="4" t="s">
        <v>54</v>
      </c>
      <c r="H35" s="4"/>
    </row>
    <row r="36" spans="2:8" x14ac:dyDescent="0.25">
      <c r="B36" s="5" t="s">
        <v>92</v>
      </c>
      <c r="C36" s="5" t="s">
        <v>20</v>
      </c>
      <c r="F36" s="4" t="s">
        <v>56</v>
      </c>
    </row>
    <row r="37" spans="2:8" x14ac:dyDescent="0.25">
      <c r="B37" s="5" t="str">
        <f>"Vp at "&amp;C23&amp;"V:"</f>
        <v>Vp at 5V:</v>
      </c>
      <c r="C37" s="5" t="s">
        <v>21</v>
      </c>
    </row>
    <row r="39" spans="2:8" x14ac:dyDescent="0.25">
      <c r="B39" s="4" t="s">
        <v>91</v>
      </c>
    </row>
    <row r="40" spans="2:8" x14ac:dyDescent="0.25">
      <c r="B40" s="5" t="s">
        <v>7</v>
      </c>
    </row>
    <row r="41" spans="2:8" x14ac:dyDescent="0.25">
      <c r="B41" s="5" t="s">
        <v>8</v>
      </c>
      <c r="C41" s="5">
        <f>C27</f>
        <v>10</v>
      </c>
      <c r="D41" s="5" t="s">
        <v>1</v>
      </c>
      <c r="E41" s="5" t="s">
        <v>11</v>
      </c>
    </row>
    <row r="42" spans="2:8" x14ac:dyDescent="0.25">
      <c r="B42" s="5" t="s">
        <v>5</v>
      </c>
      <c r="C42" s="5">
        <f>C41/10</f>
        <v>1</v>
      </c>
      <c r="D42" s="5" t="s">
        <v>1</v>
      </c>
      <c r="E42" s="5" t="s">
        <v>22</v>
      </c>
    </row>
    <row r="43" spans="2:8" x14ac:dyDescent="0.25">
      <c r="B43" s="5" t="s">
        <v>10</v>
      </c>
      <c r="C43" s="5">
        <f>(C23-C25)/C42</f>
        <v>4.4000000000000004</v>
      </c>
      <c r="D43" s="5" t="s">
        <v>3</v>
      </c>
      <c r="E43" s="5" t="s">
        <v>9</v>
      </c>
    </row>
  </sheetData>
  <hyperlinks>
    <hyperlink ref="E20" r:id="rId1" xr:uid="{00000000-0004-0000-0000-000000000000}"/>
    <hyperlink ref="B17" r:id="rId2" xr:uid="{00000000-0004-0000-0000-000001000000}"/>
  </hyperlinks>
  <pageMargins left="0.7" right="0.7" top="0.75" bottom="0.75" header="0.3" footer="0.3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B1:K33"/>
  <sheetViews>
    <sheetView workbookViewId="0">
      <selection activeCell="C20" sqref="C20"/>
    </sheetView>
  </sheetViews>
  <sheetFormatPr defaultColWidth="8.75" defaultRowHeight="15.75" x14ac:dyDescent="0.25"/>
  <cols>
    <col min="1" max="16384" width="8.75" style="5"/>
  </cols>
  <sheetData>
    <row r="1" spans="2:11" ht="23.25" x14ac:dyDescent="0.35">
      <c r="B1" s="6" t="s">
        <v>118</v>
      </c>
    </row>
    <row r="3" spans="2:11" x14ac:dyDescent="0.25">
      <c r="B3" s="13"/>
    </row>
    <row r="5" spans="2:11" x14ac:dyDescent="0.25">
      <c r="J5" s="13"/>
    </row>
    <row r="14" spans="2:11" x14ac:dyDescent="0.25">
      <c r="K14" s="14"/>
    </row>
    <row r="16" spans="2:11" x14ac:dyDescent="0.25">
      <c r="B16" s="5" t="s">
        <v>36</v>
      </c>
      <c r="G16" s="5" t="s">
        <v>38</v>
      </c>
    </row>
    <row r="17" spans="2:8" x14ac:dyDescent="0.25">
      <c r="G17" s="12" t="s">
        <v>37</v>
      </c>
    </row>
    <row r="18" spans="2:8" x14ac:dyDescent="0.25">
      <c r="B18" s="4" t="s">
        <v>39</v>
      </c>
    </row>
    <row r="19" spans="2:8" ht="16.5" thickBot="1" x14ac:dyDescent="0.3">
      <c r="B19" s="5" t="s">
        <v>46</v>
      </c>
    </row>
    <row r="20" spans="2:8" ht="16.5" thickBot="1" x14ac:dyDescent="0.3">
      <c r="B20" s="5" t="s">
        <v>6</v>
      </c>
      <c r="C20" s="2">
        <v>40</v>
      </c>
      <c r="D20" s="5" t="s">
        <v>1</v>
      </c>
      <c r="E20" s="5" t="s">
        <v>44</v>
      </c>
    </row>
    <row r="21" spans="2:8" ht="16.5" thickBot="1" x14ac:dyDescent="0.3">
      <c r="B21" s="5" t="s">
        <v>45</v>
      </c>
      <c r="C21" s="2">
        <v>50</v>
      </c>
    </row>
    <row r="22" spans="2:8" ht="16.5" thickBot="1" x14ac:dyDescent="0.3">
      <c r="B22" s="5" t="s">
        <v>2</v>
      </c>
      <c r="C22" s="2">
        <v>12</v>
      </c>
      <c r="D22" s="5" t="s">
        <v>0</v>
      </c>
    </row>
    <row r="23" spans="2:8" ht="16.5" thickBot="1" x14ac:dyDescent="0.3">
      <c r="B23" s="5" t="s">
        <v>5</v>
      </c>
      <c r="C23" s="5">
        <f>C20/C21</f>
        <v>0.8</v>
      </c>
      <c r="D23" s="5" t="s">
        <v>1</v>
      </c>
      <c r="E23" s="5" t="s">
        <v>48</v>
      </c>
      <c r="H23" s="5" t="s">
        <v>41</v>
      </c>
    </row>
    <row r="24" spans="2:8" ht="16.5" thickBot="1" x14ac:dyDescent="0.3">
      <c r="B24" s="5" t="s">
        <v>14</v>
      </c>
      <c r="C24" s="2">
        <v>0.7</v>
      </c>
      <c r="D24" s="5" t="s">
        <v>0</v>
      </c>
    </row>
    <row r="25" spans="2:8" x14ac:dyDescent="0.25">
      <c r="B25" s="5" t="s">
        <v>47</v>
      </c>
      <c r="C25" s="5">
        <f>C22-C24</f>
        <v>11.3</v>
      </c>
      <c r="D25" s="5" t="s">
        <v>0</v>
      </c>
      <c r="E25" s="5" t="s">
        <v>42</v>
      </c>
    </row>
    <row r="26" spans="2:8" x14ac:dyDescent="0.25">
      <c r="B26" s="5" t="s">
        <v>40</v>
      </c>
      <c r="C26" s="5">
        <f>C25/C23</f>
        <v>14.125</v>
      </c>
      <c r="D26" s="5" t="s">
        <v>3</v>
      </c>
    </row>
    <row r="27" spans="2:8" x14ac:dyDescent="0.25">
      <c r="B27" s="5" t="s">
        <v>4</v>
      </c>
      <c r="C27" s="5">
        <f>C20+C23</f>
        <v>40.799999999999997</v>
      </c>
      <c r="D27" s="5" t="s">
        <v>1</v>
      </c>
    </row>
    <row r="28" spans="2:8" ht="16.5" thickBot="1" x14ac:dyDescent="0.3">
      <c r="B28" s="5" t="s">
        <v>25</v>
      </c>
      <c r="C28" s="5">
        <f>C22</f>
        <v>12</v>
      </c>
      <c r="D28" s="5" t="s">
        <v>0</v>
      </c>
    </row>
    <row r="29" spans="2:8" ht="16.5" thickBot="1" x14ac:dyDescent="0.3">
      <c r="B29" s="5" t="s">
        <v>26</v>
      </c>
      <c r="C29" s="2">
        <v>0.1</v>
      </c>
      <c r="D29" s="5" t="s">
        <v>3</v>
      </c>
      <c r="E29" s="5" t="s">
        <v>43</v>
      </c>
    </row>
    <row r="30" spans="2:8" x14ac:dyDescent="0.25">
      <c r="B30" s="5" t="s">
        <v>27</v>
      </c>
      <c r="C30" s="5">
        <f>0+C29*C20</f>
        <v>4</v>
      </c>
      <c r="D30" s="5" t="s">
        <v>0</v>
      </c>
    </row>
    <row r="33" spans="5:5" x14ac:dyDescent="0.25">
      <c r="E33" s="4"/>
    </row>
  </sheetData>
  <hyperlinks>
    <hyperlink ref="G17" r:id="rId1" xr:uid="{00000000-0004-0000-0200-000000000000}"/>
  </hyperlinks>
  <pageMargins left="0.7" right="0.7" top="0.75" bottom="0.75" header="0.3" footer="0.3"/>
  <pageSetup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50"/>
  <sheetViews>
    <sheetView workbookViewId="0">
      <selection activeCell="C16" sqref="C16"/>
    </sheetView>
  </sheetViews>
  <sheetFormatPr defaultColWidth="10.75" defaultRowHeight="15.75" x14ac:dyDescent="0.25"/>
  <cols>
    <col min="1" max="1" width="10.75" style="1"/>
    <col min="2" max="2" width="16" style="1" customWidth="1"/>
    <col min="3" max="16384" width="10.75" style="1"/>
  </cols>
  <sheetData>
    <row r="2" spans="2:4" ht="23.25" x14ac:dyDescent="0.35">
      <c r="B2" s="6" t="s">
        <v>117</v>
      </c>
    </row>
    <row r="15" spans="2:4" ht="16.5" thickBot="1" x14ac:dyDescent="0.3"/>
    <row r="16" spans="2:4" ht="16.5" thickBot="1" x14ac:dyDescent="0.3">
      <c r="B16" s="1" t="s">
        <v>2</v>
      </c>
      <c r="C16" s="2">
        <v>5</v>
      </c>
      <c r="D16" s="1" t="s">
        <v>0</v>
      </c>
    </row>
    <row r="17" spans="2:5" ht="16.5" thickBot="1" x14ac:dyDescent="0.3">
      <c r="B17" s="1" t="s">
        <v>61</v>
      </c>
      <c r="C17" s="2">
        <v>100</v>
      </c>
      <c r="E17" s="1" t="s">
        <v>60</v>
      </c>
    </row>
    <row r="18" spans="2:5" ht="16.5" thickBot="1" x14ac:dyDescent="0.3"/>
    <row r="19" spans="2:5" ht="16.5" thickBot="1" x14ac:dyDescent="0.3">
      <c r="B19" s="1" t="s">
        <v>14</v>
      </c>
      <c r="C19" s="2">
        <v>0.7</v>
      </c>
      <c r="D19" s="1" t="s">
        <v>0</v>
      </c>
      <c r="E19" s="1" t="s">
        <v>71</v>
      </c>
    </row>
    <row r="20" spans="2:5" ht="16.5" thickBot="1" x14ac:dyDescent="0.3">
      <c r="B20" s="1" t="s">
        <v>62</v>
      </c>
      <c r="C20" s="2">
        <v>1</v>
      </c>
      <c r="D20" s="1" t="s">
        <v>63</v>
      </c>
      <c r="E20" s="1" t="s">
        <v>64</v>
      </c>
    </row>
    <row r="21" spans="2:5" ht="16.5" thickBot="1" x14ac:dyDescent="0.3">
      <c r="B21" s="1" t="s">
        <v>65</v>
      </c>
      <c r="C21" s="2">
        <v>0.1</v>
      </c>
      <c r="D21" s="1" t="s">
        <v>63</v>
      </c>
      <c r="E21" s="1" t="s">
        <v>66</v>
      </c>
    </row>
    <row r="22" spans="2:5" ht="16.5" thickBot="1" x14ac:dyDescent="0.3">
      <c r="B22" s="1" t="s">
        <v>67</v>
      </c>
    </row>
    <row r="23" spans="2:5" ht="16.5" thickBot="1" x14ac:dyDescent="0.3">
      <c r="B23" s="1" t="s">
        <v>27</v>
      </c>
      <c r="C23" s="2">
        <f>C16*0.5</f>
        <v>2.5</v>
      </c>
      <c r="D23" s="1" t="s">
        <v>0</v>
      </c>
    </row>
    <row r="24" spans="2:5" x14ac:dyDescent="0.25">
      <c r="B24" s="1" t="s">
        <v>58</v>
      </c>
      <c r="C24" s="3">
        <f>C23/C20</f>
        <v>2.5</v>
      </c>
      <c r="D24" s="1" t="s">
        <v>1</v>
      </c>
      <c r="E24" s="1" t="s">
        <v>68</v>
      </c>
    </row>
    <row r="25" spans="2:5" x14ac:dyDescent="0.25">
      <c r="B25" s="1" t="s">
        <v>5</v>
      </c>
      <c r="C25" s="3">
        <f>C24/C17</f>
        <v>2.5000000000000001E-2</v>
      </c>
      <c r="D25" s="1" t="s">
        <v>1</v>
      </c>
      <c r="E25" s="1" t="s">
        <v>59</v>
      </c>
    </row>
    <row r="26" spans="2:5" x14ac:dyDescent="0.25">
      <c r="B26" s="1" t="s">
        <v>4</v>
      </c>
      <c r="C26" s="3">
        <f>C25+C24</f>
        <v>2.5249999999999999</v>
      </c>
      <c r="D26" s="1" t="s">
        <v>1</v>
      </c>
      <c r="E26" s="1" t="s">
        <v>69</v>
      </c>
    </row>
    <row r="27" spans="2:5" x14ac:dyDescent="0.25">
      <c r="B27" s="1" t="s">
        <v>25</v>
      </c>
      <c r="C27" s="3">
        <f>C26*C21</f>
        <v>0.2525</v>
      </c>
      <c r="D27" s="1" t="s">
        <v>0</v>
      </c>
      <c r="E27" s="1" t="s">
        <v>70</v>
      </c>
    </row>
    <row r="28" spans="2:5" x14ac:dyDescent="0.25">
      <c r="B28" s="1" t="s">
        <v>24</v>
      </c>
      <c r="C28" s="3">
        <f>C27+C19</f>
        <v>0.9524999999999999</v>
      </c>
      <c r="D28" s="1" t="s">
        <v>0</v>
      </c>
      <c r="E28" s="1" t="s">
        <v>72</v>
      </c>
    </row>
    <row r="29" spans="2:5" x14ac:dyDescent="0.25">
      <c r="B29" s="1" t="s">
        <v>74</v>
      </c>
      <c r="C29" s="1">
        <f>C28/C16</f>
        <v>0.19049999999999997</v>
      </c>
      <c r="E29" s="1" t="s">
        <v>83</v>
      </c>
    </row>
    <row r="30" spans="2:5" x14ac:dyDescent="0.25">
      <c r="E30" s="1" t="s">
        <v>75</v>
      </c>
    </row>
    <row r="31" spans="2:5" x14ac:dyDescent="0.25">
      <c r="B31" s="1" t="s">
        <v>80</v>
      </c>
    </row>
    <row r="32" spans="2:5" x14ac:dyDescent="0.25">
      <c r="B32" s="1" t="s">
        <v>76</v>
      </c>
      <c r="C32" s="3">
        <f>(C33+C25)</f>
        <v>0.27500000000000002</v>
      </c>
      <c r="D32" s="1" t="s">
        <v>1</v>
      </c>
      <c r="E32" s="1" t="s">
        <v>85</v>
      </c>
    </row>
    <row r="33" spans="2:7" x14ac:dyDescent="0.25">
      <c r="B33" s="1" t="s">
        <v>79</v>
      </c>
      <c r="C33" s="3">
        <f>C25*10</f>
        <v>0.25</v>
      </c>
      <c r="D33" s="1" t="s">
        <v>1</v>
      </c>
      <c r="E33" s="1" t="s">
        <v>84</v>
      </c>
    </row>
    <row r="34" spans="2:7" x14ac:dyDescent="0.25">
      <c r="B34" s="1" t="s">
        <v>73</v>
      </c>
      <c r="C34" s="3">
        <f>(C16-C28)/C32</f>
        <v>14.718181818181819</v>
      </c>
      <c r="D34" s="1" t="s">
        <v>63</v>
      </c>
      <c r="E34" s="1" t="s">
        <v>81</v>
      </c>
    </row>
    <row r="35" spans="2:7" x14ac:dyDescent="0.25">
      <c r="B35" s="1" t="s">
        <v>78</v>
      </c>
      <c r="C35" s="3">
        <f>C28/C33</f>
        <v>3.8099999999999996</v>
      </c>
      <c r="D35" s="1" t="s">
        <v>63</v>
      </c>
      <c r="E35" s="1" t="s">
        <v>82</v>
      </c>
    </row>
    <row r="36" spans="2:7" x14ac:dyDescent="0.25">
      <c r="B36" s="1" t="s">
        <v>86</v>
      </c>
      <c r="C36" s="3">
        <f>C35/(C34+C35)</f>
        <v>0.20563269711986654</v>
      </c>
    </row>
    <row r="37" spans="2:7" x14ac:dyDescent="0.25">
      <c r="B37" s="1" t="s">
        <v>77</v>
      </c>
      <c r="C37" s="3">
        <f>C34+C35</f>
        <v>18.528181818181817</v>
      </c>
      <c r="D37" s="1" t="s">
        <v>63</v>
      </c>
      <c r="E37" s="1" t="s">
        <v>87</v>
      </c>
    </row>
    <row r="39" spans="2:7" x14ac:dyDescent="0.25">
      <c r="B39" s="1" t="s">
        <v>88</v>
      </c>
      <c r="C39" s="3"/>
    </row>
    <row r="40" spans="2:7" x14ac:dyDescent="0.25">
      <c r="C40" s="3">
        <f>C16*C36</f>
        <v>1.0281634855993327</v>
      </c>
      <c r="D40" s="1" t="s">
        <v>0</v>
      </c>
    </row>
    <row r="42" spans="2:7" x14ac:dyDescent="0.25">
      <c r="B42" s="4" t="s">
        <v>89</v>
      </c>
      <c r="C42" s="5"/>
      <c r="D42" s="5"/>
      <c r="E42" s="5"/>
      <c r="F42" s="5"/>
      <c r="G42" s="5"/>
    </row>
    <row r="43" spans="2:7" x14ac:dyDescent="0.25">
      <c r="B43" s="5"/>
      <c r="C43" s="5"/>
      <c r="D43" s="5"/>
      <c r="E43" s="5"/>
      <c r="F43" s="5"/>
      <c r="G43" s="5"/>
    </row>
    <row r="44" spans="2:7" x14ac:dyDescent="0.25">
      <c r="B44" s="5" t="s">
        <v>7</v>
      </c>
      <c r="C44" s="5"/>
      <c r="D44" s="5"/>
      <c r="E44" s="5"/>
      <c r="F44" s="5"/>
      <c r="G44" s="5"/>
    </row>
    <row r="45" spans="2:7" x14ac:dyDescent="0.25">
      <c r="B45" s="5" t="s">
        <v>8</v>
      </c>
      <c r="C45" s="5">
        <f>C24</f>
        <v>2.5</v>
      </c>
      <c r="D45" s="5" t="s">
        <v>1</v>
      </c>
      <c r="E45" s="5" t="s">
        <v>11</v>
      </c>
      <c r="F45" s="5"/>
      <c r="G45" s="5"/>
    </row>
    <row r="46" spans="2:7" x14ac:dyDescent="0.25">
      <c r="B46" s="5" t="s">
        <v>5</v>
      </c>
      <c r="C46" s="5">
        <f>C45/10</f>
        <v>0.25</v>
      </c>
      <c r="D46" s="5" t="s">
        <v>1</v>
      </c>
      <c r="E46" s="5" t="s">
        <v>22</v>
      </c>
      <c r="F46" s="5"/>
      <c r="G46" s="5"/>
    </row>
    <row r="47" spans="2:7" x14ac:dyDescent="0.25">
      <c r="B47" s="5" t="s">
        <v>10</v>
      </c>
      <c r="C47" s="5">
        <f>C16/C46</f>
        <v>20</v>
      </c>
      <c r="D47" s="5" t="s">
        <v>3</v>
      </c>
      <c r="E47" s="5" t="s">
        <v>9</v>
      </c>
      <c r="F47" s="5"/>
      <c r="G47" s="5"/>
    </row>
    <row r="49" spans="3:3" x14ac:dyDescent="0.25">
      <c r="C49" s="3"/>
    </row>
    <row r="50" spans="3:3" x14ac:dyDescent="0.25">
      <c r="C50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B1:E24"/>
  <sheetViews>
    <sheetView zoomScaleNormal="100" workbookViewId="0">
      <selection activeCell="C3" sqref="C3"/>
    </sheetView>
  </sheetViews>
  <sheetFormatPr defaultColWidth="11" defaultRowHeight="15.75" x14ac:dyDescent="0.25"/>
  <cols>
    <col min="1" max="1" width="4.375" style="5" customWidth="1"/>
    <col min="2" max="2" width="11" style="5"/>
    <col min="3" max="3" width="11.875" style="5" bestFit="1" customWidth="1"/>
    <col min="4" max="16384" width="11" style="5"/>
  </cols>
  <sheetData>
    <row r="1" spans="2:5" ht="23.25" x14ac:dyDescent="0.35">
      <c r="B1" s="6" t="s">
        <v>113</v>
      </c>
    </row>
    <row r="2" spans="2:5" ht="16.5" thickBot="1" x14ac:dyDescent="0.3"/>
    <row r="3" spans="2:5" ht="16.5" thickBot="1" x14ac:dyDescent="0.3">
      <c r="B3" s="5" t="s">
        <v>111</v>
      </c>
      <c r="C3" s="2">
        <v>5</v>
      </c>
      <c r="D3" s="5" t="s">
        <v>0</v>
      </c>
      <c r="E3" s="5" t="s">
        <v>110</v>
      </c>
    </row>
    <row r="4" spans="2:5" ht="16.5" thickBot="1" x14ac:dyDescent="0.3"/>
    <row r="5" spans="2:5" ht="16.5" thickBot="1" x14ac:dyDescent="0.3">
      <c r="B5" s="5" t="s">
        <v>109</v>
      </c>
      <c r="C5" s="2">
        <v>30</v>
      </c>
      <c r="D5" s="5" t="s">
        <v>108</v>
      </c>
      <c r="E5" s="5" t="s">
        <v>112</v>
      </c>
    </row>
    <row r="6" spans="2:5" ht="16.5" thickBot="1" x14ac:dyDescent="0.3">
      <c r="B6" s="5" t="s">
        <v>107</v>
      </c>
      <c r="C6" s="2">
        <v>120</v>
      </c>
    </row>
    <row r="7" spans="2:5" x14ac:dyDescent="0.25">
      <c r="B7" s="5" t="s">
        <v>106</v>
      </c>
      <c r="C7" s="19">
        <f>C5/C6</f>
        <v>0.25</v>
      </c>
      <c r="D7" s="5" t="s">
        <v>105</v>
      </c>
      <c r="E7" s="5" t="s">
        <v>104</v>
      </c>
    </row>
    <row r="9" spans="2:5" x14ac:dyDescent="0.25">
      <c r="B9" s="5" t="s">
        <v>103</v>
      </c>
    </row>
    <row r="10" spans="2:5" ht="16.5" thickBot="1" x14ac:dyDescent="0.3">
      <c r="B10" s="5" t="s">
        <v>102</v>
      </c>
    </row>
    <row r="11" spans="2:5" ht="16.5" thickBot="1" x14ac:dyDescent="0.3">
      <c r="B11" s="5" t="s">
        <v>73</v>
      </c>
      <c r="C11" s="2">
        <v>19.3795</v>
      </c>
      <c r="D11" s="5" t="s">
        <v>3</v>
      </c>
    </row>
    <row r="12" spans="2:5" ht="16.5" thickBot="1" x14ac:dyDescent="0.3">
      <c r="B12" s="5" t="s">
        <v>78</v>
      </c>
      <c r="C12" s="17">
        <f>100-C11</f>
        <v>80.620499999999993</v>
      </c>
      <c r="D12" s="5" t="s">
        <v>3</v>
      </c>
    </row>
    <row r="13" spans="2:5" ht="16.5" thickBot="1" x14ac:dyDescent="0.3">
      <c r="B13" s="5" t="s">
        <v>114</v>
      </c>
      <c r="C13" s="19">
        <f>C3*C12/(C11+C12)</f>
        <v>4.0310249999999996</v>
      </c>
      <c r="D13" s="5" t="s">
        <v>0</v>
      </c>
    </row>
    <row r="14" spans="2:5" ht="16.5" thickBot="1" x14ac:dyDescent="0.3">
      <c r="B14" s="5" t="s">
        <v>101</v>
      </c>
      <c r="C14" s="2">
        <v>0.5</v>
      </c>
      <c r="D14" s="5" t="s">
        <v>3</v>
      </c>
    </row>
    <row r="15" spans="2:5" x14ac:dyDescent="0.25">
      <c r="B15" s="5" t="s">
        <v>100</v>
      </c>
      <c r="C15" s="19">
        <f>C11+((C14*C12)/(C14+C12))</f>
        <v>19.876418164952138</v>
      </c>
      <c r="D15" s="5" t="s">
        <v>3</v>
      </c>
    </row>
    <row r="16" spans="2:5" x14ac:dyDescent="0.25">
      <c r="B16" s="5" t="s">
        <v>99</v>
      </c>
      <c r="C16" s="19">
        <f>C3/C15</f>
        <v>0.25155437757978161</v>
      </c>
      <c r="D16" s="5" t="s">
        <v>1</v>
      </c>
    </row>
    <row r="17" spans="2:5" x14ac:dyDescent="0.25">
      <c r="B17" s="5" t="s">
        <v>115</v>
      </c>
      <c r="C17" s="19">
        <f>C16*C12/(C12+C14)</f>
        <v>0.25000387938524521</v>
      </c>
      <c r="D17" s="5" t="s">
        <v>1</v>
      </c>
    </row>
    <row r="18" spans="2:5" x14ac:dyDescent="0.25">
      <c r="B18" s="5" t="s">
        <v>98</v>
      </c>
      <c r="C18" s="19">
        <f>C16*(C14/(C12+C14))</f>
        <v>1.5504981945364095E-3</v>
      </c>
      <c r="D18" s="5" t="s">
        <v>97</v>
      </c>
    </row>
    <row r="20" spans="2:5" x14ac:dyDescent="0.25">
      <c r="B20" s="18" t="str">
        <f>IF(C17=C7,"Solution found.",IF(C17&gt;C7,"Iout too high. Increase R1 in relation to R2.","Iout too low. Decrease R1 in relation to R2."))</f>
        <v>Iout too high. Increase R1 in relation to R2.</v>
      </c>
      <c r="C20" s="19"/>
    </row>
    <row r="21" spans="2:5" x14ac:dyDescent="0.25">
      <c r="B21" s="18"/>
      <c r="C21" s="19"/>
    </row>
    <row r="22" spans="2:5" x14ac:dyDescent="0.25">
      <c r="B22" s="5" t="s">
        <v>96</v>
      </c>
      <c r="C22" s="19">
        <f>(C16/1000)^2*C11</f>
        <v>1.2263271027632648E-6</v>
      </c>
      <c r="D22" s="5" t="s">
        <v>35</v>
      </c>
      <c r="E22" s="5" t="s">
        <v>95</v>
      </c>
    </row>
    <row r="23" spans="2:5" x14ac:dyDescent="0.25">
      <c r="B23" s="5" t="s">
        <v>94</v>
      </c>
      <c r="C23" s="19">
        <f>(C18/1000)^2*C12</f>
        <v>1.9381528180696046E-10</v>
      </c>
      <c r="D23" s="5" t="s">
        <v>35</v>
      </c>
      <c r="E23" s="5" t="s">
        <v>93</v>
      </c>
    </row>
    <row r="24" spans="2:5" x14ac:dyDescent="0.25">
      <c r="B24" s="18" t="str">
        <f>IF(OR(C22&gt;0.25,C23&gt;0.25),"WARNING: standard 1/4W resistors will overheat. Use higher rated resistors.","")</f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NPNsaturated</vt:lpstr>
      <vt:lpstr>PNPsaturated</vt:lpstr>
      <vt:lpstr>NPNactive</vt:lpstr>
      <vt:lpstr>Biasing NPN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dndubins@yahoo.ca</dc:creator>
  <cp:lastModifiedBy>David Dubins</cp:lastModifiedBy>
  <dcterms:created xsi:type="dcterms:W3CDTF">2015-11-08T01:40:22Z</dcterms:created>
  <dcterms:modified xsi:type="dcterms:W3CDTF">2025-02-25T17:11:19Z</dcterms:modified>
</cp:coreProperties>
</file>