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nemens\Dropbox\OWO\white-oak\data sheets\"/>
    </mc:Choice>
  </mc:AlternateContent>
  <bookViews>
    <workbookView xWindow="0" yWindow="0" windowWidth="20496" windowHeight="7752" activeTab="1"/>
  </bookViews>
  <sheets>
    <sheet name="fire effects" sheetId="1" r:id="rId1"/>
    <sheet name="fofem comp" sheetId="12" r:id="rId2"/>
    <sheet name="dieback" sheetId="10" r:id="rId3"/>
    <sheet name="fuel moistures" sheetId="3" r:id="rId4"/>
    <sheet name="sprouters vs non" sheetId="6" r:id="rId5"/>
    <sheet name="cvs=100" sheetId="11" r:id="rId6"/>
    <sheet name="pca loadings" sheetId="2" r:id="rId7"/>
    <sheet name="duff" sheetId="4" r:id="rId8"/>
    <sheet name="ROS" sheetId="7" r:id="rId9"/>
    <sheet name="top-kill" sheetId="8" r:id="rId10"/>
    <sheet name="permanova" sheetId="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7" l="1"/>
  <c r="F15" i="7"/>
  <c r="F16" i="7"/>
  <c r="F17" i="7"/>
  <c r="F18" i="7"/>
  <c r="F19" i="7"/>
  <c r="F20" i="7"/>
  <c r="F21" i="7"/>
  <c r="H21" i="7"/>
  <c r="F12" i="7"/>
  <c r="F13" i="7"/>
  <c r="H13" i="7"/>
  <c r="F9" i="7"/>
  <c r="F10" i="7"/>
  <c r="F11" i="7"/>
  <c r="H11" i="7"/>
  <c r="B11" i="7"/>
  <c r="B17" i="7"/>
  <c r="B18" i="7"/>
  <c r="B19" i="7"/>
  <c r="B20" i="7"/>
  <c r="B21" i="7"/>
  <c r="B22" i="7"/>
  <c r="B23" i="7"/>
  <c r="D23" i="7"/>
  <c r="B14" i="7"/>
  <c r="B15" i="7"/>
  <c r="B16" i="7"/>
  <c r="D14" i="7"/>
  <c r="B9" i="7"/>
  <c r="B10" i="7"/>
  <c r="B12" i="7"/>
  <c r="B13" i="7"/>
  <c r="D10" i="7"/>
  <c r="B8" i="7"/>
  <c r="D6" i="7"/>
  <c r="B3" i="7"/>
  <c r="B4" i="7"/>
  <c r="D2" i="7"/>
</calcChain>
</file>

<file path=xl/sharedStrings.xml><?xml version="1.0" encoding="utf-8"?>
<sst xmlns="http://schemas.openxmlformats.org/spreadsheetml/2006/main" count="392" uniqueCount="263">
  <si>
    <t>HLD01</t>
  </si>
  <si>
    <t xml:space="preserve"> </t>
  </si>
  <si>
    <t>litter</t>
  </si>
  <si>
    <t>duff</t>
  </si>
  <si>
    <t>HLD 01</t>
  </si>
  <si>
    <t>70.02 (33.88)</t>
  </si>
  <si>
    <t>67.3 (40.3)</t>
  </si>
  <si>
    <t>BCC (%)</t>
  </si>
  <si>
    <t>Duff consumed (%)</t>
  </si>
  <si>
    <t>DBHCC (%)</t>
  </si>
  <si>
    <t>Bole char height (cm)</t>
  </si>
  <si>
    <t>UWTT</t>
  </si>
  <si>
    <t>UWTB</t>
  </si>
  <si>
    <t>live shrubs</t>
  </si>
  <si>
    <t>live grasses</t>
  </si>
  <si>
    <t>1 hr. time lag</t>
  </si>
  <si>
    <t>10 hr. time lag</t>
  </si>
  <si>
    <t>DBH</t>
  </si>
  <si>
    <t>Crown base height</t>
  </si>
  <si>
    <t>PC1</t>
  </si>
  <si>
    <t>PC2</t>
  </si>
  <si>
    <t>PC3</t>
  </si>
  <si>
    <t>Height</t>
  </si>
  <si>
    <t>pca for tree size</t>
  </si>
  <si>
    <t>pca of fire effects</t>
  </si>
  <si>
    <t>PC4</t>
  </si>
  <si>
    <t>PC5</t>
  </si>
  <si>
    <t>CVS</t>
  </si>
  <si>
    <t>Bole char height</t>
  </si>
  <si>
    <t>BCC</t>
  </si>
  <si>
    <t>DBHCC</t>
  </si>
  <si>
    <t>PCVSP</t>
  </si>
  <si>
    <t>mean duff depth on measured pins</t>
  </si>
  <si>
    <t>site</t>
  </si>
  <si>
    <t>sd</t>
  </si>
  <si>
    <t>mean duff % consumption</t>
  </si>
  <si>
    <t xml:space="preserve">                       Df SumOfSqs       F Pr(&gt;F)    </t>
  </si>
  <si>
    <t>Df</t>
  </si>
  <si>
    <t>SumOfSqs</t>
  </si>
  <si>
    <t>F</t>
  </si>
  <si>
    <t>Pr(&gt;F)</t>
  </si>
  <si>
    <t>0.001 ***</t>
  </si>
  <si>
    <t>Residual</t>
  </si>
  <si>
    <t>Scarring</t>
  </si>
  <si>
    <t>adonis2(formula = response1 ~ scar + duff.per.cons + pred1.PCA$scores[, 1] + pred1.PCA$scores[, 2], method = "euc")</t>
  </si>
  <si>
    <t>scar                    1    3.191 13.9817  0.001 ***</t>
  </si>
  <si>
    <t>duff.per.cons           1    9.784 42.8715  0.001 ***</t>
  </si>
  <si>
    <t>pred1.PCA$scores[, 1]   1    4.046 17.7272  0.001 ***</t>
  </si>
  <si>
    <t xml:space="preserve">pred1.PCA$scores[, 2]   1    0.054  0.2367  0.869    </t>
  </si>
  <si>
    <t xml:space="preserve">Residual              145   33.091                   </t>
  </si>
  <si>
    <t>0.078 .</t>
  </si>
  <si>
    <t>Duff consumption %</t>
  </si>
  <si>
    <t>adonis2(formula = sprout.vol ~ duff.per.cons, method = "euc")</t>
  </si>
  <si>
    <t>mean dbh</t>
  </si>
  <si>
    <t>mean height</t>
  </si>
  <si>
    <t>sprouters</t>
  </si>
  <si>
    <t>non-sprouters</t>
  </si>
  <si>
    <t>scorched</t>
  </si>
  <si>
    <t>unscorched</t>
  </si>
  <si>
    <t>adonis2(formula = sprout.vol ~ (above.pca$scores[, 1]) + (above.pca$scores[, 2]) + duff.per.cons, method = "euc")</t>
  </si>
  <si>
    <t xml:space="preserve">                       Df SumOfSqs        F Pr(&gt;F)    </t>
  </si>
  <si>
    <t>above.pca$scores[, 1]   1   1.0504  71.2135  0.001 ***</t>
  </si>
  <si>
    <t>above.pca$scores[, 2]   1   4.3525 295.0928  0.001 ***</t>
  </si>
  <si>
    <t xml:space="preserve">duff.per.cons           1   0.0658   4.4616  0.049 *  </t>
  </si>
  <si>
    <t xml:space="preserve">Residual              146   2.1534                    </t>
  </si>
  <si>
    <t>adonis2(formula = sprout.vol ~ (above.pca$scores[, 1]) + (above.pca$scores[, 2]), method = "euc")</t>
  </si>
  <si>
    <t>above.pca$scores[, 1]   1   1.0504  69.575  0.001 ***</t>
  </si>
  <si>
    <t>above.pca$scores[, 2]   1   4.3525 288.304  0.001 ***</t>
  </si>
  <si>
    <t xml:space="preserve">Residual              147   2.2192              </t>
  </si>
  <si>
    <t>adonis2(formula = sprout.vol ~ (above.pca$scores[, 2]), method = "euc")</t>
  </si>
  <si>
    <t xml:space="preserve">                       Df SumOfSqs      F Pr(&gt;F)    </t>
  </si>
  <si>
    <t>above.pca$scores[, 2]   1   4.3525 197.02  0.001 ***</t>
  </si>
  <si>
    <t xml:space="preserve">Residual              148   3.2696           </t>
  </si>
  <si>
    <t>Permanovas of fire effects on sprouting</t>
  </si>
  <si>
    <t>All terms</t>
  </si>
  <si>
    <t>Primary above-ground only</t>
  </si>
  <si>
    <t>PC2 only</t>
  </si>
  <si>
    <t>Duff consumption % only</t>
  </si>
  <si>
    <t>adonis2(formula = sprout.vol ~ (above.pca$scores[, 1]), method = "euc")</t>
  </si>
  <si>
    <t>above.pca$scores[, 1]   1   1.0504 23.655  0.001 ***</t>
  </si>
  <si>
    <t xml:space="preserve">Residual              148   6.5717                  </t>
  </si>
  <si>
    <t>PC 1 only</t>
  </si>
  <si>
    <t>max duff depth all</t>
  </si>
  <si>
    <t>flame length</t>
  </si>
  <si>
    <t>H</t>
  </si>
  <si>
    <t>B</t>
  </si>
  <si>
    <t>type</t>
  </si>
  <si>
    <t>ros</t>
  </si>
  <si>
    <t>hld01</t>
  </si>
  <si>
    <t>b</t>
  </si>
  <si>
    <t>h</t>
  </si>
  <si>
    <t>f</t>
  </si>
  <si>
    <t>h/psi</t>
  </si>
  <si>
    <t>Estimate</t>
  </si>
  <si>
    <t>Std. Error</t>
  </si>
  <si>
    <t>z value</t>
  </si>
  <si>
    <t>(Intercept)</t>
  </si>
  <si>
    <t>7.78e-05 ***</t>
  </si>
  <si>
    <t>0.000438 ***</t>
  </si>
  <si>
    <t xml:space="preserve">Percent duff consumed </t>
  </si>
  <si>
    <t>Depth duff consumed</t>
  </si>
  <si>
    <t>P value</t>
  </si>
  <si>
    <t>Live</t>
  </si>
  <si>
    <t>Top-killed</t>
  </si>
  <si>
    <t>DBH (cm)</t>
  </si>
  <si>
    <t>Height (m)</t>
  </si>
  <si>
    <t>Crown base height (m)</t>
  </si>
  <si>
    <t>3.0 (1.4)</t>
  </si>
  <si>
    <t>4.5 (2.0)</t>
  </si>
  <si>
    <t>11.4 (7.2)</t>
  </si>
  <si>
    <t>22.2 (10.3)</t>
  </si>
  <si>
    <t>10.9 (3.6)</t>
  </si>
  <si>
    <t>5.8 (2.6)</t>
  </si>
  <si>
    <t>Duff consumed (cm)</t>
  </si>
  <si>
    <t>29.8 (31.4)</t>
  </si>
  <si>
    <t>33.6 (30.7)</t>
  </si>
  <si>
    <t>26 (31.7)</t>
  </si>
  <si>
    <t>mean CVS</t>
  </si>
  <si>
    <t>p&lt;0.0001</t>
  </si>
  <si>
    <t>Crown dieback (%)</t>
  </si>
  <si>
    <t>&lt;0.0001</t>
  </si>
  <si>
    <t>P-value</t>
  </si>
  <si>
    <t>Coefficients:</t>
  </si>
  <si>
    <t>t value</t>
  </si>
  <si>
    <t>4.67e-05 ***</t>
  </si>
  <si>
    <t>1.04e-05 ***</t>
  </si>
  <si>
    <t>0.0116 *</t>
  </si>
  <si>
    <t>2.56e-15 ***</t>
  </si>
  <si>
    <t>lm(formula = dieback ~ ht + sprout.vol + I(CVS^2))</t>
  </si>
  <si>
    <t>lm(formula = dieback ~ duff.per.cons)</t>
  </si>
  <si>
    <t xml:space="preserve">              Estimate Std. Error t value Pr(&gt;|t|)    </t>
  </si>
  <si>
    <t>(Intercept)     24.530      3.424   7.164 3.35e-11 ***</t>
  </si>
  <si>
    <t xml:space="preserve">duff.per.cons   21.020      9.305   2.259   0.0253 *  </t>
  </si>
  <si>
    <t>Residual standard error: 30.79 on 149 degrees of freedom</t>
  </si>
  <si>
    <t xml:space="preserve">Multiple R-squared:  0.03311,   Adjusted R-squared:  0.02662 </t>
  </si>
  <si>
    <t>F-statistic: 5.103 on 1 and 149 DF,  p-value: 0.02534</t>
  </si>
  <si>
    <t>lm(formula = dieback ~ oaks$mean.depth.consumed.cm)</t>
  </si>
  <si>
    <t>Residuals:</t>
  </si>
  <si>
    <t xml:space="preserve">   Min     1Q Median     3Q    Max </t>
  </si>
  <si>
    <t xml:space="preserve">-45.09 -22.04 -16.57  14.34  73.43 </t>
  </si>
  <si>
    <t xml:space="preserve">                            Estimate Std. Error t value Pr(&gt;|t|)    </t>
  </si>
  <si>
    <t>(Intercept)                   26.567      3.218   8.254 7.52e-14 ***</t>
  </si>
  <si>
    <t xml:space="preserve">oaks$mean.depth.consumed.cm    1.865      1.150   1.622    0.107    </t>
  </si>
  <si>
    <t>Residual standard error: 31.04 on 149 degrees of freedom</t>
  </si>
  <si>
    <t xml:space="preserve">Multiple R-squared:  0.01735,   Adjusted R-squared:  0.01075 </t>
  </si>
  <si>
    <r>
      <t>F-statistic:  2.63 on 1 and 149 DF,  p-value:</t>
    </r>
    <r>
      <rPr>
        <b/>
        <sz val="10"/>
        <color rgb="FF000000"/>
        <rFont val="Lucida Console"/>
        <family val="3"/>
      </rPr>
      <t xml:space="preserve"> 0.1069</t>
    </r>
  </si>
  <si>
    <t>lm(formula = crown.dieback ~ ., data = sc100)</t>
  </si>
  <si>
    <t xml:space="preserve">    Min      1Q  Median      3Q     Max </t>
  </si>
  <si>
    <t xml:space="preserve">-49.468 -18.673   2.412  15.880  56.177 </t>
  </si>
  <si>
    <t>Coefficients: (1 not defined because of singularities)</t>
  </si>
  <si>
    <t xml:space="preserve">                     Estimate Std. Error t value Pr(&gt;|t|)    </t>
  </si>
  <si>
    <t>(Intercept)          94.89188   11.51801   8.239 4.66e-11 ***</t>
  </si>
  <si>
    <t xml:space="preserve">scorch                     NA         NA      NA       NA    </t>
  </si>
  <si>
    <t xml:space="preserve">bole.char.ht         -0.01095    0.06603  -0.166   0.8689    </t>
  </si>
  <si>
    <t xml:space="preserve">bole.ch.circ.at.DBH   0.21595    0.25891   0.834   0.4080    </t>
  </si>
  <si>
    <t xml:space="preserve">bole.ch.circ.at.base -0.07477    0.13057  -0.573   0.5693    </t>
  </si>
  <si>
    <t xml:space="preserve">per.duff.cons         0.26396    0.17400   1.517   0.1352    </t>
  </si>
  <si>
    <t xml:space="preserve">post.fire.sprouting  -0.26156    0.14467  -1.808   0.0763 .  </t>
  </si>
  <si>
    <t xml:space="preserve">height               -3.42087    1.95003  -1.754   0.0852 .  </t>
  </si>
  <si>
    <t xml:space="preserve">DBH                  -0.58834    0.73538  -0.800   0.4273    </t>
  </si>
  <si>
    <t>---</t>
  </si>
  <si>
    <t>Signif. codes:  0 ‘***’ 0.001 ‘**’ 0.01 ‘*’ 0.05 ‘.’ 0.1 ‘ ’ 1</t>
  </si>
  <si>
    <t>Residual standard error: 26.53 on 53 degrees of freedom</t>
  </si>
  <si>
    <t xml:space="preserve">Multiple R-squared:  0.3974,    Adjusted R-squared:  0.3178 </t>
  </si>
  <si>
    <t>F-statistic: 4.993 on 7 and 53 DF,  p-value: 0.0002163</t>
  </si>
  <si>
    <t>lm(formula = crown.dieback ~ ., data = oaks)</t>
  </si>
  <si>
    <t>Residual standard error: 21.98 on 142 degrees of freedom</t>
  </si>
  <si>
    <t xml:space="preserve">Multiple R-squared:  0.5306,    Adjusted R-squared:  0.5042 </t>
  </si>
  <si>
    <t>F-statistic: 20.06 on 8 and 142 DF,  p-value: &lt; 2.2e-16</t>
  </si>
  <si>
    <t>0.000164 ***</t>
  </si>
  <si>
    <t>8.38e-10 ***</t>
  </si>
  <si>
    <t>0.070782 .</t>
  </si>
  <si>
    <t>0.002711 **</t>
  </si>
  <si>
    <t>PCVS</t>
  </si>
  <si>
    <t>Evaluation criteria</t>
  </si>
  <si>
    <t>Model predictors</t>
  </si>
  <si>
    <t>RMSE</t>
  </si>
  <si>
    <t>AIC</t>
  </si>
  <si>
    <t>PCVS+Bole char ht</t>
  </si>
  <si>
    <t>PCVS+Bole char ht+DBHCC</t>
  </si>
  <si>
    <t>PCVS+Bole char ht+DBHCC+BCC</t>
  </si>
  <si>
    <t>PCVS+Bole char ht+DBHCC+BCC+Duff cons (%)</t>
  </si>
  <si>
    <t>PCVS+Bole char ht+DBHCC+BCC+Duff cons (%)+Height</t>
  </si>
  <si>
    <t>PCVS+Bole char ht+DBHCC+BCC+Duff cons (%)+Height+DBH</t>
  </si>
  <si>
    <t>PCVS+Bole char ht+DBHCC+BCC+Duff cons (%)+Height+DBH+PCVSP</t>
  </si>
  <si>
    <t>R²</t>
  </si>
  <si>
    <t>PCVS+Height+PCVSP</t>
  </si>
  <si>
    <t>PCVS²+Height+PCVSP (final model)</t>
  </si>
  <si>
    <r>
      <t>PCVS</t>
    </r>
    <r>
      <rPr>
        <sz val="12"/>
        <color theme="1"/>
        <rFont val="Calibri"/>
        <family val="2"/>
      </rPr>
      <t>²</t>
    </r>
  </si>
  <si>
    <t xml:space="preserve">       Estimate Std. Error t value Pr(&gt;|t|)    </t>
  </si>
  <si>
    <t>(Intercept) 30.48519    8.08560   3.770 0.000236 ***</t>
  </si>
  <si>
    <t>CVS          0.45476    0.05923   7.678 2.08e-12 ***</t>
  </si>
  <si>
    <t>ht          -0.78455    0.14935  -5.253 5.16e-07 ***</t>
  </si>
  <si>
    <t xml:space="preserve">sprout.vol  -0.16333    0.09001  -1.815 0.071610 .  </t>
  </si>
  <si>
    <t>Post-fire sprouting</t>
  </si>
  <si>
    <t>Tree height</t>
  </si>
  <si>
    <t>Crown scorch</t>
  </si>
  <si>
    <t>CVS + HT + DBH + Sprout +CVS2</t>
  </si>
  <si>
    <t>CVS + HT + Sprout +CVS2</t>
  </si>
  <si>
    <t>CVS + DBH + Sprout +CVS2</t>
  </si>
  <si>
    <t>mod2</t>
  </si>
  <si>
    <t>mod3</t>
  </si>
  <si>
    <t>mod4</t>
  </si>
  <si>
    <t>lm(formula = dieback ~ ht + sprout.vol + I(CVS^2) + CVS)</t>
  </si>
  <si>
    <t xml:space="preserve">-48.02 -13.00   0.21  11.21  56.64 </t>
  </si>
  <si>
    <t xml:space="preserve">             Estimate Std. Error t value Pr(&gt;|t|)    </t>
  </si>
  <si>
    <t>(Intercept) 37.328442   7.779394   4.798 3.91e-06 ***</t>
  </si>
  <si>
    <t>ht          -0.618491   0.145761  -4.243 3.90e-05 ***</t>
  </si>
  <si>
    <t xml:space="preserve">sprout.vol  -0.243409   0.086779  -2.805  0.00572 ** </t>
  </si>
  <si>
    <t>I(CVS^2)     0.009119   0.002071   4.404 2.04e-05 ***</t>
  </si>
  <si>
    <t xml:space="preserve">CVS         -0.519316   0.228102  -2.277  0.02426 *  </t>
  </si>
  <si>
    <t>Residual standard error: 20.91 on 146 degrees of freedom</t>
  </si>
  <si>
    <t xml:space="preserve">Multiple R-squared:  0.5631,    Adjusted R-squared:  0.5511 </t>
  </si>
  <si>
    <t>F-statistic: 47.04 on 4 and 146 DF,  p-value: &lt; 2.2e-16</t>
  </si>
  <si>
    <t>HLD 02</t>
  </si>
  <si>
    <t>HLD02</t>
  </si>
  <si>
    <t>bch.m</t>
  </si>
  <si>
    <t>bch.sd</t>
  </si>
  <si>
    <t>bcc.m</t>
  </si>
  <si>
    <t>bcc.sd</t>
  </si>
  <si>
    <t>dbhcc.m</t>
  </si>
  <si>
    <t>dbhcc.sd</t>
  </si>
  <si>
    <t>pcvs.m</t>
  </si>
  <si>
    <t>pcvs.sd</t>
  </si>
  <si>
    <t>duff.cm.m</t>
  </si>
  <si>
    <t>duff.cm.sd</t>
  </si>
  <si>
    <t>duff.per.m</t>
  </si>
  <si>
    <t>duff.per.sd</t>
  </si>
  <si>
    <t>dieback.m</t>
  </si>
  <si>
    <t>dieback.sd</t>
  </si>
  <si>
    <t>54.7 (48.8)</t>
  </si>
  <si>
    <t>38.1 (74.4)</t>
  </si>
  <si>
    <t>91.6 (108.8)</t>
  </si>
  <si>
    <t>28.8 (37.6)</t>
  </si>
  <si>
    <t>15.8 (25.6)</t>
  </si>
  <si>
    <t>25.8 (36.5)</t>
  </si>
  <si>
    <t>50.3 (31.8)</t>
  </si>
  <si>
    <t>19.7 (26.2)</t>
  </si>
  <si>
    <t>69 (32.3)</t>
  </si>
  <si>
    <t>49.2 (41.6)</t>
  </si>
  <si>
    <t>66.1 (36.4)</t>
  </si>
  <si>
    <t>3.3 (2.8)</t>
  </si>
  <si>
    <t>1.6 (1.5)</t>
  </si>
  <si>
    <t>0.3 (0.6)</t>
  </si>
  <si>
    <t>0.6 (1.2)</t>
  </si>
  <si>
    <t>5.7 (17.6)</t>
  </si>
  <si>
    <t>5.6 (19)</t>
  </si>
  <si>
    <t>2 (8.33)</t>
  </si>
  <si>
    <t>37.4 (31.5)</t>
  </si>
  <si>
    <t>9.4 (17.2)</t>
  </si>
  <si>
    <t>28.5 (22.8)</t>
  </si>
  <si>
    <t>9.1 (16.6)</t>
  </si>
  <si>
    <t>21.9 (25.9)</t>
  </si>
  <si>
    <t>Crown scorch (%)</t>
  </si>
  <si>
    <t>Fall sprouting (%)</t>
  </si>
  <si>
    <t>--</t>
  </si>
  <si>
    <t>9.2 (21.7)</t>
  </si>
  <si>
    <t>11.3 (22.8)</t>
  </si>
  <si>
    <t>10 (23.7)</t>
  </si>
  <si>
    <t>Percent mortality</t>
  </si>
  <si>
    <t>Dbh killed trees</t>
  </si>
  <si>
    <t>Fofem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</si>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</sst>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Lucida Console"/>
      <family val="3"/>
    </font>
    <font>
      <b/>
      <sz val="10"/>
      <color rgb="FFFF0000"/>
      <name val="Lucida Console"/>
      <family val="3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wrapText="1"/>
    </xf>
    <xf numFmtId="2" fontId="0" fillId="0" borderId="0" xfId="0" applyNumberFormat="1"/>
    <xf numFmtId="0" fontId="0" fillId="0" borderId="0" xfId="0" applyBorder="1"/>
    <xf numFmtId="9" fontId="0" fillId="0" borderId="0" xfId="0" applyNumberFormat="1" applyBorder="1"/>
    <xf numFmtId="9" fontId="0" fillId="0" borderId="0" xfId="1" applyFont="1" applyBorder="1"/>
    <xf numFmtId="0" fontId="0" fillId="0" borderId="1" xfId="0" applyBorder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/>
    <xf numFmtId="164" fontId="7" fillId="0" borderId="0" xfId="0" applyNumberFormat="1" applyFont="1"/>
    <xf numFmtId="164" fontId="8" fillId="0" borderId="0" xfId="0" applyNumberFormat="1" applyFont="1" applyAlignment="1">
      <alignment vertical="center"/>
    </xf>
    <xf numFmtId="164" fontId="0" fillId="0" borderId="0" xfId="0" applyNumberFormat="1" applyFont="1"/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vertical="center"/>
    </xf>
    <xf numFmtId="0" fontId="12" fillId="0" borderId="0" xfId="0" applyFont="1"/>
    <xf numFmtId="0" fontId="12" fillId="0" borderId="1" xfId="0" applyFont="1" applyBorder="1"/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horizontal="right"/>
    </xf>
    <xf numFmtId="164" fontId="12" fillId="0" borderId="0" xfId="0" applyNumberFormat="1" applyFont="1"/>
    <xf numFmtId="0" fontId="12" fillId="0" borderId="0" xfId="0" applyFont="1" applyBorder="1"/>
    <xf numFmtId="2" fontId="12" fillId="0" borderId="0" xfId="0" applyNumberFormat="1" applyFont="1"/>
    <xf numFmtId="0" fontId="14" fillId="0" borderId="0" xfId="0" applyFont="1"/>
    <xf numFmtId="9" fontId="0" fillId="0" borderId="0" xfId="0" applyNumberFormat="1"/>
    <xf numFmtId="0" fontId="12" fillId="0" borderId="1" xfId="0" applyFont="1" applyBorder="1" applyAlignment="1">
      <alignment horizontal="center"/>
    </xf>
    <xf numFmtId="166" fontId="0" fillId="0" borderId="0" xfId="0" applyNumberFormat="1"/>
    <xf numFmtId="2" fontId="0" fillId="0" borderId="0" xfId="0" quotePrefix="1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00"/>
      <color rgb="FF4CD45C"/>
      <color rgb="FFFF9900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3.5500876900971E-2"/>
          <c:w val="0.99988600895442359"/>
          <c:h val="0.96449900388957399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9525" cap="flat" cmpd="sng" algn="ctr">
              <a:noFill/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77-483A-A068-8DCDEEE01B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spcCol="548640" anchor="t" anchorCtr="1">
                <a:no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dieback!$B$26:$B$28</c:f>
              <c:strCache>
                <c:ptCount val="3"/>
                <c:pt idx="0">
                  <c:v>Tree height</c:v>
                </c:pt>
                <c:pt idx="1">
                  <c:v>Crown scorch</c:v>
                </c:pt>
                <c:pt idx="2">
                  <c:v>Post-fire sprouting</c:v>
                </c:pt>
              </c:strCache>
            </c:strRef>
          </c:cat>
          <c:val>
            <c:numRef>
              <c:f>dieback!$C$26:$C$28</c:f>
              <c:numCache>
                <c:formatCode>0.00</c:formatCode>
                <c:ptCount val="3"/>
                <c:pt idx="0">
                  <c:v>-0.78</c:v>
                </c:pt>
                <c:pt idx="1">
                  <c:v>0.44800000000000001</c:v>
                </c:pt>
                <c:pt idx="2">
                  <c:v>-0.16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9-47A1-AFC8-BC1C35C73A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6001968"/>
        <c:axId val="216002528"/>
      </c:barChart>
      <c:catAx>
        <c:axId val="21600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cap="all" baseline="0">
                <a:solidFill>
                  <a:srgbClr val="FF9900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216002528"/>
        <c:crosses val="autoZero"/>
        <c:auto val="1"/>
        <c:lblAlgn val="ctr"/>
        <c:lblOffset val="100"/>
        <c:noMultiLvlLbl val="0"/>
      </c:catAx>
      <c:valAx>
        <c:axId val="216002528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2160019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271461</xdr:colOff>
      <xdr:row>48</xdr:row>
      <xdr:rowOff>47624</xdr:rowOff>
    </xdr:from>
    <xdr:to>
      <xdr:col>7</xdr:col>
      <xdr:colOff>257175</xdr:colOff>
      <xdr:row>64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942974</xdr:colOff>
      <xdr:row>36</xdr:row>
      <xdr:rowOff>19050</xdr:rowOff>
    </xdr:from>
    <xdr:to>
      <xdr:col>4</xdr:col>
      <xdr:colOff>590549</xdr:colOff>
      <xdr:row>48</xdr:row>
      <xdr:rowOff>66675</xdr:rowOff>
    </xdr:to>
    <xdr:sp macro="" textlink="">
      <xdr:nvSpPr>
        <xdr:cNvPr id="3" name="Down Arrow 2"/>
        <xdr:cNvSpPr/>
      </xdr:nvSpPr>
      <xdr:spPr>
        <a:xfrm>
          <a:off x="942974" y="7143750"/>
          <a:ext cx="3609975" cy="2333625"/>
        </a:xfrm>
        <a:prstGeom prst="downArrow">
          <a:avLst/>
        </a:prstGeom>
        <a:solidFill>
          <a:srgbClr val="4CD45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200024</xdr:colOff>
      <xdr:row>36</xdr:row>
      <xdr:rowOff>133349</xdr:rowOff>
    </xdr:from>
    <xdr:to>
      <xdr:col>3</xdr:col>
      <xdr:colOff>47624</xdr:colOff>
      <xdr:row>50</xdr:row>
      <xdr:rowOff>57149</xdr:rowOff>
    </xdr:to>
    <xdr:sp macro="" textlink="">
      <xdr:nvSpPr>
        <xdr:cNvPr id="4" name="Down Arrow 3"/>
        <xdr:cNvSpPr/>
      </xdr:nvSpPr>
      <xdr:spPr>
        <a:xfrm rot="10800000">
          <a:off x="200024" y="7258049"/>
          <a:ext cx="2981325" cy="2590800"/>
        </a:xfrm>
        <a:prstGeom prst="downArrow">
          <a:avLst/>
        </a:prstGeom>
        <a:solidFill>
          <a:srgbClr val="FFCC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3" sqref="K23"/>
    </sheetView>
  </sheetViews>
  <sheetFormatPr defaultRowHeight="14.4" x14ac:dyDescent="0.3"/>
  <cols>
    <col min="1" max="1" width="23.44140625" customWidth="1"/>
    <col min="2" max="2" width="16.44140625" customWidth="1"/>
    <col min="3" max="3" width="13.88671875" customWidth="1"/>
    <col min="4" max="4" width="14.5546875" customWidth="1"/>
    <col min="5" max="5" width="12.44140625" customWidth="1"/>
    <col min="7" max="7" width="22.44140625" customWidth="1"/>
  </cols>
  <sheetData>
    <row r="1" spans="1:11" x14ac:dyDescent="0.3">
      <c r="A1" s="6"/>
      <c r="B1" s="6" t="s">
        <v>0</v>
      </c>
      <c r="C1" s="6" t="s">
        <v>215</v>
      </c>
      <c r="D1" s="6" t="s">
        <v>12</v>
      </c>
      <c r="E1" s="6" t="s">
        <v>11</v>
      </c>
      <c r="G1" t="s">
        <v>33</v>
      </c>
      <c r="H1" t="s">
        <v>0</v>
      </c>
      <c r="I1" t="s">
        <v>215</v>
      </c>
      <c r="J1" t="s">
        <v>12</v>
      </c>
      <c r="K1" t="s">
        <v>11</v>
      </c>
    </row>
    <row r="2" spans="1:11" x14ac:dyDescent="0.3">
      <c r="A2" t="s">
        <v>10</v>
      </c>
      <c r="B2" s="2" t="s">
        <v>230</v>
      </c>
      <c r="C2" s="2" t="s">
        <v>231</v>
      </c>
      <c r="D2" s="2" t="s">
        <v>232</v>
      </c>
      <c r="E2" s="2" t="s">
        <v>233</v>
      </c>
      <c r="G2" t="s">
        <v>216</v>
      </c>
      <c r="H2" s="38">
        <v>54.729410000000001</v>
      </c>
      <c r="I2" s="38">
        <v>38.06</v>
      </c>
      <c r="J2" s="38">
        <v>91.585999999999999</v>
      </c>
      <c r="K2" s="38">
        <v>28.841999999999999</v>
      </c>
    </row>
    <row r="3" spans="1:11" x14ac:dyDescent="0.3">
      <c r="A3" t="s">
        <v>7</v>
      </c>
      <c r="B3" s="2" t="s">
        <v>5</v>
      </c>
      <c r="C3" s="2" t="s">
        <v>235</v>
      </c>
      <c r="D3" s="2" t="s">
        <v>236</v>
      </c>
      <c r="E3" s="2" t="s">
        <v>237</v>
      </c>
      <c r="G3" s="7" t="s">
        <v>217</v>
      </c>
      <c r="H3" s="38">
        <v>48.821109999999997</v>
      </c>
      <c r="I3" s="38">
        <v>74.384110000000007</v>
      </c>
      <c r="J3" s="38">
        <v>108.75046</v>
      </c>
      <c r="K3" s="38">
        <v>37.570979999999999</v>
      </c>
    </row>
    <row r="4" spans="1:11" x14ac:dyDescent="0.3">
      <c r="A4" t="s">
        <v>9</v>
      </c>
      <c r="B4" s="2" t="s">
        <v>245</v>
      </c>
      <c r="C4" s="2" t="s">
        <v>246</v>
      </c>
      <c r="D4" s="2" t="s">
        <v>234</v>
      </c>
      <c r="E4" s="2" t="s">
        <v>247</v>
      </c>
      <c r="G4" s="7" t="s">
        <v>218</v>
      </c>
      <c r="H4" s="38">
        <v>70.607839999999996</v>
      </c>
      <c r="I4" s="38">
        <v>25.8</v>
      </c>
      <c r="J4" s="38">
        <v>50.3</v>
      </c>
      <c r="K4" s="38">
        <v>19.66</v>
      </c>
    </row>
    <row r="5" spans="1:11" x14ac:dyDescent="0.3">
      <c r="A5" t="s">
        <v>253</v>
      </c>
      <c r="B5" s="2" t="s">
        <v>238</v>
      </c>
      <c r="C5" s="2" t="s">
        <v>239</v>
      </c>
      <c r="D5" s="2" t="s">
        <v>6</v>
      </c>
      <c r="E5" s="2" t="s">
        <v>240</v>
      </c>
      <c r="G5" s="7" t="s">
        <v>219</v>
      </c>
      <c r="H5" s="38">
        <v>33.805959999999999</v>
      </c>
      <c r="I5" s="38">
        <v>36.538490000000003</v>
      </c>
      <c r="J5" s="38">
        <v>31.8384</v>
      </c>
      <c r="K5" s="38">
        <v>26.274539999999998</v>
      </c>
    </row>
    <row r="6" spans="1:11" x14ac:dyDescent="0.3">
      <c r="A6" t="s">
        <v>113</v>
      </c>
      <c r="B6" s="2" t="s">
        <v>241</v>
      </c>
      <c r="C6" s="2" t="s">
        <v>244</v>
      </c>
      <c r="D6" s="2" t="s">
        <v>242</v>
      </c>
      <c r="E6" s="2" t="s">
        <v>243</v>
      </c>
      <c r="G6" t="s">
        <v>220</v>
      </c>
      <c r="H6" s="38">
        <v>5.6862750000000002</v>
      </c>
      <c r="I6" s="38">
        <v>5.6</v>
      </c>
      <c r="J6" s="38">
        <v>15.8</v>
      </c>
      <c r="K6" s="38">
        <v>2</v>
      </c>
    </row>
    <row r="7" spans="1:11" x14ac:dyDescent="0.3">
      <c r="A7" t="s">
        <v>8</v>
      </c>
      <c r="B7" s="2" t="s">
        <v>248</v>
      </c>
      <c r="C7" s="2" t="s">
        <v>249</v>
      </c>
      <c r="D7" s="2" t="s">
        <v>250</v>
      </c>
      <c r="E7" s="2" t="s">
        <v>251</v>
      </c>
      <c r="G7" t="s">
        <v>221</v>
      </c>
      <c r="H7" s="38">
        <v>17.578954</v>
      </c>
      <c r="I7" s="38">
        <v>18.969363000000001</v>
      </c>
      <c r="J7" s="38">
        <v>25.622057000000002</v>
      </c>
      <c r="K7" s="38">
        <v>8.3299310000000002</v>
      </c>
    </row>
    <row r="8" spans="1:11" x14ac:dyDescent="0.3">
      <c r="A8" t="s">
        <v>119</v>
      </c>
      <c r="B8" s="2" t="s">
        <v>114</v>
      </c>
      <c r="C8" s="2" t="s">
        <v>252</v>
      </c>
      <c r="D8" s="2" t="s">
        <v>115</v>
      </c>
      <c r="E8" s="2" t="s">
        <v>116</v>
      </c>
      <c r="G8" t="s">
        <v>222</v>
      </c>
      <c r="H8" s="38">
        <v>69.01961</v>
      </c>
      <c r="I8" s="38">
        <v>49.2</v>
      </c>
      <c r="J8" s="38">
        <v>67.3</v>
      </c>
      <c r="K8" s="38">
        <v>66.02</v>
      </c>
    </row>
    <row r="9" spans="1:11" x14ac:dyDescent="0.3">
      <c r="A9" t="s">
        <v>254</v>
      </c>
      <c r="B9" s="2" t="s">
        <v>256</v>
      </c>
      <c r="C9" s="39" t="s">
        <v>255</v>
      </c>
      <c r="D9" s="2" t="s">
        <v>257</v>
      </c>
      <c r="E9" s="2" t="s">
        <v>258</v>
      </c>
      <c r="G9" t="s">
        <v>223</v>
      </c>
      <c r="H9" s="38">
        <v>32.32676</v>
      </c>
      <c r="I9" s="38">
        <v>41.641820000000003</v>
      </c>
      <c r="J9" s="38">
        <v>40.294960000000003</v>
      </c>
      <c r="K9" s="38">
        <v>36.370820000000002</v>
      </c>
    </row>
    <row r="10" spans="1:11" x14ac:dyDescent="0.3">
      <c r="C10" t="s">
        <v>1</v>
      </c>
      <c r="G10" t="s">
        <v>224</v>
      </c>
      <c r="H10" s="38">
        <v>3.2605879999999998</v>
      </c>
      <c r="I10" s="38">
        <v>0.60660000000000003</v>
      </c>
      <c r="J10" s="38">
        <v>1.6204000000000001</v>
      </c>
      <c r="K10" s="38">
        <v>0.29480000000000001</v>
      </c>
    </row>
    <row r="11" spans="1:11" x14ac:dyDescent="0.3">
      <c r="A11" s="6"/>
      <c r="B11" s="6" t="s">
        <v>93</v>
      </c>
      <c r="C11" s="6" t="s">
        <v>94</v>
      </c>
      <c r="D11" s="6" t="s">
        <v>95</v>
      </c>
      <c r="E11" s="6" t="s">
        <v>101</v>
      </c>
      <c r="G11" t="s">
        <v>225</v>
      </c>
      <c r="H11" s="38">
        <v>2.7604662000000002</v>
      </c>
      <c r="I11" s="38">
        <v>1.1928231</v>
      </c>
      <c r="J11" s="38">
        <v>1.4612951000000001</v>
      </c>
      <c r="K11" s="38">
        <v>0.6415168</v>
      </c>
    </row>
    <row r="12" spans="1:11" x14ac:dyDescent="0.3">
      <c r="A12" t="s">
        <v>96</v>
      </c>
      <c r="B12">
        <v>-6.7618510000000001</v>
      </c>
      <c r="C12">
        <v>1.711392</v>
      </c>
      <c r="D12">
        <v>-3.9510000000000001</v>
      </c>
      <c r="E12" t="s">
        <v>97</v>
      </c>
      <c r="G12" t="s">
        <v>226</v>
      </c>
      <c r="H12" s="38">
        <v>37.358429999999998</v>
      </c>
      <c r="I12" s="38">
        <v>9.4215999999999998</v>
      </c>
      <c r="J12" s="38">
        <v>28.485600000000002</v>
      </c>
      <c r="K12" s="38">
        <v>9.1435999999999993</v>
      </c>
    </row>
    <row r="13" spans="1:11" x14ac:dyDescent="0.3">
      <c r="A13" t="s">
        <v>27</v>
      </c>
      <c r="B13">
        <v>6.2771999999999994E-2</v>
      </c>
      <c r="C13">
        <v>1.7852E-2</v>
      </c>
      <c r="D13">
        <v>3.516</v>
      </c>
      <c r="E13" t="s">
        <v>98</v>
      </c>
      <c r="G13" t="s">
        <v>227</v>
      </c>
      <c r="H13" s="38">
        <v>31.481570000000001</v>
      </c>
      <c r="I13" s="38">
        <v>17.217739999999999</v>
      </c>
      <c r="J13" s="38">
        <v>22.782979999999998</v>
      </c>
      <c r="K13" s="38">
        <v>16.617190000000001</v>
      </c>
    </row>
    <row r="14" spans="1:11" x14ac:dyDescent="0.3">
      <c r="A14" t="s">
        <v>28</v>
      </c>
      <c r="B14">
        <v>-2.1710000000000002E-3</v>
      </c>
      <c r="C14">
        <v>3.663E-3</v>
      </c>
      <c r="D14">
        <v>-0.59299999999999997</v>
      </c>
      <c r="E14">
        <v>0.55350900000000003</v>
      </c>
      <c r="G14" t="s">
        <v>228</v>
      </c>
      <c r="H14" s="38">
        <v>29.803920000000002</v>
      </c>
      <c r="I14" s="38">
        <v>21.9</v>
      </c>
      <c r="J14" s="38">
        <v>33.6</v>
      </c>
      <c r="K14" s="38">
        <v>26</v>
      </c>
    </row>
    <row r="15" spans="1:11" x14ac:dyDescent="0.3">
      <c r="A15" t="s">
        <v>99</v>
      </c>
      <c r="B15">
        <v>1.4817E-2</v>
      </c>
      <c r="C15">
        <v>1.5893000000000001E-2</v>
      </c>
      <c r="D15">
        <v>0.93200000000000005</v>
      </c>
      <c r="E15">
        <v>0.35120600000000002</v>
      </c>
      <c r="G15" t="s">
        <v>229</v>
      </c>
      <c r="H15" s="38">
        <v>31.400010000000002</v>
      </c>
      <c r="I15" s="38">
        <v>25.909770000000002</v>
      </c>
      <c r="J15" s="38">
        <v>30.690020000000001</v>
      </c>
      <c r="K15" s="38">
        <v>31.687249999999999</v>
      </c>
    </row>
    <row r="16" spans="1:11" x14ac:dyDescent="0.3">
      <c r="A16" t="s">
        <v>100</v>
      </c>
      <c r="B16">
        <v>-0.241811</v>
      </c>
      <c r="C16">
        <v>0.207373</v>
      </c>
      <c r="D16">
        <v>-1.1659999999999999</v>
      </c>
      <c r="E16">
        <v>0.243587</v>
      </c>
    </row>
    <row r="17" spans="1:8" x14ac:dyDescent="0.3">
      <c r="A17" t="s">
        <v>30</v>
      </c>
      <c r="B17">
        <v>1.1949129999999999</v>
      </c>
      <c r="C17">
        <v>1.426785</v>
      </c>
      <c r="D17">
        <v>0.83699999999999997</v>
      </c>
      <c r="E17">
        <v>0.40231899999999998</v>
      </c>
    </row>
    <row r="18" spans="1:8" x14ac:dyDescent="0.3">
      <c r="A18" t="s">
        <v>29</v>
      </c>
      <c r="B18">
        <v>0.56193599999999999</v>
      </c>
      <c r="C18">
        <v>0.885633</v>
      </c>
      <c r="D18">
        <v>0.63500000000000001</v>
      </c>
      <c r="E18">
        <v>0.52575400000000005</v>
      </c>
    </row>
    <row r="21" spans="1:8" x14ac:dyDescent="0.3">
      <c r="A21" s="6"/>
      <c r="B21" s="6" t="s">
        <v>93</v>
      </c>
      <c r="C21" s="6" t="s">
        <v>94</v>
      </c>
      <c r="D21" s="6" t="s">
        <v>101</v>
      </c>
    </row>
    <row r="22" spans="1:8" x14ac:dyDescent="0.3">
      <c r="A22" t="s">
        <v>27</v>
      </c>
      <c r="B22">
        <v>6.2771999999999994E-2</v>
      </c>
      <c r="C22">
        <v>1.7852E-2</v>
      </c>
      <c r="D22" t="s">
        <v>98</v>
      </c>
      <c r="H22" t="s">
        <v>1</v>
      </c>
    </row>
    <row r="23" spans="1:8" x14ac:dyDescent="0.3">
      <c r="A23" t="s">
        <v>28</v>
      </c>
      <c r="B23">
        <v>-2.1710000000000002E-3</v>
      </c>
      <c r="C23">
        <v>3.663E-3</v>
      </c>
      <c r="D23">
        <v>0.55350900000000003</v>
      </c>
    </row>
    <row r="24" spans="1:8" x14ac:dyDescent="0.3">
      <c r="A24" t="s">
        <v>99</v>
      </c>
      <c r="B24">
        <v>1.4817E-2</v>
      </c>
      <c r="C24">
        <v>1.5893000000000001E-2</v>
      </c>
      <c r="D24">
        <v>0.35120600000000002</v>
      </c>
    </row>
    <row r="25" spans="1:8" x14ac:dyDescent="0.3">
      <c r="A25" t="s">
        <v>100</v>
      </c>
      <c r="B25">
        <v>-0.241811</v>
      </c>
      <c r="C25">
        <v>0.207373</v>
      </c>
      <c r="D25">
        <v>0.243587</v>
      </c>
    </row>
    <row r="26" spans="1:8" x14ac:dyDescent="0.3">
      <c r="A26" t="s">
        <v>30</v>
      </c>
      <c r="B26">
        <v>1.1949129999999999</v>
      </c>
      <c r="C26">
        <v>1.426785</v>
      </c>
      <c r="D26">
        <v>0.40231899999999998</v>
      </c>
    </row>
    <row r="27" spans="1:8" x14ac:dyDescent="0.3">
      <c r="A27" t="s">
        <v>29</v>
      </c>
      <c r="B27">
        <v>0.56193599999999999</v>
      </c>
      <c r="C27">
        <v>0.885633</v>
      </c>
      <c r="D27">
        <v>0.52575400000000005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G7" sqref="G7"/>
    </sheetView>
  </sheetViews>
  <sheetFormatPr defaultRowHeight="14.4" x14ac:dyDescent="0.3"/>
  <cols>
    <col min="1" max="1" width="21.33203125" customWidth="1"/>
    <col min="2" max="2" width="11.5546875" customWidth="1"/>
    <col min="3" max="3" width="12.33203125" customWidth="1"/>
  </cols>
  <sheetData>
    <row r="2" spans="1:4" x14ac:dyDescent="0.3">
      <c r="A2" s="6"/>
      <c r="B2" s="6" t="s">
        <v>102</v>
      </c>
      <c r="C2" s="6" t="s">
        <v>103</v>
      </c>
      <c r="D2" t="s">
        <v>121</v>
      </c>
    </row>
    <row r="3" spans="1:4" x14ac:dyDescent="0.3">
      <c r="A3" t="s">
        <v>104</v>
      </c>
      <c r="B3" t="s">
        <v>110</v>
      </c>
      <c r="C3" t="s">
        <v>109</v>
      </c>
      <c r="D3" t="s">
        <v>120</v>
      </c>
    </row>
    <row r="4" spans="1:4" x14ac:dyDescent="0.3">
      <c r="A4" t="s">
        <v>105</v>
      </c>
      <c r="B4" t="s">
        <v>111</v>
      </c>
      <c r="C4" t="s">
        <v>112</v>
      </c>
    </row>
    <row r="5" spans="1:4" x14ac:dyDescent="0.3">
      <c r="A5" t="s">
        <v>106</v>
      </c>
      <c r="B5" t="s">
        <v>108</v>
      </c>
      <c r="C5" t="s">
        <v>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workbookViewId="0">
      <selection activeCell="L17" sqref="L17"/>
    </sheetView>
  </sheetViews>
  <sheetFormatPr defaultRowHeight="14.4" x14ac:dyDescent="0.3"/>
  <cols>
    <col min="2" max="2" width="25.88671875" customWidth="1"/>
    <col min="4" max="4" width="11.5546875" customWidth="1"/>
    <col min="5" max="5" width="8.5546875" customWidth="1"/>
    <col min="6" max="6" width="11.109375" customWidth="1"/>
    <col min="8" max="8" width="19.88671875" customWidth="1"/>
    <col min="12" max="12" width="11" customWidth="1"/>
  </cols>
  <sheetData>
    <row r="1" spans="2:8" x14ac:dyDescent="0.3">
      <c r="H1" t="s">
        <v>73</v>
      </c>
    </row>
    <row r="2" spans="2:8" x14ac:dyDescent="0.3">
      <c r="B2" s="16"/>
      <c r="C2" s="9" t="s">
        <v>37</v>
      </c>
      <c r="D2" s="9" t="s">
        <v>38</v>
      </c>
      <c r="E2" s="9" t="s">
        <v>39</v>
      </c>
      <c r="F2" s="9" t="s">
        <v>40</v>
      </c>
      <c r="H2" s="18" t="s">
        <v>74</v>
      </c>
    </row>
    <row r="3" spans="2:8" x14ac:dyDescent="0.3">
      <c r="B3" s="17" t="s">
        <v>19</v>
      </c>
      <c r="C3" s="21">
        <v>1</v>
      </c>
      <c r="D3" s="21">
        <v>4.5910000000000002</v>
      </c>
      <c r="E3" s="21">
        <v>15.628</v>
      </c>
      <c r="F3" s="21" t="s">
        <v>41</v>
      </c>
      <c r="H3" s="7" t="s">
        <v>59</v>
      </c>
    </row>
    <row r="4" spans="2:8" x14ac:dyDescent="0.3">
      <c r="B4" s="17" t="s">
        <v>20</v>
      </c>
      <c r="C4" s="21">
        <v>1</v>
      </c>
      <c r="D4" s="21">
        <v>5.0999999999999997E-2</v>
      </c>
      <c r="E4" s="21">
        <v>0.17380000000000001</v>
      </c>
      <c r="F4" s="22">
        <v>0.92800000000000005</v>
      </c>
      <c r="H4" s="7" t="s">
        <v>60</v>
      </c>
    </row>
    <row r="5" spans="2:8" x14ac:dyDescent="0.3">
      <c r="B5" s="17" t="s">
        <v>43</v>
      </c>
      <c r="C5" s="21">
        <v>1</v>
      </c>
      <c r="D5" s="21">
        <v>2.637</v>
      </c>
      <c r="E5" s="21">
        <v>8.9769000000000005</v>
      </c>
      <c r="F5" s="21" t="s">
        <v>41</v>
      </c>
      <c r="H5" s="7" t="s">
        <v>61</v>
      </c>
    </row>
    <row r="6" spans="2:8" x14ac:dyDescent="0.3">
      <c r="B6" s="17" t="s">
        <v>42</v>
      </c>
      <c r="C6" s="21">
        <v>146</v>
      </c>
      <c r="D6" s="21">
        <v>42.887</v>
      </c>
      <c r="E6" s="21"/>
      <c r="F6" s="21"/>
      <c r="H6" s="7" t="s">
        <v>62</v>
      </c>
    </row>
    <row r="7" spans="2:8" x14ac:dyDescent="0.3">
      <c r="H7" s="7" t="s">
        <v>63</v>
      </c>
    </row>
    <row r="8" spans="2:8" x14ac:dyDescent="0.3">
      <c r="B8" s="16"/>
      <c r="C8" s="9" t="s">
        <v>37</v>
      </c>
      <c r="D8" s="9" t="s">
        <v>38</v>
      </c>
      <c r="E8" s="9" t="s">
        <v>39</v>
      </c>
      <c r="F8" s="9" t="s">
        <v>40</v>
      </c>
      <c r="H8" s="7" t="s">
        <v>64</v>
      </c>
    </row>
    <row r="9" spans="2:8" x14ac:dyDescent="0.3">
      <c r="B9" s="17" t="s">
        <v>19</v>
      </c>
      <c r="C9">
        <v>1</v>
      </c>
      <c r="D9">
        <v>4.5910000000000002</v>
      </c>
      <c r="E9">
        <v>14.823600000000001</v>
      </c>
      <c r="F9" t="s">
        <v>41</v>
      </c>
      <c r="H9" s="7"/>
    </row>
    <row r="10" spans="2:8" x14ac:dyDescent="0.3">
      <c r="B10" s="17" t="s">
        <v>20</v>
      </c>
      <c r="C10">
        <v>1</v>
      </c>
      <c r="D10">
        <v>5.0999999999999997E-2</v>
      </c>
      <c r="E10">
        <v>0.1648</v>
      </c>
      <c r="F10" s="20">
        <v>0.92700000000000005</v>
      </c>
      <c r="H10" s="25" t="s">
        <v>75</v>
      </c>
    </row>
    <row r="11" spans="2:8" x14ac:dyDescent="0.3">
      <c r="B11" s="7" t="s">
        <v>42</v>
      </c>
      <c r="C11">
        <v>147</v>
      </c>
      <c r="D11">
        <v>45.524000000000001</v>
      </c>
      <c r="H11" s="7" t="s">
        <v>65</v>
      </c>
    </row>
    <row r="12" spans="2:8" x14ac:dyDescent="0.3">
      <c r="H12" s="7" t="s">
        <v>36</v>
      </c>
    </row>
    <row r="13" spans="2:8" x14ac:dyDescent="0.3">
      <c r="H13" s="7" t="s">
        <v>66</v>
      </c>
    </row>
    <row r="14" spans="2:8" x14ac:dyDescent="0.3">
      <c r="B14" s="7" t="s">
        <v>44</v>
      </c>
      <c r="E14" t="s">
        <v>1</v>
      </c>
      <c r="H14" s="7" t="s">
        <v>67</v>
      </c>
    </row>
    <row r="15" spans="2:8" x14ac:dyDescent="0.3">
      <c r="B15" s="7" t="s">
        <v>36</v>
      </c>
      <c r="D15" t="s">
        <v>1</v>
      </c>
      <c r="H15" s="7" t="s">
        <v>68</v>
      </c>
    </row>
    <row r="16" spans="2:8" x14ac:dyDescent="0.3">
      <c r="B16" s="7" t="s">
        <v>45</v>
      </c>
      <c r="H16" s="7"/>
    </row>
    <row r="17" spans="2:12" x14ac:dyDescent="0.3">
      <c r="B17" s="7" t="s">
        <v>46</v>
      </c>
      <c r="H17" s="23" t="s">
        <v>81</v>
      </c>
    </row>
    <row r="18" spans="2:12" x14ac:dyDescent="0.3">
      <c r="B18" s="7" t="s">
        <v>47</v>
      </c>
      <c r="H18" s="7" t="s">
        <v>78</v>
      </c>
    </row>
    <row r="19" spans="2:12" x14ac:dyDescent="0.3">
      <c r="B19" s="7" t="s">
        <v>48</v>
      </c>
      <c r="H19" s="7" t="s">
        <v>70</v>
      </c>
    </row>
    <row r="20" spans="2:12" x14ac:dyDescent="0.3">
      <c r="B20" s="7" t="s">
        <v>49</v>
      </c>
      <c r="H20" s="7" t="s">
        <v>79</v>
      </c>
    </row>
    <row r="21" spans="2:12" x14ac:dyDescent="0.3">
      <c r="H21" s="7" t="s">
        <v>80</v>
      </c>
    </row>
    <row r="22" spans="2:12" x14ac:dyDescent="0.3">
      <c r="H22" s="7"/>
    </row>
    <row r="23" spans="2:12" x14ac:dyDescent="0.3">
      <c r="H23" s="24" t="s">
        <v>76</v>
      </c>
    </row>
    <row r="24" spans="2:12" x14ac:dyDescent="0.3">
      <c r="H24" s="7" t="s">
        <v>69</v>
      </c>
    </row>
    <row r="25" spans="2:12" x14ac:dyDescent="0.3">
      <c r="H25" s="7" t="s">
        <v>70</v>
      </c>
    </row>
    <row r="26" spans="2:12" x14ac:dyDescent="0.3">
      <c r="H26" s="7" t="s">
        <v>71</v>
      </c>
    </row>
    <row r="27" spans="2:12" x14ac:dyDescent="0.3">
      <c r="H27" s="7" t="s">
        <v>72</v>
      </c>
    </row>
    <row r="28" spans="2:12" x14ac:dyDescent="0.3">
      <c r="H28" s="7"/>
    </row>
    <row r="29" spans="2:12" x14ac:dyDescent="0.3">
      <c r="H29" s="24" t="s">
        <v>77</v>
      </c>
    </row>
    <row r="30" spans="2:12" x14ac:dyDescent="0.3">
      <c r="H30" s="7" t="s">
        <v>52</v>
      </c>
    </row>
    <row r="31" spans="2:12" x14ac:dyDescent="0.3">
      <c r="H31" s="17"/>
      <c r="I31" s="21" t="s">
        <v>37</v>
      </c>
      <c r="J31" s="21" t="s">
        <v>38</v>
      </c>
      <c r="K31" s="21" t="s">
        <v>39</v>
      </c>
      <c r="L31" s="21" t="s">
        <v>40</v>
      </c>
    </row>
    <row r="32" spans="2:12" x14ac:dyDescent="0.3">
      <c r="H32" s="17" t="s">
        <v>51</v>
      </c>
      <c r="I32" s="21">
        <v>1</v>
      </c>
      <c r="J32" s="21">
        <v>0.16250000000000001</v>
      </c>
      <c r="K32" s="21">
        <v>3.2246999999999999</v>
      </c>
      <c r="L32" s="21" t="s">
        <v>50</v>
      </c>
    </row>
    <row r="33" spans="8:12" x14ac:dyDescent="0.3">
      <c r="H33" s="17" t="s">
        <v>42</v>
      </c>
      <c r="I33" s="21">
        <v>148</v>
      </c>
      <c r="J33" s="21">
        <v>7.4595000000000002</v>
      </c>
      <c r="K33" s="21"/>
      <c r="L33" s="2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B5" sqref="B5"/>
    </sheetView>
  </sheetViews>
  <sheetFormatPr defaultRowHeight="14.4" x14ac:dyDescent="0.3"/>
  <cols>
    <col min="2" max="2" width="15.88671875" customWidth="1"/>
  </cols>
  <sheetData>
    <row r="1" spans="1:6" x14ac:dyDescent="0.3">
      <c r="C1" t="s">
        <v>0</v>
      </c>
      <c r="D1" t="s">
        <v>215</v>
      </c>
      <c r="E1" t="s">
        <v>12</v>
      </c>
      <c r="F1" t="s">
        <v>11</v>
      </c>
    </row>
    <row r="2" spans="1:6" x14ac:dyDescent="0.3">
      <c r="A2" s="40" t="s">
        <v>261</v>
      </c>
      <c r="B2" t="s">
        <v>260</v>
      </c>
      <c r="C2">
        <v>6.8</v>
      </c>
      <c r="D2">
        <v>7.2</v>
      </c>
      <c r="E2">
        <v>7.7</v>
      </c>
      <c r="F2">
        <v>8.5</v>
      </c>
    </row>
    <row r="3" spans="1:6" x14ac:dyDescent="0.3">
      <c r="A3" s="40"/>
      <c r="B3" t="s">
        <v>259</v>
      </c>
      <c r="C3">
        <v>67</v>
      </c>
      <c r="D3">
        <v>66</v>
      </c>
      <c r="E3">
        <v>66</v>
      </c>
      <c r="F3">
        <v>58</v>
      </c>
    </row>
    <row r="4" spans="1:6" x14ac:dyDescent="0.3">
      <c r="A4" t="s">
        <v>262</v>
      </c>
      <c r="B4" t="s">
        <v>260</v>
      </c>
      <c r="C4">
        <v>13.5</v>
      </c>
      <c r="D4">
        <v>10.8</v>
      </c>
      <c r="E4">
        <v>5.7</v>
      </c>
      <c r="F4">
        <v>11.6</v>
      </c>
    </row>
  </sheetData>
  <mergeCells count="1"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31" workbookViewId="0">
      <selection activeCell="J26" sqref="J26"/>
    </sheetView>
  </sheetViews>
  <sheetFormatPr defaultRowHeight="14.4" x14ac:dyDescent="0.3"/>
  <cols>
    <col min="1" max="1" width="20.44140625" customWidth="1"/>
    <col min="2" max="3" width="13.33203125" customWidth="1"/>
    <col min="4" max="4" width="12.44140625" customWidth="1"/>
    <col min="5" max="5" width="19.5546875" customWidth="1"/>
    <col min="6" max="6" width="6" customWidth="1"/>
    <col min="7" max="7" width="67.6640625" customWidth="1"/>
  </cols>
  <sheetData>
    <row r="1" spans="1:10" ht="15.6" x14ac:dyDescent="0.3">
      <c r="A1" s="28" t="s">
        <v>128</v>
      </c>
      <c r="B1" s="28"/>
      <c r="C1" s="28"/>
      <c r="D1" s="28"/>
      <c r="E1" s="28"/>
    </row>
    <row r="2" spans="1:10" ht="15.6" x14ac:dyDescent="0.3">
      <c r="A2" s="29"/>
      <c r="B2" s="29" t="s">
        <v>93</v>
      </c>
      <c r="C2" s="29" t="s">
        <v>94</v>
      </c>
      <c r="D2" s="29" t="s">
        <v>123</v>
      </c>
      <c r="E2" s="29" t="s">
        <v>101</v>
      </c>
    </row>
    <row r="3" spans="1:10" ht="15.6" x14ac:dyDescent="0.3">
      <c r="A3" s="28" t="s">
        <v>96</v>
      </c>
      <c r="B3" s="32">
        <v>30.715102000000002</v>
      </c>
      <c r="C3" s="32">
        <v>7.3186799999999996</v>
      </c>
      <c r="D3" s="32">
        <v>4.1970000000000001</v>
      </c>
      <c r="E3" s="28" t="s">
        <v>124</v>
      </c>
      <c r="G3" t="s">
        <v>1</v>
      </c>
    </row>
    <row r="4" spans="1:10" ht="15.6" x14ac:dyDescent="0.3">
      <c r="A4" s="28" t="s">
        <v>22</v>
      </c>
      <c r="B4" s="32">
        <v>-2.4189289999999999</v>
      </c>
      <c r="C4" s="32">
        <v>0.52967799999999998</v>
      </c>
      <c r="D4" s="32">
        <v>-4.5670000000000002</v>
      </c>
      <c r="E4" s="28" t="s">
        <v>125</v>
      </c>
    </row>
    <row r="5" spans="1:10" ht="15.6" x14ac:dyDescent="0.3">
      <c r="A5" s="28" t="s">
        <v>31</v>
      </c>
      <c r="B5" s="32">
        <v>-0.22372500000000001</v>
      </c>
      <c r="C5" s="32">
        <v>8.7568000000000007E-2</v>
      </c>
      <c r="D5" s="32">
        <v>-2.5550000000000002</v>
      </c>
      <c r="E5" s="28" t="s">
        <v>126</v>
      </c>
    </row>
    <row r="6" spans="1:10" ht="15.6" x14ac:dyDescent="0.3">
      <c r="A6" s="28" t="s">
        <v>188</v>
      </c>
      <c r="B6" s="32">
        <v>4.5490000000000001E-3</v>
      </c>
      <c r="C6" s="32">
        <v>5.1400000000000003E-4</v>
      </c>
      <c r="D6" s="32">
        <v>8.85</v>
      </c>
      <c r="E6" s="28" t="s">
        <v>127</v>
      </c>
    </row>
    <row r="8" spans="1:10" ht="15.6" x14ac:dyDescent="0.3">
      <c r="A8" s="28" t="s">
        <v>165</v>
      </c>
      <c r="B8" s="28"/>
      <c r="C8" s="28"/>
      <c r="D8" s="28"/>
      <c r="E8" s="28"/>
      <c r="F8" s="28"/>
      <c r="G8" s="28"/>
      <c r="H8" s="37" t="s">
        <v>174</v>
      </c>
      <c r="I8" s="37"/>
      <c r="J8" s="37"/>
    </row>
    <row r="9" spans="1:10" ht="15.6" x14ac:dyDescent="0.3">
      <c r="A9" s="29"/>
      <c r="B9" s="29" t="s">
        <v>93</v>
      </c>
      <c r="C9" s="29" t="s">
        <v>94</v>
      </c>
      <c r="D9" s="29" t="s">
        <v>123</v>
      </c>
      <c r="E9" s="29" t="s">
        <v>101</v>
      </c>
      <c r="F9" s="28"/>
      <c r="G9" s="29" t="s">
        <v>175</v>
      </c>
      <c r="H9" s="31" t="s">
        <v>176</v>
      </c>
      <c r="I9" s="31" t="s">
        <v>185</v>
      </c>
      <c r="J9" s="31" t="s">
        <v>177</v>
      </c>
    </row>
    <row r="10" spans="1:10" ht="15.6" x14ac:dyDescent="0.3">
      <c r="A10" s="28" t="s">
        <v>96</v>
      </c>
      <c r="B10" s="28">
        <v>33.120052999999999</v>
      </c>
      <c r="C10" s="28">
        <v>8.5548940000000009</v>
      </c>
      <c r="D10" s="28">
        <v>3.871</v>
      </c>
      <c r="E10" s="30" t="s">
        <v>169</v>
      </c>
      <c r="F10" s="28"/>
      <c r="G10" s="28" t="s">
        <v>173</v>
      </c>
      <c r="H10" s="28">
        <v>24.7</v>
      </c>
      <c r="I10" s="28">
        <v>0.36</v>
      </c>
      <c r="J10" s="28">
        <v>1388</v>
      </c>
    </row>
    <row r="11" spans="1:10" ht="15.6" x14ac:dyDescent="0.3">
      <c r="A11" s="28" t="s">
        <v>173</v>
      </c>
      <c r="B11" s="28">
        <v>0.41254000000000002</v>
      </c>
      <c r="C11" s="28">
        <v>6.2687000000000007E-2</v>
      </c>
      <c r="D11" s="28">
        <v>6.5810000000000004</v>
      </c>
      <c r="E11" s="30" t="s">
        <v>170</v>
      </c>
      <c r="F11" s="28"/>
      <c r="G11" s="28" t="s">
        <v>178</v>
      </c>
      <c r="H11" s="28">
        <v>24.5</v>
      </c>
      <c r="I11" s="28">
        <v>0.37</v>
      </c>
      <c r="J11" s="28">
        <v>1402</v>
      </c>
    </row>
    <row r="12" spans="1:10" ht="15.6" x14ac:dyDescent="0.3">
      <c r="A12" s="28" t="s">
        <v>10</v>
      </c>
      <c r="B12" s="28">
        <v>8.005E-3</v>
      </c>
      <c r="C12" s="28">
        <v>3.5772999999999999E-2</v>
      </c>
      <c r="D12" s="28">
        <v>0.224</v>
      </c>
      <c r="E12" s="30">
        <v>0.823268</v>
      </c>
      <c r="F12" s="28"/>
      <c r="G12" s="28" t="s">
        <v>179</v>
      </c>
      <c r="H12" s="28">
        <v>24.4</v>
      </c>
      <c r="I12" s="28">
        <v>0.37</v>
      </c>
      <c r="J12" s="28">
        <v>1403</v>
      </c>
    </row>
    <row r="13" spans="1:10" ht="15.6" x14ac:dyDescent="0.3">
      <c r="A13" s="28" t="s">
        <v>30</v>
      </c>
      <c r="B13" s="28">
        <v>0.20180300000000001</v>
      </c>
      <c r="C13" s="28">
        <v>0.14708099999999999</v>
      </c>
      <c r="D13" s="28">
        <v>1.3720000000000001</v>
      </c>
      <c r="E13" s="30">
        <v>0.172209</v>
      </c>
      <c r="F13" s="28"/>
      <c r="G13" s="28" t="s">
        <v>180</v>
      </c>
      <c r="H13" s="28">
        <v>24.4</v>
      </c>
      <c r="I13" s="28">
        <v>0.37</v>
      </c>
      <c r="J13" s="28">
        <v>1405</v>
      </c>
    </row>
    <row r="14" spans="1:10" ht="15.6" x14ac:dyDescent="0.3">
      <c r="A14" s="28" t="s">
        <v>29</v>
      </c>
      <c r="B14" s="28">
        <v>-8.5365999999999997E-2</v>
      </c>
      <c r="C14" s="28">
        <v>7.5911000000000006E-2</v>
      </c>
      <c r="D14" s="28">
        <v>-1.125</v>
      </c>
      <c r="E14" s="30">
        <v>0.26267299999999999</v>
      </c>
      <c r="F14" s="28"/>
      <c r="G14" s="28" t="s">
        <v>181</v>
      </c>
      <c r="H14" s="28">
        <v>24.4</v>
      </c>
      <c r="I14" s="28">
        <v>0.36</v>
      </c>
      <c r="J14" s="28">
        <v>1407</v>
      </c>
    </row>
    <row r="15" spans="1:10" ht="15.6" x14ac:dyDescent="0.3">
      <c r="A15" s="28" t="s">
        <v>8</v>
      </c>
      <c r="B15" s="28">
        <v>0.154978</v>
      </c>
      <c r="C15" s="28">
        <v>9.7382999999999997E-2</v>
      </c>
      <c r="D15" s="28">
        <v>1.591</v>
      </c>
      <c r="E15" s="30">
        <v>0.11373900000000001</v>
      </c>
      <c r="F15" s="28"/>
      <c r="G15" s="28" t="s">
        <v>181</v>
      </c>
      <c r="H15" s="28">
        <v>24.4</v>
      </c>
      <c r="I15" s="28">
        <v>0.36</v>
      </c>
      <c r="J15" s="28">
        <v>1407</v>
      </c>
    </row>
    <row r="16" spans="1:10" ht="15.6" x14ac:dyDescent="0.3">
      <c r="A16" s="28" t="s">
        <v>113</v>
      </c>
      <c r="B16" s="28">
        <v>-0.168348</v>
      </c>
      <c r="C16" s="28">
        <v>9.2471999999999999E-2</v>
      </c>
      <c r="D16" s="28">
        <v>-1.821</v>
      </c>
      <c r="E16" s="30" t="s">
        <v>171</v>
      </c>
      <c r="F16" s="28"/>
      <c r="G16" s="28" t="s">
        <v>182</v>
      </c>
      <c r="H16" s="28">
        <v>21.8</v>
      </c>
      <c r="I16" s="28">
        <v>0.49</v>
      </c>
      <c r="J16" s="28">
        <v>1374</v>
      </c>
    </row>
    <row r="17" spans="1:10" ht="15.6" x14ac:dyDescent="0.3">
      <c r="A17" s="28" t="s">
        <v>22</v>
      </c>
      <c r="B17" s="28">
        <v>-2.2300499999999999</v>
      </c>
      <c r="C17" s="28">
        <v>0.73061299999999996</v>
      </c>
      <c r="D17" s="28">
        <v>-3.052</v>
      </c>
      <c r="E17" s="30" t="s">
        <v>172</v>
      </c>
      <c r="F17" s="28"/>
      <c r="G17" s="28" t="s">
        <v>183</v>
      </c>
      <c r="H17" s="28">
        <v>21.6</v>
      </c>
      <c r="I17" s="28">
        <v>0.5</v>
      </c>
      <c r="J17" s="28">
        <v>1373</v>
      </c>
    </row>
    <row r="18" spans="1:10" ht="15.6" x14ac:dyDescent="0.3">
      <c r="A18" s="28" t="s">
        <v>17</v>
      </c>
      <c r="B18" s="28">
        <v>-0.36151800000000001</v>
      </c>
      <c r="C18" s="28">
        <v>0.26652999999999999</v>
      </c>
      <c r="D18" s="28">
        <v>-1.3560000000000001</v>
      </c>
      <c r="E18" s="30">
        <v>0.17712800000000001</v>
      </c>
      <c r="F18" s="28"/>
      <c r="G18" s="28" t="s">
        <v>184</v>
      </c>
      <c r="H18" s="28">
        <v>21.3</v>
      </c>
      <c r="I18" s="28">
        <v>0.5</v>
      </c>
      <c r="J18" s="28">
        <v>1372</v>
      </c>
    </row>
    <row r="19" spans="1:10" ht="15.6" x14ac:dyDescent="0.3">
      <c r="A19" s="28"/>
      <c r="B19" s="28"/>
      <c r="C19" s="28"/>
      <c r="D19" s="28"/>
      <c r="E19" s="28"/>
      <c r="F19" s="28"/>
      <c r="G19" s="28" t="s">
        <v>186</v>
      </c>
      <c r="H19" s="28">
        <v>21.9</v>
      </c>
      <c r="I19" s="28">
        <v>0.5</v>
      </c>
      <c r="J19" s="28">
        <v>1370</v>
      </c>
    </row>
    <row r="20" spans="1:10" ht="15.6" x14ac:dyDescent="0.3">
      <c r="A20" s="28" t="s">
        <v>166</v>
      </c>
      <c r="B20" s="28"/>
      <c r="C20" s="28"/>
      <c r="D20" s="28"/>
      <c r="E20" s="28"/>
      <c r="F20" s="28"/>
      <c r="G20" s="28" t="s">
        <v>187</v>
      </c>
      <c r="H20" s="28">
        <v>21.4</v>
      </c>
      <c r="I20" s="28">
        <v>0.52</v>
      </c>
      <c r="J20" s="28">
        <v>1363</v>
      </c>
    </row>
    <row r="21" spans="1:10" ht="15.6" x14ac:dyDescent="0.3">
      <c r="A21" s="28" t="s">
        <v>167</v>
      </c>
      <c r="B21" s="28"/>
      <c r="C21" s="28"/>
      <c r="D21" s="28"/>
      <c r="E21" s="28"/>
      <c r="F21" s="28"/>
    </row>
    <row r="22" spans="1:10" ht="15.6" x14ac:dyDescent="0.3">
      <c r="A22" s="28" t="s">
        <v>168</v>
      </c>
      <c r="B22" s="28"/>
      <c r="C22" s="28"/>
      <c r="D22" s="28"/>
      <c r="E22" s="28"/>
      <c r="F22" s="28" t="s">
        <v>200</v>
      </c>
      <c r="G22" s="28" t="s">
        <v>199</v>
      </c>
      <c r="H22" s="28">
        <v>20.82</v>
      </c>
      <c r="I22" s="28">
        <v>0.54</v>
      </c>
      <c r="J22" s="28">
        <v>1357</v>
      </c>
    </row>
    <row r="23" spans="1:10" ht="15.6" x14ac:dyDescent="0.3">
      <c r="A23" s="28"/>
      <c r="B23" s="28"/>
      <c r="C23" s="28"/>
      <c r="D23" s="28"/>
      <c r="E23" s="28"/>
      <c r="F23" t="s">
        <v>202</v>
      </c>
      <c r="G23" s="28" t="s">
        <v>197</v>
      </c>
      <c r="H23" s="28">
        <v>20.440000000000001</v>
      </c>
      <c r="I23" s="28">
        <v>0.55000000000000004</v>
      </c>
      <c r="J23" s="28">
        <v>1353</v>
      </c>
    </row>
    <row r="24" spans="1:10" ht="15.6" x14ac:dyDescent="0.3">
      <c r="A24" s="7"/>
      <c r="F24" s="35" t="s">
        <v>201</v>
      </c>
      <c r="G24" s="35" t="s">
        <v>198</v>
      </c>
      <c r="H24" s="35">
        <v>20.56</v>
      </c>
      <c r="I24" s="35">
        <v>0.55000000000000004</v>
      </c>
      <c r="J24" s="35">
        <v>1353</v>
      </c>
    </row>
    <row r="25" spans="1:10" ht="15.6" x14ac:dyDescent="0.3">
      <c r="A25" s="7"/>
      <c r="B25" s="33"/>
      <c r="C25" s="33"/>
      <c r="D25" s="33"/>
      <c r="E25" s="33"/>
      <c r="G25" s="7" t="s">
        <v>203</v>
      </c>
    </row>
    <row r="26" spans="1:10" ht="15.6" x14ac:dyDescent="0.3">
      <c r="A26" s="7"/>
      <c r="B26" s="28" t="s">
        <v>195</v>
      </c>
      <c r="C26" s="34">
        <v>-0.78</v>
      </c>
      <c r="G26" s="27"/>
    </row>
    <row r="27" spans="1:10" ht="15.6" x14ac:dyDescent="0.3">
      <c r="A27" s="7"/>
      <c r="B27" s="28" t="s">
        <v>196</v>
      </c>
      <c r="C27" s="34">
        <v>0.44800000000000001</v>
      </c>
      <c r="G27" s="7" t="s">
        <v>137</v>
      </c>
    </row>
    <row r="28" spans="1:10" ht="15.6" x14ac:dyDescent="0.3">
      <c r="A28" s="7"/>
      <c r="B28" s="28" t="s">
        <v>194</v>
      </c>
      <c r="C28" s="34">
        <v>-0.16</v>
      </c>
      <c r="G28" s="7" t="s">
        <v>138</v>
      </c>
    </row>
    <row r="29" spans="1:10" ht="15.6" x14ac:dyDescent="0.3">
      <c r="A29" s="7"/>
      <c r="B29" s="29"/>
      <c r="C29" s="29"/>
      <c r="E29" t="s">
        <v>1</v>
      </c>
      <c r="G29" s="7" t="s">
        <v>204</v>
      </c>
    </row>
    <row r="30" spans="1:10" ht="15.6" x14ac:dyDescent="0.3">
      <c r="A30" s="7" t="s">
        <v>189</v>
      </c>
      <c r="D30" s="29"/>
      <c r="E30" s="29"/>
      <c r="G30" s="27"/>
    </row>
    <row r="31" spans="1:10" x14ac:dyDescent="0.3">
      <c r="A31" s="7" t="s">
        <v>190</v>
      </c>
      <c r="G31" s="7" t="s">
        <v>122</v>
      </c>
    </row>
    <row r="32" spans="1:10" x14ac:dyDescent="0.3">
      <c r="A32" s="7" t="s">
        <v>191</v>
      </c>
      <c r="G32" s="7" t="s">
        <v>205</v>
      </c>
    </row>
    <row r="33" spans="1:7" x14ac:dyDescent="0.3">
      <c r="A33" s="7" t="s">
        <v>192</v>
      </c>
      <c r="G33" s="7" t="s">
        <v>206</v>
      </c>
    </row>
    <row r="34" spans="1:7" x14ac:dyDescent="0.3">
      <c r="A34" s="7" t="s">
        <v>193</v>
      </c>
      <c r="G34" s="7" t="s">
        <v>207</v>
      </c>
    </row>
    <row r="35" spans="1:7" x14ac:dyDescent="0.3">
      <c r="G35" s="7" t="s">
        <v>208</v>
      </c>
    </row>
    <row r="36" spans="1:7" x14ac:dyDescent="0.3">
      <c r="G36" s="7" t="s">
        <v>209</v>
      </c>
    </row>
    <row r="37" spans="1:7" x14ac:dyDescent="0.3">
      <c r="G37" s="7" t="s">
        <v>210</v>
      </c>
    </row>
    <row r="38" spans="1:7" x14ac:dyDescent="0.3">
      <c r="G38" s="7" t="s">
        <v>160</v>
      </c>
    </row>
    <row r="39" spans="1:7" x14ac:dyDescent="0.3">
      <c r="G39" s="7" t="s">
        <v>161</v>
      </c>
    </row>
    <row r="40" spans="1:7" x14ac:dyDescent="0.3">
      <c r="G40" s="27"/>
    </row>
    <row r="41" spans="1:7" x14ac:dyDescent="0.3">
      <c r="G41" s="7" t="s">
        <v>211</v>
      </c>
    </row>
    <row r="42" spans="1:7" x14ac:dyDescent="0.3">
      <c r="G42" s="7" t="s">
        <v>212</v>
      </c>
    </row>
    <row r="43" spans="1:7" x14ac:dyDescent="0.3">
      <c r="G43" s="7" t="s">
        <v>213</v>
      </c>
    </row>
  </sheetData>
  <mergeCells count="1">
    <mergeCell ref="H8:J8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F8" sqref="F8"/>
    </sheetView>
  </sheetViews>
  <sheetFormatPr defaultRowHeight="14.4" x14ac:dyDescent="0.3"/>
  <cols>
    <col min="2" max="2" width="20.6640625" customWidth="1"/>
    <col min="3" max="3" width="8.88671875" bestFit="1" customWidth="1"/>
    <col min="4" max="4" width="9.44140625" customWidth="1"/>
    <col min="5" max="5" width="9.6640625" customWidth="1"/>
  </cols>
  <sheetData>
    <row r="1" spans="2:8" x14ac:dyDescent="0.3">
      <c r="B1" s="6"/>
      <c r="C1" s="6" t="s">
        <v>11</v>
      </c>
      <c r="D1" s="6" t="s">
        <v>12</v>
      </c>
      <c r="E1" s="6" t="s">
        <v>4</v>
      </c>
      <c r="F1" s="6" t="s">
        <v>214</v>
      </c>
    </row>
    <row r="2" spans="2:8" x14ac:dyDescent="0.3">
      <c r="B2" s="3" t="s">
        <v>16</v>
      </c>
      <c r="C2" s="4">
        <v>0.06</v>
      </c>
      <c r="D2" s="5">
        <v>0.1</v>
      </c>
      <c r="E2" s="5">
        <v>0.12</v>
      </c>
      <c r="F2" s="36">
        <v>0.28999999999999998</v>
      </c>
    </row>
    <row r="3" spans="2:8" x14ac:dyDescent="0.3">
      <c r="B3" s="3" t="s">
        <v>15</v>
      </c>
      <c r="C3" s="4">
        <v>0.05</v>
      </c>
      <c r="D3" s="5">
        <v>0.33</v>
      </c>
      <c r="E3" s="5">
        <v>0.13</v>
      </c>
      <c r="F3" s="36">
        <v>0.47</v>
      </c>
    </row>
    <row r="4" spans="2:8" x14ac:dyDescent="0.3">
      <c r="B4" s="3" t="s">
        <v>13</v>
      </c>
      <c r="C4" s="4">
        <v>0.87</v>
      </c>
      <c r="D4" s="5">
        <v>1.03</v>
      </c>
      <c r="E4" s="5">
        <v>0.94</v>
      </c>
      <c r="F4" s="36">
        <v>0.8</v>
      </c>
    </row>
    <row r="5" spans="2:8" x14ac:dyDescent="0.3">
      <c r="B5" s="3" t="s">
        <v>14</v>
      </c>
      <c r="C5" s="4">
        <v>1.1499999999999999</v>
      </c>
      <c r="D5" s="5">
        <v>0.61</v>
      </c>
      <c r="E5" s="5">
        <v>0.61</v>
      </c>
      <c r="F5" s="36">
        <v>0.89</v>
      </c>
    </row>
    <row r="6" spans="2:8" x14ac:dyDescent="0.3">
      <c r="B6" s="3" t="s">
        <v>2</v>
      </c>
      <c r="C6" s="4">
        <v>0.03</v>
      </c>
      <c r="D6" s="5">
        <v>0.09</v>
      </c>
      <c r="E6" s="5">
        <v>0.12</v>
      </c>
      <c r="F6" s="36">
        <v>0.36</v>
      </c>
    </row>
    <row r="7" spans="2:8" x14ac:dyDescent="0.3">
      <c r="B7" s="3" t="s">
        <v>3</v>
      </c>
      <c r="C7" s="4">
        <v>0.14000000000000001</v>
      </c>
      <c r="D7" s="5">
        <v>0.11</v>
      </c>
      <c r="E7" s="5">
        <v>0.2</v>
      </c>
      <c r="F7" s="36">
        <v>0.52</v>
      </c>
      <c r="H7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C8" sqref="C8"/>
    </sheetView>
  </sheetViews>
  <sheetFormatPr defaultRowHeight="14.4" x14ac:dyDescent="0.3"/>
  <cols>
    <col min="2" max="2" width="13.109375" customWidth="1"/>
    <col min="3" max="3" width="11.44140625" customWidth="1"/>
    <col min="4" max="5" width="14.88671875" customWidth="1"/>
    <col min="7" max="7" width="12.44140625" customWidth="1"/>
    <col min="8" max="8" width="11.88671875" customWidth="1"/>
  </cols>
  <sheetData>
    <row r="2" spans="2:8" x14ac:dyDescent="0.3">
      <c r="C2" t="s">
        <v>55</v>
      </c>
      <c r="D2" t="s">
        <v>56</v>
      </c>
      <c r="G2" t="s">
        <v>57</v>
      </c>
      <c r="H2" t="s">
        <v>58</v>
      </c>
    </row>
    <row r="3" spans="2:8" x14ac:dyDescent="0.3">
      <c r="B3" t="s">
        <v>53</v>
      </c>
      <c r="C3" s="7">
        <v>22.26765</v>
      </c>
      <c r="D3" s="7">
        <v>21.172409999999999</v>
      </c>
      <c r="E3" t="s">
        <v>118</v>
      </c>
      <c r="G3" s="7">
        <v>21.17343</v>
      </c>
      <c r="H3" s="7">
        <v>26.471430000000002</v>
      </c>
    </row>
    <row r="4" spans="2:8" x14ac:dyDescent="0.3">
      <c r="B4" t="s">
        <v>54</v>
      </c>
      <c r="C4" s="7">
        <v>11.03529</v>
      </c>
      <c r="D4" s="7">
        <v>10.29026</v>
      </c>
      <c r="E4" s="7"/>
      <c r="G4" s="7">
        <v>10.36483</v>
      </c>
      <c r="H4" s="7">
        <v>12.38571</v>
      </c>
    </row>
    <row r="5" spans="2:8" x14ac:dyDescent="0.3">
      <c r="B5" t="s">
        <v>117</v>
      </c>
      <c r="C5">
        <v>95.6</v>
      </c>
      <c r="D5">
        <v>59.3</v>
      </c>
      <c r="E5" t="s">
        <v>118</v>
      </c>
    </row>
    <row r="11" spans="2:8" x14ac:dyDescent="0.3">
      <c r="E1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G1" sqref="G1"/>
    </sheetView>
  </sheetViews>
  <sheetFormatPr defaultRowHeight="14.4" x14ac:dyDescent="0.3"/>
  <sheetData>
    <row r="1" spans="1:7" x14ac:dyDescent="0.3">
      <c r="A1" s="7" t="s">
        <v>146</v>
      </c>
      <c r="G1" s="18"/>
    </row>
    <row r="2" spans="1:7" x14ac:dyDescent="0.3">
      <c r="A2" s="27"/>
    </row>
    <row r="3" spans="1:7" x14ac:dyDescent="0.3">
      <c r="A3" s="7" t="s">
        <v>137</v>
      </c>
    </row>
    <row r="4" spans="1:7" x14ac:dyDescent="0.3">
      <c r="A4" s="7" t="s">
        <v>147</v>
      </c>
    </row>
    <row r="5" spans="1:7" x14ac:dyDescent="0.3">
      <c r="A5" s="7" t="s">
        <v>148</v>
      </c>
    </row>
    <row r="6" spans="1:7" x14ac:dyDescent="0.3">
      <c r="A6" s="27"/>
    </row>
    <row r="7" spans="1:7" x14ac:dyDescent="0.3">
      <c r="A7" s="7" t="s">
        <v>149</v>
      </c>
    </row>
    <row r="8" spans="1:7" x14ac:dyDescent="0.3">
      <c r="A8" s="7" t="s">
        <v>150</v>
      </c>
    </row>
    <row r="9" spans="1:7" x14ac:dyDescent="0.3">
      <c r="A9" s="7" t="s">
        <v>151</v>
      </c>
    </row>
    <row r="10" spans="1:7" x14ac:dyDescent="0.3">
      <c r="A10" s="7" t="s">
        <v>152</v>
      </c>
    </row>
    <row r="11" spans="1:7" x14ac:dyDescent="0.3">
      <c r="A11" s="7" t="s">
        <v>153</v>
      </c>
    </row>
    <row r="12" spans="1:7" x14ac:dyDescent="0.3">
      <c r="A12" s="7" t="s">
        <v>154</v>
      </c>
    </row>
    <row r="13" spans="1:7" x14ac:dyDescent="0.3">
      <c r="A13" s="7" t="s">
        <v>155</v>
      </c>
    </row>
    <row r="14" spans="1:7" x14ac:dyDescent="0.3">
      <c r="A14" s="7" t="s">
        <v>156</v>
      </c>
    </row>
    <row r="15" spans="1:7" x14ac:dyDescent="0.3">
      <c r="A15" s="7" t="s">
        <v>157</v>
      </c>
    </row>
    <row r="16" spans="1:7" x14ac:dyDescent="0.3">
      <c r="A16" s="7" t="s">
        <v>158</v>
      </c>
    </row>
    <row r="17" spans="1:1" x14ac:dyDescent="0.3">
      <c r="A17" s="7" t="s">
        <v>159</v>
      </c>
    </row>
    <row r="18" spans="1:1" x14ac:dyDescent="0.3">
      <c r="A18" s="7" t="s">
        <v>160</v>
      </c>
    </row>
    <row r="19" spans="1:1" x14ac:dyDescent="0.3">
      <c r="A19" s="7" t="s">
        <v>161</v>
      </c>
    </row>
    <row r="20" spans="1:1" x14ac:dyDescent="0.3">
      <c r="A20" s="27"/>
    </row>
    <row r="21" spans="1:1" x14ac:dyDescent="0.3">
      <c r="A21" s="7" t="s">
        <v>162</v>
      </c>
    </row>
    <row r="22" spans="1:1" x14ac:dyDescent="0.3">
      <c r="A22" s="7" t="s">
        <v>163</v>
      </c>
    </row>
    <row r="23" spans="1:1" x14ac:dyDescent="0.3">
      <c r="A23" s="7" t="s">
        <v>164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opLeftCell="B1" workbookViewId="0">
      <selection activeCell="H20" sqref="H20"/>
    </sheetView>
  </sheetViews>
  <sheetFormatPr defaultColWidth="19.6640625" defaultRowHeight="14.4" x14ac:dyDescent="0.3"/>
  <cols>
    <col min="2" max="2" width="18.5546875" customWidth="1"/>
    <col min="3" max="3" width="9.109375" customWidth="1"/>
    <col min="4" max="4" width="9.6640625" customWidth="1"/>
    <col min="5" max="5" width="9.5546875" customWidth="1"/>
    <col min="6" max="6" width="8.6640625" customWidth="1"/>
    <col min="7" max="7" width="9" customWidth="1"/>
  </cols>
  <sheetData>
    <row r="1" spans="2:9" s="1" customFormat="1" ht="13.8" x14ac:dyDescent="0.3">
      <c r="B1" s="1" t="s">
        <v>23</v>
      </c>
    </row>
    <row r="2" spans="2:9" x14ac:dyDescent="0.3">
      <c r="B2" s="9"/>
      <c r="C2" s="16" t="s">
        <v>19</v>
      </c>
      <c r="D2" s="9" t="s">
        <v>20</v>
      </c>
      <c r="E2" s="9" t="s">
        <v>21</v>
      </c>
    </row>
    <row r="3" spans="2:9" x14ac:dyDescent="0.3">
      <c r="B3" s="17" t="s">
        <v>22</v>
      </c>
      <c r="C3" s="14">
        <v>0.64524400000000004</v>
      </c>
      <c r="D3" s="15">
        <v>-9.4621330000000003E-2</v>
      </c>
      <c r="E3" s="15">
        <v>0.7580943</v>
      </c>
    </row>
    <row r="4" spans="2:9" x14ac:dyDescent="0.3">
      <c r="B4" s="17" t="s">
        <v>18</v>
      </c>
      <c r="C4" s="15">
        <v>0.50651570000000001</v>
      </c>
      <c r="D4" s="15">
        <v>0.79584034000000003</v>
      </c>
      <c r="E4" s="15">
        <v>-0.33178299999999999</v>
      </c>
    </row>
    <row r="5" spans="2:9" x14ac:dyDescent="0.3">
      <c r="B5" s="17" t="s">
        <v>17</v>
      </c>
      <c r="C5" s="15">
        <v>0.57192829999999995</v>
      </c>
      <c r="D5" s="15">
        <v>-0.59806767999999999</v>
      </c>
      <c r="E5" s="15">
        <v>-0.5614384</v>
      </c>
    </row>
    <row r="7" spans="2:9" x14ac:dyDescent="0.3">
      <c r="B7" s="8" t="s">
        <v>24</v>
      </c>
      <c r="G7" s="7"/>
    </row>
    <row r="8" spans="2:9" x14ac:dyDescent="0.3">
      <c r="B8" s="10"/>
      <c r="C8" s="12" t="s">
        <v>19</v>
      </c>
      <c r="D8" s="12" t="s">
        <v>20</v>
      </c>
      <c r="E8" s="12" t="s">
        <v>21</v>
      </c>
      <c r="F8" s="12" t="s">
        <v>25</v>
      </c>
      <c r="G8" s="12" t="s">
        <v>26</v>
      </c>
    </row>
    <row r="9" spans="2:9" x14ac:dyDescent="0.3">
      <c r="B9" s="11" t="s">
        <v>27</v>
      </c>
      <c r="C9" s="13">
        <v>-0.41552319999999998</v>
      </c>
      <c r="D9" s="13">
        <v>0.4932609</v>
      </c>
      <c r="E9" s="13">
        <v>-0.15583256000000001</v>
      </c>
      <c r="F9" s="13">
        <v>0.74476646999999996</v>
      </c>
      <c r="G9" s="13">
        <v>-7.1226789999999998E-2</v>
      </c>
    </row>
    <row r="10" spans="2:9" x14ac:dyDescent="0.3">
      <c r="B10" s="11" t="s">
        <v>28</v>
      </c>
      <c r="C10" s="13">
        <v>-0.56518710000000005</v>
      </c>
      <c r="D10" s="13">
        <v>-0.38991439999999999</v>
      </c>
      <c r="E10" s="13">
        <v>5.296087E-2</v>
      </c>
      <c r="F10" s="13">
        <v>2.329848E-2</v>
      </c>
      <c r="G10" s="13">
        <v>0.72469488000000004</v>
      </c>
    </row>
    <row r="11" spans="2:9" x14ac:dyDescent="0.3">
      <c r="B11" s="11" t="s">
        <v>29</v>
      </c>
      <c r="C11" s="13">
        <v>-0.42727480000000001</v>
      </c>
      <c r="D11" s="13">
        <v>1.5010600000000001E-2</v>
      </c>
      <c r="E11" s="13">
        <v>-0.75256018999999996</v>
      </c>
      <c r="F11" s="13">
        <v>-0.43030553999999999</v>
      </c>
      <c r="G11" s="13">
        <v>-0.25632253999999999</v>
      </c>
    </row>
    <row r="12" spans="2:9" x14ac:dyDescent="0.3">
      <c r="B12" s="11" t="s">
        <v>30</v>
      </c>
      <c r="C12" s="13">
        <v>-0.51087680000000002</v>
      </c>
      <c r="D12" s="13">
        <v>-0.33154830000000002</v>
      </c>
      <c r="E12" s="13">
        <v>0.50298489000000002</v>
      </c>
      <c r="F12" s="13">
        <v>-1.8824480000000001E-2</v>
      </c>
      <c r="G12" s="13">
        <v>-0.61297018999999997</v>
      </c>
    </row>
    <row r="13" spans="2:9" x14ac:dyDescent="0.3">
      <c r="B13" s="11" t="s">
        <v>31</v>
      </c>
      <c r="C13" s="13">
        <v>-0.25366349999999999</v>
      </c>
      <c r="D13" s="13">
        <v>0.70321469999999997</v>
      </c>
      <c r="E13" s="13">
        <v>0.39188100999999997</v>
      </c>
      <c r="F13" s="13">
        <v>-0.50917862000000003</v>
      </c>
      <c r="G13" s="13">
        <v>0.16825688999999999</v>
      </c>
    </row>
    <row r="14" spans="2:9" x14ac:dyDescent="0.3">
      <c r="I14" t="s">
        <v>1</v>
      </c>
    </row>
    <row r="15" spans="2:9" x14ac:dyDescent="0.3">
      <c r="B15" s="16"/>
      <c r="C15" s="12" t="s">
        <v>19</v>
      </c>
      <c r="D15" s="12" t="s">
        <v>20</v>
      </c>
      <c r="E15" s="12" t="s">
        <v>21</v>
      </c>
      <c r="F15" s="12" t="s">
        <v>25</v>
      </c>
    </row>
    <row r="16" spans="2:9" x14ac:dyDescent="0.3">
      <c r="B16" s="17" t="s">
        <v>27</v>
      </c>
      <c r="C16" s="21">
        <v>-0.38200000000000001</v>
      </c>
      <c r="D16" s="21">
        <v>0.626</v>
      </c>
      <c r="E16" s="21">
        <v>0.68</v>
      </c>
      <c r="F16" s="21">
        <v>-1.4999999999999999E-2</v>
      </c>
    </row>
    <row r="17" spans="2:6" x14ac:dyDescent="0.3">
      <c r="B17" s="11" t="s">
        <v>28</v>
      </c>
      <c r="C17" s="21">
        <v>-0.61</v>
      </c>
      <c r="D17" s="21">
        <v>-0.27900000000000003</v>
      </c>
      <c r="E17" s="21">
        <v>-0.10199999999999999</v>
      </c>
      <c r="F17" s="21">
        <v>-0.73499999999999999</v>
      </c>
    </row>
    <row r="18" spans="2:6" x14ac:dyDescent="0.3">
      <c r="B18" s="11" t="s">
        <v>29</v>
      </c>
      <c r="C18" s="21">
        <v>-0.443</v>
      </c>
      <c r="D18" s="21">
        <v>0.49199999999999999</v>
      </c>
      <c r="E18" s="21">
        <v>-0.69599999999999995</v>
      </c>
      <c r="F18" s="21">
        <v>0.27700000000000002</v>
      </c>
    </row>
    <row r="19" spans="2:6" x14ac:dyDescent="0.3">
      <c r="B19" s="11" t="s">
        <v>30</v>
      </c>
      <c r="C19" s="21">
        <v>-0.53500000000000003</v>
      </c>
      <c r="D19" s="21">
        <v>-0.53700000000000003</v>
      </c>
      <c r="E19" s="21">
        <v>0.20699999999999999</v>
      </c>
      <c r="F19" s="21">
        <v>0.61899999999999999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N20" sqref="N20"/>
    </sheetView>
  </sheetViews>
  <sheetFormatPr defaultRowHeight="14.4" x14ac:dyDescent="0.3"/>
  <cols>
    <col min="2" max="2" width="25" customWidth="1"/>
    <col min="3" max="3" width="9.5546875" bestFit="1" customWidth="1"/>
  </cols>
  <sheetData>
    <row r="1" spans="1:6" ht="28.8" x14ac:dyDescent="0.3">
      <c r="A1" s="18" t="s">
        <v>33</v>
      </c>
      <c r="B1" s="19" t="s">
        <v>32</v>
      </c>
      <c r="C1" s="18" t="s">
        <v>34</v>
      </c>
    </row>
    <row r="2" spans="1:6" x14ac:dyDescent="0.3">
      <c r="A2" s="7" t="s">
        <v>0</v>
      </c>
      <c r="B2" s="2">
        <v>4.7476929999999999</v>
      </c>
      <c r="C2">
        <v>2.89</v>
      </c>
      <c r="F2" s="7" t="s">
        <v>129</v>
      </c>
    </row>
    <row r="3" spans="1:6" x14ac:dyDescent="0.3">
      <c r="A3" s="7" t="s">
        <v>12</v>
      </c>
      <c r="B3" s="2">
        <v>4.1708189999999998</v>
      </c>
      <c r="C3">
        <v>2.44</v>
      </c>
      <c r="F3" s="7" t="s">
        <v>122</v>
      </c>
    </row>
    <row r="4" spans="1:6" x14ac:dyDescent="0.3">
      <c r="A4" s="7" t="s">
        <v>11</v>
      </c>
      <c r="B4" s="2">
        <v>1.2071000000000001</v>
      </c>
      <c r="C4">
        <v>1.45</v>
      </c>
      <c r="E4" s="2"/>
      <c r="F4" s="7" t="s">
        <v>130</v>
      </c>
    </row>
    <row r="5" spans="1:6" x14ac:dyDescent="0.3">
      <c r="A5" s="7"/>
      <c r="B5" s="2"/>
      <c r="F5" s="7" t="s">
        <v>131</v>
      </c>
    </row>
    <row r="6" spans="1:6" x14ac:dyDescent="0.3">
      <c r="B6" s="18" t="s">
        <v>35</v>
      </c>
      <c r="F6" s="7" t="s">
        <v>132</v>
      </c>
    </row>
    <row r="7" spans="1:6" x14ac:dyDescent="0.3">
      <c r="A7" s="7" t="s">
        <v>0</v>
      </c>
      <c r="B7" s="2">
        <v>0.38106253000000001</v>
      </c>
      <c r="C7" s="2">
        <v>0.31341370000000002</v>
      </c>
      <c r="F7" s="27"/>
    </row>
    <row r="8" spans="1:6" x14ac:dyDescent="0.3">
      <c r="A8" s="7" t="s">
        <v>12</v>
      </c>
      <c r="B8" s="2">
        <v>0.28485022999999998</v>
      </c>
      <c r="C8" s="2">
        <v>0.22783210000000001</v>
      </c>
      <c r="F8" s="7" t="s">
        <v>133</v>
      </c>
    </row>
    <row r="9" spans="1:6" x14ac:dyDescent="0.3">
      <c r="A9" s="7" t="s">
        <v>11</v>
      </c>
      <c r="B9" s="2">
        <v>9.1434959999999996E-2</v>
      </c>
      <c r="C9" s="2">
        <v>0.1661744</v>
      </c>
      <c r="F9" s="7" t="s">
        <v>134</v>
      </c>
    </row>
    <row r="10" spans="1:6" x14ac:dyDescent="0.3">
      <c r="F10" s="7" t="s">
        <v>135</v>
      </c>
    </row>
    <row r="11" spans="1:6" x14ac:dyDescent="0.3">
      <c r="A11" s="7" t="s">
        <v>82</v>
      </c>
      <c r="C11" s="26">
        <v>25</v>
      </c>
    </row>
    <row r="12" spans="1:6" x14ac:dyDescent="0.3">
      <c r="F12" s="7" t="s">
        <v>136</v>
      </c>
    </row>
    <row r="13" spans="1:6" x14ac:dyDescent="0.3">
      <c r="F13" s="27"/>
    </row>
    <row r="14" spans="1:6" x14ac:dyDescent="0.3">
      <c r="F14" s="7" t="s">
        <v>137</v>
      </c>
    </row>
    <row r="15" spans="1:6" x14ac:dyDescent="0.3">
      <c r="F15" s="7" t="s">
        <v>138</v>
      </c>
    </row>
    <row r="16" spans="1:6" x14ac:dyDescent="0.3">
      <c r="F16" s="7" t="s">
        <v>139</v>
      </c>
    </row>
    <row r="17" spans="6:6" x14ac:dyDescent="0.3">
      <c r="F17" s="27"/>
    </row>
    <row r="18" spans="6:6" x14ac:dyDescent="0.3">
      <c r="F18" s="7" t="s">
        <v>122</v>
      </c>
    </row>
    <row r="19" spans="6:6" x14ac:dyDescent="0.3">
      <c r="F19" s="7" t="s">
        <v>140</v>
      </c>
    </row>
    <row r="20" spans="6:6" x14ac:dyDescent="0.3">
      <c r="F20" s="7" t="s">
        <v>141</v>
      </c>
    </row>
    <row r="21" spans="6:6" x14ac:dyDescent="0.3">
      <c r="F21" s="7" t="s">
        <v>142</v>
      </c>
    </row>
    <row r="22" spans="6:6" x14ac:dyDescent="0.3">
      <c r="F22" s="27"/>
    </row>
    <row r="23" spans="6:6" x14ac:dyDescent="0.3">
      <c r="F23" s="7" t="s">
        <v>143</v>
      </c>
    </row>
    <row r="24" spans="6:6" x14ac:dyDescent="0.3">
      <c r="F24" s="7" t="s">
        <v>144</v>
      </c>
    </row>
    <row r="25" spans="6:6" x14ac:dyDescent="0.3">
      <c r="F25" s="7" t="s">
        <v>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J20" sqref="J20"/>
    </sheetView>
  </sheetViews>
  <sheetFormatPr defaultRowHeight="14.4" x14ac:dyDescent="0.3"/>
  <cols>
    <col min="1" max="1" width="13.88671875" customWidth="1"/>
  </cols>
  <sheetData>
    <row r="1" spans="1:8" x14ac:dyDescent="0.3">
      <c r="B1" t="s">
        <v>11</v>
      </c>
      <c r="C1" t="s">
        <v>86</v>
      </c>
      <c r="F1" t="s">
        <v>88</v>
      </c>
      <c r="G1" t="s">
        <v>86</v>
      </c>
    </row>
    <row r="2" spans="1:8" x14ac:dyDescent="0.3">
      <c r="A2" t="s">
        <v>83</v>
      </c>
      <c r="B2">
        <v>0.5</v>
      </c>
      <c r="C2" t="s">
        <v>85</v>
      </c>
      <c r="D2">
        <f>AVERAGE(B2:B5)</f>
        <v>0.52499999999999991</v>
      </c>
    </row>
    <row r="3" spans="1:8" x14ac:dyDescent="0.3">
      <c r="B3">
        <f>AVERAGE(0.3,1)</f>
        <v>0.65</v>
      </c>
      <c r="C3" t="s">
        <v>85</v>
      </c>
    </row>
    <row r="4" spans="1:8" x14ac:dyDescent="0.3">
      <c r="B4">
        <f>AVERAGE(0.3,0.6)</f>
        <v>0.44999999999999996</v>
      </c>
      <c r="C4" t="s">
        <v>85</v>
      </c>
    </row>
    <row r="5" spans="1:8" x14ac:dyDescent="0.3">
      <c r="B5">
        <v>0.5</v>
      </c>
      <c r="C5" t="s">
        <v>85</v>
      </c>
    </row>
    <row r="6" spans="1:8" x14ac:dyDescent="0.3">
      <c r="B6">
        <v>3</v>
      </c>
      <c r="C6" t="s">
        <v>84</v>
      </c>
      <c r="D6">
        <f>AVERAGE(B6:B8)</f>
        <v>1.9166666666666667</v>
      </c>
    </row>
    <row r="7" spans="1:8" x14ac:dyDescent="0.3">
      <c r="B7">
        <v>1</v>
      </c>
      <c r="C7" t="s">
        <v>84</v>
      </c>
    </row>
    <row r="8" spans="1:8" x14ac:dyDescent="0.3">
      <c r="B8">
        <f>AVERAGE(1,2.5)</f>
        <v>1.75</v>
      </c>
      <c r="C8" t="s">
        <v>84</v>
      </c>
    </row>
    <row r="9" spans="1:8" x14ac:dyDescent="0.3">
      <c r="A9" t="s">
        <v>87</v>
      </c>
      <c r="B9">
        <f>0.3/32</f>
        <v>9.3749999999999997E-3</v>
      </c>
      <c r="C9" t="s">
        <v>85</v>
      </c>
      <c r="F9">
        <f>0.3/23.7</f>
        <v>1.2658227848101266E-2</v>
      </c>
      <c r="G9" t="s">
        <v>85</v>
      </c>
    </row>
    <row r="10" spans="1:8" x14ac:dyDescent="0.3">
      <c r="B10">
        <f>1/16</f>
        <v>6.25E-2</v>
      </c>
      <c r="C10" t="s">
        <v>85</v>
      </c>
      <c r="D10">
        <f>AVERAGE(B9:B13)</f>
        <v>2.440340909090909E-2</v>
      </c>
      <c r="F10">
        <f>0.3/14.7</f>
        <v>2.0408163265306124E-2</v>
      </c>
      <c r="G10" t="s">
        <v>89</v>
      </c>
    </row>
    <row r="11" spans="1:8" x14ac:dyDescent="0.3">
      <c r="B11">
        <f>0.3/17.6</f>
        <v>1.7045454545454544E-2</v>
      </c>
      <c r="C11" t="s">
        <v>85</v>
      </c>
      <c r="F11">
        <f>0.3/26.5</f>
        <v>1.1320754716981131E-2</v>
      </c>
      <c r="G11" t="s">
        <v>89</v>
      </c>
      <c r="H11">
        <f>AVERAGE(F9:F11)</f>
        <v>1.4795715276796172E-2</v>
      </c>
    </row>
    <row r="12" spans="1:8" x14ac:dyDescent="0.3">
      <c r="B12">
        <f>0.15/32</f>
        <v>4.6874999999999998E-3</v>
      </c>
      <c r="C12" t="s">
        <v>85</v>
      </c>
      <c r="F12">
        <f>1.5/50.8</f>
        <v>2.9527559055118113E-2</v>
      </c>
      <c r="G12" t="s">
        <v>91</v>
      </c>
    </row>
    <row r="13" spans="1:8" x14ac:dyDescent="0.3">
      <c r="B13">
        <f>1.5/52.8</f>
        <v>2.8409090909090912E-2</v>
      </c>
      <c r="C13" t="s">
        <v>85</v>
      </c>
      <c r="F13">
        <f>1/46</f>
        <v>2.1739130434782608E-2</v>
      </c>
      <c r="G13" t="s">
        <v>91</v>
      </c>
      <c r="H13">
        <f>AVERAGE(F12:F13)</f>
        <v>2.5633344744950361E-2</v>
      </c>
    </row>
    <row r="14" spans="1:8" x14ac:dyDescent="0.3">
      <c r="B14">
        <f>3.6</f>
        <v>3.6</v>
      </c>
      <c r="C14" t="s">
        <v>39</v>
      </c>
      <c r="D14">
        <f>AVERAGE(B14:B16)</f>
        <v>1.2203136810279667</v>
      </c>
      <c r="F14">
        <f>2/47</f>
        <v>4.2553191489361701E-2</v>
      </c>
      <c r="G14" t="s">
        <v>90</v>
      </c>
    </row>
    <row r="15" spans="1:8" x14ac:dyDescent="0.3">
      <c r="B15">
        <f>1/36</f>
        <v>2.7777777777777776E-2</v>
      </c>
      <c r="C15" t="s">
        <v>39</v>
      </c>
      <c r="F15">
        <f>3/22.5</f>
        <v>0.13333333333333333</v>
      </c>
      <c r="G15" t="s">
        <v>90</v>
      </c>
    </row>
    <row r="16" spans="1:8" x14ac:dyDescent="0.3">
      <c r="B16">
        <f>1.3/39.2</f>
        <v>3.3163265306122451E-2</v>
      </c>
      <c r="C16" t="s">
        <v>39</v>
      </c>
      <c r="F16">
        <f>2/40</f>
        <v>0.05</v>
      </c>
      <c r="G16" t="s">
        <v>90</v>
      </c>
    </row>
    <row r="17" spans="2:8" x14ac:dyDescent="0.3">
      <c r="B17">
        <f>8.4/46</f>
        <v>0.18260869565217391</v>
      </c>
      <c r="C17" t="s">
        <v>84</v>
      </c>
      <c r="F17">
        <f>4/20.4</f>
        <v>0.19607843137254904</v>
      </c>
      <c r="G17" t="s">
        <v>90</v>
      </c>
    </row>
    <row r="18" spans="2:8" x14ac:dyDescent="0.3">
      <c r="B18">
        <f>6/47</f>
        <v>0.1276595744680851</v>
      </c>
      <c r="C18" t="s">
        <v>84</v>
      </c>
      <c r="F18">
        <f>2.5/43.4</f>
        <v>5.7603686635944701E-2</v>
      </c>
      <c r="G18" t="s">
        <v>90</v>
      </c>
    </row>
    <row r="19" spans="2:8" x14ac:dyDescent="0.3">
      <c r="B19">
        <f>4/30</f>
        <v>0.13333333333333333</v>
      </c>
      <c r="C19" t="s">
        <v>84</v>
      </c>
      <c r="F19">
        <f>1/10</f>
        <v>0.1</v>
      </c>
      <c r="G19" t="s">
        <v>90</v>
      </c>
    </row>
    <row r="20" spans="2:8" x14ac:dyDescent="0.3">
      <c r="B20">
        <f>5/50.3</f>
        <v>9.9403578528827044E-2</v>
      </c>
      <c r="C20" t="s">
        <v>84</v>
      </c>
      <c r="F20">
        <f>2/9.5</f>
        <v>0.21052631578947367</v>
      </c>
      <c r="G20" t="s">
        <v>90</v>
      </c>
    </row>
    <row r="21" spans="2:8" x14ac:dyDescent="0.3">
      <c r="B21">
        <f>1/16.6</f>
        <v>6.0240963855421679E-2</v>
      </c>
      <c r="C21" t="s">
        <v>84</v>
      </c>
      <c r="F21">
        <f>1/60</f>
        <v>1.6666666666666666E-2</v>
      </c>
      <c r="G21" t="s">
        <v>92</v>
      </c>
      <c r="H21">
        <f>AVERAGE(F14:F21)</f>
        <v>0.10084520316091615</v>
      </c>
    </row>
    <row r="22" spans="2:8" x14ac:dyDescent="0.3">
      <c r="B22">
        <f>4/26.5</f>
        <v>0.15094339622641509</v>
      </c>
      <c r="C22" t="s">
        <v>84</v>
      </c>
      <c r="F22" t="s">
        <v>1</v>
      </c>
    </row>
    <row r="23" spans="2:8" x14ac:dyDescent="0.3">
      <c r="B23">
        <f>6/36.9</f>
        <v>0.16260162601626016</v>
      </c>
      <c r="C23" t="s">
        <v>84</v>
      </c>
      <c r="D23">
        <f>AVERAGE(B17:B23)</f>
        <v>0.13097016686864518</v>
      </c>
    </row>
  </sheetData>
  <sortState ref="F9:G21">
    <sortCondition ref="G9:G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fire effects</vt:lpstr>
      <vt:lpstr>fofem comp</vt:lpstr>
      <vt:lpstr>dieback</vt:lpstr>
      <vt:lpstr>fuel moistures</vt:lpstr>
      <vt:lpstr>sprouters vs non</vt:lpstr>
      <vt:lpstr>cvs=100</vt:lpstr>
      <vt:lpstr>pca loadings</vt:lpstr>
      <vt:lpstr>duff</vt:lpstr>
      <vt:lpstr>ROS</vt:lpstr>
      <vt:lpstr>top-kill</vt:lpstr>
      <vt:lpstr>permanova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</dc:creator>
  <cp:lastModifiedBy>Deborah G Nemens</cp:lastModifiedBy>
  <dcterms:created xsi:type="dcterms:W3CDTF">2017-03-05T23:14:13Z</dcterms:created>
  <dcterms:modified xsi:type="dcterms:W3CDTF">2018-09-01T00:08:12Z</dcterms:modified>
</cp:coreProperties>
</file>